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jpg" ContentType="image/jpeg"/>
  <Default Extension="png" ContentType="image/png"/>
  <Default Extension="rels" ContentType="application/vnd.openxmlformats-package.relationships+xml"/>
  <Default Extension="vml" ContentType="application/vnd.openxmlformats-officedocument.vmlDrawing"/>
  <Default Extension="wmf" ContentType="image/x-wmf"/>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omments1.xml" ContentType="application/vnd.openxmlformats-officedocument.spreadsheetml.comments+xml"/>
  <Override PartName="/xl/queryTables/queryTable1.xml" ContentType="application/vnd.openxmlformats-officedocument.spreadsheetml.queryTable+xml"/>
  <Override PartName="/xl/queryTables/queryTable2.xml" ContentType="application/vnd.openxmlformats-officedocument.spreadsheetml.queryTable+xml"/>
  <Override PartName="/xl/queryTables/queryTable3.xml" ContentType="application/vnd.openxmlformats-officedocument.spreadsheetml.queryTable+xml"/>
  <Override PartName="/xl/queryTables/queryTable4.xml" ContentType="application/vnd.openxmlformats-officedocument.spreadsheetml.queryTable+xml"/>
  <Override PartName="/xl/queryTables/queryTable5.xml" ContentType="application/vnd.openxmlformats-officedocument.spreadsheetml.queryTable+xml"/>
  <Override PartName="/xl/queryTables/queryTable6.xml" ContentType="application/vnd.openxmlformats-officedocument.spreadsheetml.queryTable+xml"/>
  <Override PartName="/xl/queryTables/queryTable7.xml" ContentType="application/vnd.openxmlformats-officedocument.spreadsheetml.queryTable+xml"/>
  <Override PartName="/xl/queryTables/queryTable8.xml" ContentType="application/vnd.openxmlformats-officedocument.spreadsheetml.queryTable+xml"/>
  <Override PartName="/xl/queryTables/queryTable9.xml" ContentType="application/vnd.openxmlformats-officedocument.spreadsheetml.queryTable+xml"/>
  <Override PartName="/xl/queryTables/queryTable10.xml" ContentType="application/vnd.openxmlformats-officedocument.spreadsheetml.queryTable+xml"/>
  <Override PartName="/xl/queryTables/queryTable11.xml" ContentType="application/vnd.openxmlformats-officedocument.spreadsheetml.queryTable+xml"/>
  <Override PartName="/xl/queryTables/queryTable12.xml" ContentType="application/vnd.openxmlformats-officedocument.spreadsheetml.queryTable+xml"/>
  <Override PartName="/xl/queryTables/queryTable13.xml" ContentType="application/vnd.openxmlformats-officedocument.spreadsheetml.queryTable+xml"/>
  <Override PartName="/xl/queryTables/queryTable14.xml" ContentType="application/vnd.openxmlformats-officedocument.spreadsheetml.queryTable+xml"/>
  <Override PartName="/xl/queryTables/queryTable15.xml" ContentType="application/vnd.openxmlformats-officedocument.spreadsheetml.queryTable+xml"/>
  <Override PartName="/xl/queryTables/queryTable16.xml" ContentType="application/vnd.openxmlformats-officedocument.spreadsheetml.queryTable+xml"/>
  <Override PartName="/xl/queryTables/queryTable17.xml" ContentType="application/vnd.openxmlformats-officedocument.spreadsheetml.queryTable+xml"/>
  <Override PartName="/xl/queryTables/queryTable18.xml" ContentType="application/vnd.openxmlformats-officedocument.spreadsheetml.queryTable+xml"/>
  <Override PartName="/xl/queryTables/queryTable19.xml" ContentType="application/vnd.openxmlformats-officedocument.spreadsheetml.queryTable+xml"/>
  <Override PartName="/xl/queryTables/queryTable20.xml" ContentType="application/vnd.openxmlformats-officedocument.spreadsheetml.queryTable+xml"/>
  <Override PartName="/xl/queryTables/queryTable21.xml" ContentType="application/vnd.openxmlformats-officedocument.spreadsheetml.queryTable+xml"/>
  <Override PartName="/xl/queryTables/queryTable22.xml" ContentType="application/vnd.openxmlformats-officedocument.spreadsheetml.queryTable+xml"/>
  <Override PartName="/xl/queryTables/queryTable23.xml" ContentType="application/vnd.openxmlformats-officedocument.spreadsheetml.queryTable+xml"/>
  <Override PartName="/xl/queryTables/queryTable24.xml" ContentType="application/vnd.openxmlformats-officedocument.spreadsheetml.queryTable+xml"/>
  <Override PartName="/xl/queryTables/queryTable25.xml" ContentType="application/vnd.openxmlformats-officedocument.spreadsheetml.queryTable+xml"/>
  <Override PartName="/xl/queryTables/queryTable26.xml" ContentType="application/vnd.openxmlformats-officedocument.spreadsheetml.queryTable+xml"/>
  <Override PartName="/xl/queryTables/queryTable27.xml" ContentType="application/vnd.openxmlformats-officedocument.spreadsheetml.queryTable+xml"/>
  <Override PartName="/xl/queryTables/queryTable28.xml" ContentType="application/vnd.openxmlformats-officedocument.spreadsheetml.queryTable+xml"/>
  <Override PartName="/xl/queryTables/queryTable29.xml" ContentType="application/vnd.openxmlformats-officedocument.spreadsheetml.queryTable+xml"/>
  <Override PartName="/xl/queryTables/queryTable30.xml" ContentType="application/vnd.openxmlformats-officedocument.spreadsheetml.queryTable+xml"/>
  <Override PartName="/xl/queryTables/queryTable31.xml" ContentType="application/vnd.openxmlformats-officedocument.spreadsheetml.queryTable+xml"/>
  <Override PartName="/xl/queryTables/queryTable32.xml" ContentType="application/vnd.openxmlformats-officedocument.spreadsheetml.queryTable+xml"/>
  <Override PartName="/xl/queryTables/queryTable33.xml" ContentType="application/vnd.openxmlformats-officedocument.spreadsheetml.queryTable+xml"/>
  <Override PartName="/xl/queryTables/queryTable34.xml" ContentType="application/vnd.openxmlformats-officedocument.spreadsheetml.queryTable+xml"/>
  <Override PartName="/xl/queryTables/queryTable35.xml" ContentType="application/vnd.openxmlformats-officedocument.spreadsheetml.queryTable+xml"/>
  <Override PartName="/xl/queryTables/queryTable36.xml" ContentType="application/vnd.openxmlformats-officedocument.spreadsheetml.queryTable+xml"/>
  <Override PartName="/xl/queryTables/queryTable37.xml" ContentType="application/vnd.openxmlformats-officedocument.spreadsheetml.queryTable+xml"/>
  <Override PartName="/xl/queryTables/queryTable38.xml" ContentType="application/vnd.openxmlformats-officedocument.spreadsheetml.queryTable+xml"/>
  <Override PartName="/xl/queryTables/queryTable39.xml" ContentType="application/vnd.openxmlformats-officedocument.spreadsheetml.queryTable+xml"/>
  <Override PartName="/xl/queryTables/queryTable40.xml" ContentType="application/vnd.openxmlformats-officedocument.spreadsheetml.queryTable+xml"/>
  <Override PartName="/xl/queryTables/queryTable41.xml" ContentType="application/vnd.openxmlformats-officedocument.spreadsheetml.queryTable+xml"/>
  <Override PartName="/xl/queryTables/queryTable42.xml" ContentType="application/vnd.openxmlformats-officedocument.spreadsheetml.queryTable+xml"/>
  <Override PartName="/xl/queryTables/queryTable43.xml" ContentType="application/vnd.openxmlformats-officedocument.spreadsheetml.queryTable+xml"/>
  <Override PartName="/xl/queryTables/queryTable44.xml" ContentType="application/vnd.openxmlformats-officedocument.spreadsheetml.queryTable+xml"/>
  <Override PartName="/xl/queryTables/queryTable45.xml" ContentType="application/vnd.openxmlformats-officedocument.spreadsheetml.queryTable+xml"/>
  <Override PartName="/xl/queryTables/queryTable46.xml" ContentType="application/vnd.openxmlformats-officedocument.spreadsheetml.queryTable+xml"/>
  <Override PartName="/xl/queryTables/queryTable47.xml" ContentType="application/vnd.openxmlformats-officedocument.spreadsheetml.queryTable+xml"/>
  <Override PartName="/xl/queryTables/queryTable48.xml" ContentType="application/vnd.openxmlformats-officedocument.spreadsheetml.queryTable+xml"/>
  <Override PartName="/xl/queryTables/queryTable49.xml" ContentType="application/vnd.openxmlformats-officedocument.spreadsheetml.queryTable+xml"/>
  <Override PartName="/xl/queryTables/queryTable50.xml" ContentType="application/vnd.openxmlformats-officedocument.spreadsheetml.queryTable+xml"/>
  <Override PartName="/xl/queryTables/queryTable51.xml" ContentType="application/vnd.openxmlformats-officedocument.spreadsheetml.queryTable+xml"/>
  <Override PartName="/xl/queryTables/queryTable52.xml" ContentType="application/vnd.openxmlformats-officedocument.spreadsheetml.queryTable+xml"/>
  <Override PartName="/xl/queryTables/queryTable53.xml" ContentType="application/vnd.openxmlformats-officedocument.spreadsheetml.queryTable+xml"/>
  <Override PartName="/xl/queryTables/queryTable54.xml" ContentType="application/vnd.openxmlformats-officedocument.spreadsheetml.queryTable+xml"/>
  <Override PartName="/xl/queryTables/queryTable55.xml" ContentType="application/vnd.openxmlformats-officedocument.spreadsheetml.queryTable+xml"/>
  <Override PartName="/xl/queryTables/queryTable56.xml" ContentType="application/vnd.openxmlformats-officedocument.spreadsheetml.queryTable+xml"/>
  <Override PartName="/xl/queryTables/queryTable57.xml" ContentType="application/vnd.openxmlformats-officedocument.spreadsheetml.queryTable+xml"/>
  <Override PartName="/xl/queryTables/queryTable58.xml" ContentType="application/vnd.openxmlformats-officedocument.spreadsheetml.queryTable+xml"/>
  <Override PartName="/xl/queryTables/queryTable59.xml" ContentType="application/vnd.openxmlformats-officedocument.spreadsheetml.queryTable+xml"/>
  <Override PartName="/xl/queryTables/queryTable60.xml" ContentType="application/vnd.openxmlformats-officedocument.spreadsheetml.queryTable+xml"/>
  <Override PartName="/xl/queryTables/queryTable61.xml" ContentType="application/vnd.openxmlformats-officedocument.spreadsheetml.queryTable+xml"/>
  <Override PartName="/xl/queryTables/queryTable62.xml" ContentType="application/vnd.openxmlformats-officedocument.spreadsheetml.queryTable+xml"/>
  <Override PartName="/xl/queryTables/queryTable63.xml" ContentType="application/vnd.openxmlformats-officedocument.spreadsheetml.queryTable+xml"/>
  <Override PartName="/xl/queryTables/queryTable64.xml" ContentType="application/vnd.openxmlformats-officedocument.spreadsheetml.queryTable+xml"/>
  <Override PartName="/xl/queryTables/queryTable65.xml" ContentType="application/vnd.openxmlformats-officedocument.spreadsheetml.queryTable+xml"/>
  <Override PartName="/xl/queryTables/queryTable66.xml" ContentType="application/vnd.openxmlformats-officedocument.spreadsheetml.queryTable+xml"/>
  <Override PartName="/xl/queryTables/queryTable67.xml" ContentType="application/vnd.openxmlformats-officedocument.spreadsheetml.queryTable+xml"/>
  <Override PartName="/xl/queryTables/queryTable68.xml" ContentType="application/vnd.openxmlformats-officedocument.spreadsheetml.queryTable+xml"/>
  <Override PartName="/xl/queryTables/queryTable69.xml" ContentType="application/vnd.openxmlformats-officedocument.spreadsheetml.queryTable+xml"/>
  <Override PartName="/xl/queryTables/queryTable70.xml" ContentType="application/vnd.openxmlformats-officedocument.spreadsheetml.queryTable+xml"/>
  <Override PartName="/xl/queryTables/queryTable71.xml" ContentType="application/vnd.openxmlformats-officedocument.spreadsheetml.queryTable+xml"/>
  <Override PartName="/xl/queryTables/queryTable72.xml" ContentType="application/vnd.openxmlformats-officedocument.spreadsheetml.queryTable+xml"/>
  <Override PartName="/xl/queryTables/queryTable73.xml" ContentType="application/vnd.openxmlformats-officedocument.spreadsheetml.queryTable+xml"/>
  <Override PartName="/xl/queryTables/queryTable74.xml" ContentType="application/vnd.openxmlformats-officedocument.spreadsheetml.queryTable+xml"/>
  <Override PartName="/xl/queryTables/queryTable75.xml" ContentType="application/vnd.openxmlformats-officedocument.spreadsheetml.queryTable+xml"/>
  <Override PartName="/xl/queryTables/queryTable76.xml" ContentType="application/vnd.openxmlformats-officedocument.spreadsheetml.queryTable+xml"/>
  <Override PartName="/xl/queryTables/queryTable77.xml" ContentType="application/vnd.openxmlformats-officedocument.spreadsheetml.queryTable+xml"/>
  <Override PartName="/xl/queryTables/queryTable78.xml" ContentType="application/vnd.openxmlformats-officedocument.spreadsheetml.queryTable+xml"/>
  <Override PartName="/xl/queryTables/queryTable79.xml" ContentType="application/vnd.openxmlformats-officedocument.spreadsheetml.queryTable+xml"/>
  <Override PartName="/xl/queryTables/queryTable80.xml" ContentType="application/vnd.openxmlformats-officedocument.spreadsheetml.queryTable+xml"/>
  <Override PartName="/xl/queryTables/queryTable81.xml" ContentType="application/vnd.openxmlformats-officedocument.spreadsheetml.queryTable+xml"/>
  <Override PartName="/xl/queryTables/queryTable82.xml" ContentType="application/vnd.openxmlformats-officedocument.spreadsheetml.queryTable+xml"/>
  <Override PartName="/xl/queryTables/queryTable83.xml" ContentType="application/vnd.openxmlformats-officedocument.spreadsheetml.queryTable+xml"/>
  <Override PartName="/xl/queryTables/queryTable84.xml" ContentType="application/vnd.openxmlformats-officedocument.spreadsheetml.queryTable+xml"/>
  <Override PartName="/xl/queryTables/queryTable85.xml" ContentType="application/vnd.openxmlformats-officedocument.spreadsheetml.queryTable+xml"/>
  <Override PartName="/xl/queryTables/queryTable86.xml" ContentType="application/vnd.openxmlformats-officedocument.spreadsheetml.queryTable+xml"/>
  <Override PartName="/xl/queryTables/queryTable87.xml" ContentType="application/vnd.openxmlformats-officedocument.spreadsheetml.queryTable+xml"/>
  <Override PartName="/xl/queryTables/queryTable88.xml" ContentType="application/vnd.openxmlformats-officedocument.spreadsheetml.queryTable+xml"/>
  <Override PartName="/xl/queryTables/queryTable89.xml" ContentType="application/vnd.openxmlformats-officedocument.spreadsheetml.queryTable+xml"/>
  <Override PartName="/xl/queryTables/queryTable90.xml" ContentType="application/vnd.openxmlformats-officedocument.spreadsheetml.queryTable+xml"/>
  <Override PartName="/xl/queryTables/queryTable91.xml" ContentType="application/vnd.openxmlformats-officedocument.spreadsheetml.queryTable+xml"/>
  <Override PartName="/xl/queryTables/queryTable92.xml" ContentType="application/vnd.openxmlformats-officedocument.spreadsheetml.queryTable+xml"/>
  <Override PartName="/xl/queryTables/queryTable93.xml" ContentType="application/vnd.openxmlformats-officedocument.spreadsheetml.queryTable+xml"/>
  <Override PartName="/xl/drawings/drawing2.xml" ContentType="application/vnd.openxmlformats-officedocument.drawing+xml"/>
  <Override PartName="/xl/embeddings/oleObject1.bin" ContentType="application/vnd.openxmlformats-officedocument.oleObject"/>
  <Override PartName="/xl/embeddings/oleObject2.bin" ContentType="application/vnd.openxmlformats-officedocument.oleObject"/>
  <Override PartName="/xl/queryTables/queryTable94.xml" ContentType="application/vnd.openxmlformats-officedocument.spreadsheetml.queryTable+xml"/>
  <Override PartName="/xl/queryTables/queryTable95.xml" ContentType="application/vnd.openxmlformats-officedocument.spreadsheetml.queryTable+xml"/>
  <Override PartName="/xl/queryTables/queryTable96.xml" ContentType="application/vnd.openxmlformats-officedocument.spreadsheetml.queryTable+xml"/>
  <Override PartName="/xl/queryTables/queryTable97.xml" ContentType="application/vnd.openxmlformats-officedocument.spreadsheetml.queryTable+xml"/>
  <Override PartName="/xl/queryTables/queryTable98.xml" ContentType="application/vnd.openxmlformats-officedocument.spreadsheetml.queryTable+xml"/>
  <Override PartName="/xl/queryTables/queryTable99.xml" ContentType="application/vnd.openxmlformats-officedocument.spreadsheetml.queryTable+xml"/>
  <Override PartName="/xl/queryTables/queryTable100.xml" ContentType="application/vnd.openxmlformats-officedocument.spreadsheetml.queryTable+xml"/>
  <Override PartName="/xl/queryTables/queryTable101.xml" ContentType="application/vnd.openxmlformats-officedocument.spreadsheetml.queryTable+xml"/>
  <Override PartName="/xl/queryTables/queryTable102.xml" ContentType="application/vnd.openxmlformats-officedocument.spreadsheetml.queryTable+xml"/>
  <Override PartName="/xl/queryTables/queryTable103.xml" ContentType="application/vnd.openxmlformats-officedocument.spreadsheetml.queryTable+xml"/>
  <Override PartName="/xl/queryTables/queryTable104.xml" ContentType="application/vnd.openxmlformats-officedocument.spreadsheetml.queryTable+xml"/>
  <Override PartName="/xl/queryTables/queryTable105.xml" ContentType="application/vnd.openxmlformats-officedocument.spreadsheetml.queryTable+xml"/>
  <Override PartName="/xl/queryTables/queryTable106.xml" ContentType="application/vnd.openxmlformats-officedocument.spreadsheetml.queryTable+xml"/>
  <Override PartName="/xl/queryTables/queryTable107.xml" ContentType="application/vnd.openxmlformats-officedocument.spreadsheetml.queryTable+xml"/>
  <Override PartName="/xl/queryTables/queryTable108.xml" ContentType="application/vnd.openxmlformats-officedocument.spreadsheetml.queryTable+xml"/>
  <Override PartName="/xl/queryTables/queryTable109.xml" ContentType="application/vnd.openxmlformats-officedocument.spreadsheetml.queryTable+xml"/>
  <Override PartName="/xl/queryTables/queryTable110.xml" ContentType="application/vnd.openxmlformats-officedocument.spreadsheetml.queryTable+xml"/>
  <Override PartName="/xl/queryTables/queryTable111.xml" ContentType="application/vnd.openxmlformats-officedocument.spreadsheetml.queryTable+xml"/>
  <Override PartName="/xl/queryTables/queryTable112.xml" ContentType="application/vnd.openxmlformats-officedocument.spreadsheetml.queryTable+xml"/>
  <Override PartName="/xl/queryTables/queryTable113.xml" ContentType="application/vnd.openxmlformats-officedocument.spreadsheetml.queryTable+xml"/>
  <Override PartName="/xl/queryTables/queryTable114.xml" ContentType="application/vnd.openxmlformats-officedocument.spreadsheetml.queryTable+xml"/>
  <Override PartName="/xl/queryTables/queryTable115.xml" ContentType="application/vnd.openxmlformats-officedocument.spreadsheetml.queryTable+xml"/>
  <Override PartName="/xl/queryTables/queryTable116.xml" ContentType="application/vnd.openxmlformats-officedocument.spreadsheetml.queryTable+xml"/>
  <Override PartName="/xl/queryTables/queryTable117.xml" ContentType="application/vnd.openxmlformats-officedocument.spreadsheetml.queryTable+xml"/>
  <Override PartName="/xl/queryTables/queryTable118.xml" ContentType="application/vnd.openxmlformats-officedocument.spreadsheetml.queryTable+xml"/>
  <Override PartName="/xl/queryTables/queryTable119.xml" ContentType="application/vnd.openxmlformats-officedocument.spreadsheetml.queryTable+xml"/>
  <Override PartName="/xl/queryTables/queryTable120.xml" ContentType="application/vnd.openxmlformats-officedocument.spreadsheetml.queryTable+xml"/>
  <Override PartName="/xl/queryTables/queryTable121.xml" ContentType="application/vnd.openxmlformats-officedocument.spreadsheetml.queryTable+xml"/>
  <Override PartName="/xl/queryTables/queryTable122.xml" ContentType="application/vnd.openxmlformats-officedocument.spreadsheetml.queryTable+xml"/>
  <Override PartName="/xl/queryTables/queryTable123.xml" ContentType="application/vnd.openxmlformats-officedocument.spreadsheetml.queryTable+xml"/>
  <Override PartName="/xl/queryTables/queryTable124.xml" ContentType="application/vnd.openxmlformats-officedocument.spreadsheetml.queryTable+xml"/>
  <Override PartName="/xl/queryTables/queryTable125.xml" ContentType="application/vnd.openxmlformats-officedocument.spreadsheetml.queryTable+xml"/>
  <Override PartName="/xl/queryTables/queryTable126.xml" ContentType="application/vnd.openxmlformats-officedocument.spreadsheetml.queryTable+xml"/>
  <Override PartName="/xl/tables/table1.xml" ContentType="application/vnd.openxmlformats-officedocument.spreadsheetml.table+xml"/>
  <Override PartName="/xl/drawings/drawing3.xml" ContentType="application/vnd.openxmlformats-officedocument.drawing+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omments2.xml" ContentType="application/vnd.openxmlformats-officedocument.spreadsheetml.comments+xml"/>
  <Override PartName="/xl/drawings/drawing4.xml" ContentType="application/vnd.openxmlformats-officedocument.drawing+xml"/>
  <Override PartName="/xl/ctrlProps/ctrlProp10.xml" ContentType="application/vnd.ms-excel.controlproperties+xml"/>
  <Override PartName="/xl/ctrlProps/ctrlProp11.xml" ContentType="application/vnd.ms-excel.controlproperties+xml"/>
  <Override PartName="/xl/comments3.xml" ContentType="application/vnd.openxmlformats-officedocument.spreadsheetml.comments+xml"/>
  <Override PartName="/xl/drawings/drawing5.xml" ContentType="application/vnd.openxmlformats-officedocument.drawing+xml"/>
  <Override PartName="/xl/drawings/drawing6.xml" ContentType="application/vnd.openxmlformats-officedocument.drawing+xml"/>
  <Override PartName="/xl/embeddings/oleObject3.bin" ContentType="application/vnd.openxmlformats-officedocument.oleObject"/>
  <Override PartName="/xl/comments4.xml" ContentType="application/vnd.openxmlformats-officedocument.spreadsheetml.comments+xml"/>
  <Override PartName="/xl/drawings/drawing7.xml" ContentType="application/vnd.openxmlformats-officedocument.drawing+xml"/>
  <Override PartName="/xl/embeddings/oleObject4.bin" ContentType="application/vnd.openxmlformats-officedocument.oleObject"/>
  <Override PartName="/xl/comments5.xml" ContentType="application/vnd.openxmlformats-officedocument.spreadsheetml.comments+xml"/>
  <Override PartName="/xl/drawings/drawing8.xml" ContentType="application/vnd.openxmlformats-officedocument.drawing+xml"/>
  <Override PartName="/xl/embeddings/oleObject5.bin" ContentType="application/vnd.openxmlformats-officedocument.oleObject"/>
  <Override PartName="/xl/drawings/drawing9.xml" ContentType="application/vnd.openxmlformats-officedocument.drawing+xml"/>
  <Override PartName="/xl/comments6.xml" ContentType="application/vnd.openxmlformats-officedocument.spreadsheetml.comments+xml"/>
  <Override PartName="/xl/drawings/drawing10.xml" ContentType="application/vnd.openxmlformats-officedocument.drawin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931" codeName="{B6124F1A-AFFB-F854-7757-9A1D4C6FC43C}"/>
  <workbookPr codeName="ThisWorkbook" defaultThemeVersion="124226"/>
  <mc:AlternateContent xmlns:mc="http://schemas.openxmlformats.org/markup-compatibility/2006">
    <mc:Choice Requires="x15">
      <x15ac:absPath xmlns:x15ac="http://schemas.microsoft.com/office/spreadsheetml/2010/11/ac" url="C:\Users\Imiller\source\repos\Datatransferer NuGet\Testing Winform\Testing Winform\Templates\"/>
    </mc:Choice>
  </mc:AlternateContent>
  <xr:revisionPtr revIDLastSave="0" documentId="13_ncr:1_{A4B00A28-8033-4BAA-9423-7F40FBF2DA62}" xr6:coauthVersionLast="47" xr6:coauthVersionMax="47" xr10:uidLastSave="{00000000-0000-0000-0000-000000000000}"/>
  <bookViews>
    <workbookView xWindow="-120" yWindow="-120" windowWidth="29040" windowHeight="15990" xr2:uid="{00000000-000D-0000-FFFF-FFFF00000000}"/>
  </bookViews>
  <sheets>
    <sheet name="IMPORT" sheetId="12" r:id="rId1"/>
    <sheet name="TNX Arbitrary Shape" sheetId="24" state="hidden" r:id="rId2"/>
    <sheet name="TNX File" sheetId="11" state="hidden" r:id="rId3"/>
    <sheet name="TNX File Parse" sheetId="22" state="hidden" r:id="rId4"/>
    <sheet name="TNX RTF" sheetId="14" state="hidden" r:id="rId5"/>
    <sheet name="TNX RTF Parse" sheetId="17" state="hidden" r:id="rId6"/>
    <sheet name="TNX Export" sheetId="25" state="hidden" r:id="rId7"/>
    <sheet name="Database" sheetId="21" state="hidden" r:id="rId8"/>
    <sheet name="Import Ranges" sheetId="26" state="hidden" r:id="rId9"/>
    <sheet name="Summary" sheetId="1" r:id="rId10"/>
    <sheet name="Bolt-On Split Pipe Connections" sheetId="8" state="hidden" r:id="rId11"/>
    <sheet name="Leg Load at Time of Mod" sheetId="10" state="hidden" r:id="rId12"/>
    <sheet name="Rev. H" sheetId="2" r:id="rId13"/>
    <sheet name="Rev. G" sheetId="3" r:id="rId14"/>
    <sheet name="Rev. F" sheetId="4" r:id="rId15"/>
    <sheet name="Ref" sheetId="5" r:id="rId16"/>
    <sheet name="Form Fit Reference" sheetId="6" r:id="rId17"/>
    <sheet name="Revision" sheetId="7" r:id="rId18"/>
  </sheets>
  <functionGroups builtInGroupCount="19"/>
  <definedNames>
    <definedName name="_xlnm._FilterDatabase" localSheetId="11" hidden="1">'Leg Load at Time of Mod'!$AA$1:$AA$167</definedName>
    <definedName name="_xlnm._FilterDatabase" localSheetId="9" hidden="1">Summary!$G$37:$H$37</definedName>
    <definedName name="_xlnm._FilterDatabase" localSheetId="2" hidden="1">'TNX File'!$A$1:$DN$25966</definedName>
    <definedName name="ACleg">Summary!$W$100</definedName>
    <definedName name="AClegin">Summary!$W$102</definedName>
    <definedName name="AClegtot">Summary!$W$104</definedName>
    <definedName name="ACrein">Summary!$W$106</definedName>
    <definedName name="ACreinin">Summary!$W$108</definedName>
    <definedName name="ACreintot">Summary!$W$110</definedName>
    <definedName name="ACtot">Summary!$W$112</definedName>
    <definedName name="Agross_Ubolt">'Bolt-On Split Pipe Connections'!$R$546</definedName>
    <definedName name="ai">Summary!$G$24</definedName>
    <definedName name="ai_ri_F">'Rev. F'!$D$23</definedName>
    <definedName name="ai_ri_G">'Rev. G'!$D$23</definedName>
    <definedName name="ai_ri_H">'Rev. H'!$D$20</definedName>
    <definedName name="Ainner">Summary!$W$83</definedName>
    <definedName name="Aleg">Summary!$W$77</definedName>
    <definedName name="Alegf">Summary!$Z$77</definedName>
    <definedName name="AllInputsComplete">Summary!$U$6</definedName>
    <definedName name="anglebolts_bot">'Bolt-On Split Pipe Connections'!$R$552</definedName>
    <definedName name="anglebolts_top">'Bolt-On Split Pipe Connections'!$R$554</definedName>
    <definedName name="Aouter">Summary!$W$81</definedName>
    <definedName name="AppliedLoad">Summary!$G$20</definedName>
    <definedName name="AppliedLoadColumn">Database!$AE$4:$AE$203</definedName>
    <definedName name="Area">'TNX Arbitrary Shape'!$B$9</definedName>
    <definedName name="Arein">Summary!$W$78</definedName>
    <definedName name="Areinf">Summary!$Z$78</definedName>
    <definedName name="armsp_bot">'Bolt-On Split Pipe Connections'!$R$257</definedName>
    <definedName name="armsp_top">'Bolt-On Split Pipe Connections'!$R$319</definedName>
    <definedName name="Asp">'Bolt-On Split Pipe Connections'!$R$87</definedName>
    <definedName name="Astiffener_bot">'Bolt-On Split Pipe Connections'!$R$479</definedName>
    <definedName name="Astiffener_top">'Bolt-On Split Pipe Connections'!$R$511</definedName>
    <definedName name="Astiffenertop_bot">'Bolt-On Split Pipe Connections'!$R$497</definedName>
    <definedName name="Astiffenertop_top">'Bolt-On Split Pipe Connections'!$R$529</definedName>
    <definedName name="Athreadedrod_gross_bot">'Bolt-On Split Pipe Connections'!$R$122</definedName>
    <definedName name="Athreadedrod_gross_top">'Bolt-On Split Pipe Connections'!$R$150</definedName>
    <definedName name="Athreadedrod_net_bot">'Bolt-On Split Pipe Connections'!$R$124</definedName>
    <definedName name="Athreadedrod_net_top">'Bolt-On Split Pipe Connections'!$R$152</definedName>
    <definedName name="ATlegtot">Summary!$W$115</definedName>
    <definedName name="Atot">Summary!$W$79</definedName>
    <definedName name="Atotf">Summary!$Z$79</definedName>
    <definedName name="ATreintot">Summary!$W$117</definedName>
    <definedName name="ATtot">Summary!$W$119</definedName>
    <definedName name="Aweld_h_bot">'Bolt-On Split Pipe Connections'!$R$387</definedName>
    <definedName name="Aweld_h_top">'Bolt-On Split Pipe Connections'!$R$403</definedName>
    <definedName name="BCthreadedrod_bot">'Bolt-On Split Pipe Connections'!$R$116</definedName>
    <definedName name="BCthreadedrod_top">'Bolt-On Split Pipe Connections'!$R$144</definedName>
    <definedName name="bendf">Summary!$Z$88</definedName>
    <definedName name="BoltCircleInput_Bot">'Bolt-On Split Pipe Connections'!$Q$21</definedName>
    <definedName name="BoltCircleInput_Top">'Bolt-On Split Pipe Connections'!$Q$25</definedName>
    <definedName name="BoltOnRating">'Bolt-On Split Pipe Connections'!$O$702</definedName>
    <definedName name="BoltOrientationInput_Bot">'Bolt-On Split Pipe Connections'!$Q$22</definedName>
    <definedName name="BoltOrientationInput_Top">'Bolt-On Split Pipe Connections'!$Q$26</definedName>
    <definedName name="BU_Import">IMPORT!$D$3</definedName>
    <definedName name="Cc_leg_F">'Leg Load at Time of Mod'!$Q$55</definedName>
    <definedName name="Cc_sp_F">'Leg Load at Time of Mod'!$Q$79</definedName>
    <definedName name="Check_buckling">'Leg Load at Time of Mod'!$Q$23</definedName>
    <definedName name="Check_TIA">'Leg Load at Time of Mod'!$Q$25</definedName>
    <definedName name="cmax_bot">'Bolt-On Split Pipe Connections'!$R$305</definedName>
    <definedName name="cmax_top">'Bolt-On Split Pipe Connections'!$R$367</definedName>
    <definedName name="ConsiderLegLoadatTimeofMod">Summary!$G$17</definedName>
    <definedName name="CopySectionList">Database!$P$4:INDEX(Database!$P$4:$P$203,SUMPRODUCT(--(Database!$DJ$1:$DJ$200&lt;&gt;"")))</definedName>
    <definedName name="CopySectionStart">Database!$DJ$1</definedName>
    <definedName name="COUNT">'Form Fit Reference'!$A$1</definedName>
    <definedName name="CountSections">Database!$P$2</definedName>
    <definedName name="CurrentSectionForPrompt">Summary!$U$5</definedName>
    <definedName name="Cw">'TNX Arbitrary Shape'!$B$21</definedName>
    <definedName name="Database_ArbitraryShape_Reference">Database!$BV$3:$CY$203</definedName>
    <definedName name="Database_BoltOn_Reference">Database!$AT$3:$BT$203</definedName>
    <definedName name="Database_Reference_List">Database!$P$3:$BT$203</definedName>
    <definedName name="Database_Summary_Reference">Database!$V$3:$AS$203</definedName>
    <definedName name="DatabaseRng1">Database!$V$4:$BT$203</definedName>
    <definedName name="DatabaseRng2">Database!$BV$4:$CY$203</definedName>
    <definedName name="DataStored">Summary!$U$4</definedName>
    <definedName name="DataStoredBoltOnConnections">'Bolt-On Split Pipe Connections'!$AA$14</definedName>
    <definedName name="DataStoredColumn">Database!$V$4:$V$203</definedName>
    <definedName name="DataType">Summary!$B$33</definedName>
    <definedName name="DefineUserInputs">'Bolt-On Split Pipe Connections'!$Q$48</definedName>
    <definedName name="Density">'TNX Arbitrary Shape'!$B$8</definedName>
    <definedName name="DesignBoltOnConnectionsHyperlink">Summary!$B$43</definedName>
    <definedName name="DesignBoltOnSplitPipeConnections">Summary!$A$43</definedName>
    <definedName name="Dfillet_bot">'Bolt-On Split Pipe Connections'!$R$242</definedName>
    <definedName name="Dfillet_top">'Bolt-On Split Pipe Connections'!$R$248</definedName>
    <definedName name="Diameter">Summary!$G$34</definedName>
    <definedName name="DL_Column">IMPORT!$G$1</definedName>
    <definedName name="DL_Row">IMPORT!$AA$12</definedName>
    <definedName name="Dleg">Summary!$G$28</definedName>
    <definedName name="Drein">Summary!$G$34</definedName>
    <definedName name="dthreadedrod_bot">'Bolt-On Split Pipe Connections'!$R$106</definedName>
    <definedName name="dthreadedrod_net_bot">'Bolt-On Split Pipe Connections'!$R$126</definedName>
    <definedName name="dthreadedrod_net_top">'Bolt-On Split Pipe Connections'!$R$154</definedName>
    <definedName name="dthreadedrod_top">'Bolt-On Split Pipe Connections'!$R$134</definedName>
    <definedName name="dturn">'Bolt-On Split Pipe Connections'!$R$638</definedName>
    <definedName name="dv_bot">'Bolt-On Split Pipe Connections'!$R$297</definedName>
    <definedName name="dv_top">'Bolt-On Split Pipe Connections'!$R$359</definedName>
    <definedName name="E">'Bolt-On Split Pipe Connections'!$R$165</definedName>
    <definedName name="ElectrodeStrengthInput_Bot">'Bolt-On Split Pipe Connections'!$Q$63</definedName>
    <definedName name="ElectrodeStrengthInput_Top">'Bolt-On Split Pipe Connections'!$Q$69</definedName>
    <definedName name="EndConnections">Summary!$G$18</definedName>
    <definedName name="EndConnectionsColumn">Database!$AC$4:$AC$203</definedName>
    <definedName name="ERIDatabaseExportMaterial">Database!$DH$1:INDEX(Database!$DH$1:$DH$800,SUMPRODUCT(--(Database!$DH$1:$DH$800&lt;&gt;"")))</definedName>
    <definedName name="ERIDatabaseExportSection">Database!$DG$1:INDEX(Database!$DG$1:$DG$800,SUMPRODUCT(--(Database!$DG$1:$DG$800&lt;&gt;"")))</definedName>
    <definedName name="F\y_leg_G">'Leg Load at Time of Mod'!$Q$47</definedName>
    <definedName name="F\y_leg_H">'Leg Load at Time of Mod'!$Q$39</definedName>
    <definedName name="F\y_sp_G">'Leg Load at Time of Mod'!$Q$71</definedName>
    <definedName name="F\y_sp_H">'Leg Load at Time of Mod'!$Q$63</definedName>
    <definedName name="F\ythreadedrod_bot">'Bolt-On Split Pipe Connections'!$R$173</definedName>
    <definedName name="F\ythreadedrod_top">'Bolt-On Split Pipe Connections'!$R$187</definedName>
    <definedName name="f1_bot">'Bolt-On Split Pipe Connections'!$R$489</definedName>
    <definedName name="f1_top">'Bolt-On Split Pipe Connections'!$R$521</definedName>
    <definedName name="f2_bot">'Bolt-On Split Pipe Connections'!$R$491</definedName>
    <definedName name="f2_top">'Bolt-On Split Pipe Connections'!$R$523</definedName>
    <definedName name="Facomp_F">'Leg Load at Time of Mod'!$Q$95</definedName>
    <definedName name="Faleg_F">'Leg Load at Time of Mod'!$Q$57</definedName>
    <definedName name="Fasp_F">'Leg Load at Time of Mod'!$Q$81</definedName>
    <definedName name="Fcr_comp_G">'Leg Load at Time of Mod'!$Q$91</definedName>
    <definedName name="Fcr_comp_H">'Leg Load at Time of Mod'!$Q$87</definedName>
    <definedName name="Fcr_leg_G">'Leg Load at Time of Mod'!$Q$51</definedName>
    <definedName name="Fcr_leg_H">'Leg Load at Time of Mod'!$Q$43</definedName>
    <definedName name="Fcr_sp_G">'Leg Load at Time of Mod'!$Q$75</definedName>
    <definedName name="Fcr_sp_H">'Leg Load at Time of Mod'!$Q$67</definedName>
    <definedName name="Fcrthreadedrod_bot">'Bolt-On Split Pipe Connections'!$R$175</definedName>
    <definedName name="Fcrthreadedrod_top">'Bolt-On Split Pipe Connections'!$R$189</definedName>
    <definedName name="Fe_leg_H">'Leg Load at Time of Mod'!$Q$41</definedName>
    <definedName name="Fe_sp_H">'Leg Load at Time of Mod'!$Q$65</definedName>
    <definedName name="Fethreadedrod_bot">'Bolt-On Split Pipe Connections'!$R$171</definedName>
    <definedName name="Fethreadedrod_top">'Bolt-On Split Pipe Connections'!$R$185</definedName>
    <definedName name="FEXX_bot">'Bolt-On Split Pipe Connections'!$R$240</definedName>
    <definedName name="FEXX_top">'Bolt-On Split Pipe Connections'!$R$246</definedName>
    <definedName name="FFPArea">Summary!$Z$78</definedName>
    <definedName name="FFPI">Summary!$Z$82</definedName>
    <definedName name="FFPlegArea">Summary!$Z$77</definedName>
    <definedName name="FFPtotArea">Summary!$Z$79</definedName>
    <definedName name="File">'TNX Arbitrary Shape'!$A$29</definedName>
    <definedName name="file_path">IMPORT!$D$8</definedName>
    <definedName name="file_path_report">IMPORT!$D$10</definedName>
    <definedName name="file_path_report_dead">IMPORT!$D$12</definedName>
    <definedName name="filename_search_keyword">'Import Ranges'!$H$1</definedName>
    <definedName name="FilletWeldSizeInput_Bot">'Bolt-On Split Pipe Connections'!$Q$62</definedName>
    <definedName name="FilletWeldSizeInput_Top">'Bolt-On Split Pipe Connections'!$Q$68</definedName>
    <definedName name="Fixed">Ref!$B$1:$B$2</definedName>
    <definedName name="Fixed2">Ref!$B$4:$B$5</definedName>
    <definedName name="FixedOptions">Ref!$B$1:$B$2</definedName>
    <definedName name="FlangeThicknessInput_Bot">'Bolt-On Split Pipe Connections'!$Q$64</definedName>
    <definedName name="FlangeThicknessInput_Top">'Bolt-On Split Pipe Connections'!$Q$70</definedName>
    <definedName name="FntUbolt">'Bolt-On Split Pipe Connections'!$R$544</definedName>
    <definedName name="FormFitReference">Summary!$A$33</definedName>
    <definedName name="Free">Ref!$A$1</definedName>
    <definedName name="Free2">Ref!$A$4</definedName>
    <definedName name="FreeOptions">Ref!$A$1</definedName>
    <definedName name="Fu_Material">'TNX Arbitrary Shape'!$B$26</definedName>
    <definedName name="Fustiffener_bot">'Bolt-On Split Pipe Connections'!$R$214</definedName>
    <definedName name="Fustiffener_top">'Bolt-On Split Pipe Connections'!$R$232</definedName>
    <definedName name="Futhreadedrod_bot">'Bolt-On Split Pipe Connections'!$R$114</definedName>
    <definedName name="Futhreadedrod_top">'Bolt-On Split Pipe Connections'!$R$142</definedName>
    <definedName name="Fy_Material">'TNX Arbitrary Shape'!$B$25</definedName>
    <definedName name="Fystiffener_bot">'Bolt-On Split Pipe Connections'!$R$212</definedName>
    <definedName name="Fystiffener_top">'Bolt-On Split Pipe Connections'!$R$230</definedName>
    <definedName name="Fythreadedrod_bot">'Bolt-On Split Pipe Connections'!$R$112</definedName>
    <definedName name="Fythreadedrod_top">'Bolt-On Split Pipe Connections'!$R$140</definedName>
    <definedName name="Gleg">Summary!$G$30</definedName>
    <definedName name="GR">Summary!$W$71</definedName>
    <definedName name="Grein">Summary!$G$36</definedName>
    <definedName name="GRf">Summary!$Z$71</definedName>
    <definedName name="Height">'TNX Arbitrary Shape'!$B$3</definedName>
    <definedName name="HeightofStiffenersInput_Bot">'Bolt-On Split Pipe Connections'!$Q$60</definedName>
    <definedName name="HeightofStiffenersInput_Top">'Bolt-On Split Pipe Connections'!$Q$66</definedName>
    <definedName name="hstiffener_bot">'Bolt-On Split Pipe Connections'!$R$202</definedName>
    <definedName name="hstiffener_top">'Bolt-On Split Pipe Connections'!$R$220</definedName>
    <definedName name="I_h1_bot">'Bolt-On Split Pipe Connections'!$R$293</definedName>
    <definedName name="I_h1_top">'Bolt-On Split Pipe Connections'!$R$355</definedName>
    <definedName name="I_h2_bot">'Bolt-On Split Pipe Connections'!$R$295</definedName>
    <definedName name="I_h2_top">'Bolt-On Split Pipe Connections'!$R$357</definedName>
    <definedName name="Iinner">Summary!$W$86</definedName>
    <definedName name="Ileg">Summary!$W$80</definedName>
    <definedName name="Ilegf">Summary!$Z$80</definedName>
    <definedName name="Interaction_stiffenerheight_bot">'Bolt-On Split Pipe Connections'!$R$507</definedName>
    <definedName name="Interaction_stiffenerheight_top">'Bolt-On Split Pipe Connections'!$R$539</definedName>
    <definedName name="Interaction_stiffenerlength_bot">'Bolt-On Split Pipe Connections'!$R$495</definedName>
    <definedName name="Interaction_stiffenerlength_top">'Bolt-On Split Pipe Connections'!$R$527</definedName>
    <definedName name="IntermediateConnectionType">Summary!$G$23</definedName>
    <definedName name="Iouter">Summary!$W$85</definedName>
    <definedName name="Irein">Summary!$W$88</definedName>
    <definedName name="ireinf">Summary!$Z$82</definedName>
    <definedName name="ireinxf">Summary!$Z$82</definedName>
    <definedName name="Itot">Summary!$W$90</definedName>
    <definedName name="ItotF">Summary!$Z$87</definedName>
    <definedName name="ItotFFP">Summary!$Z$87</definedName>
    <definedName name="Iv_bot">'Bolt-On Split Pipe Connections'!$R$299</definedName>
    <definedName name="Iv_top">'Bolt-On Split Pipe Connections'!$R$361</definedName>
    <definedName name="Iweld_group_bot">'Bolt-On Split Pipe Connections'!$R$301</definedName>
    <definedName name="Iweld_group_top">'Bolt-On Split Pipe Connections'!$R$363</definedName>
    <definedName name="Ix">'TNX Arbitrary Shape'!$B$10</definedName>
    <definedName name="Iy">'TNX Arbitrary Shape'!$B$11</definedName>
    <definedName name="J">'TNX Arbitrary Shape'!$B$22</definedName>
    <definedName name="K_Original_Leg_Equivalent_F">'Rev. F'!$W$22</definedName>
    <definedName name="K_Original_Leg_Equivalent_G">'Rev. G'!$W$22</definedName>
    <definedName name="K_Original_Leg_Equivalent_H">'Rev. H'!$W$22</definedName>
    <definedName name="K_TNX">'Leg Load at Time of Mod'!$Q$30</definedName>
    <definedName name="Kai_ri">'Leg Load at Time of Mod'!$Q$14</definedName>
    <definedName name="KFactorAdjustment">'TNX Arbitrary Shape'!$B$23</definedName>
    <definedName name="KFactorAdjustmentColumn">Database!$CR$3</definedName>
    <definedName name="Ki">'Leg Load at Time of Mod'!$Q$12</definedName>
    <definedName name="Ki_Override">Summary!$G$25</definedName>
    <definedName name="KL_rib">'Leg Load at Time of Mod'!$Q$16</definedName>
    <definedName name="KL_rib_F">'Rev. F'!$D$21</definedName>
    <definedName name="KL_rib_G">'Rev. G'!$D$19</definedName>
    <definedName name="KL_rib_H">'Rev. H'!$D$16</definedName>
    <definedName name="KL_rleg">'Leg Load at Time of Mod'!$Q$18</definedName>
    <definedName name="KL_rleg_F">'Rev. F'!$P$3</definedName>
    <definedName name="KL_rleg_G">'Rev. G'!$O$3</definedName>
    <definedName name="KL_rleg_H">'Rev. H'!$O$3</definedName>
    <definedName name="KL_rm">'Leg Load at Time of Mod'!$Q$8</definedName>
    <definedName name="KL_rm_F">'Rev. F'!$D$20</definedName>
    <definedName name="KL_rm_G">'Rev. G'!$D$18</definedName>
    <definedName name="KL_rm_H">'Rev. H'!$D$15</definedName>
    <definedName name="KL_ro">'Leg Load at Time of Mod'!$Q$10</definedName>
    <definedName name="KL_ro_F">'Rev. F'!$D$19</definedName>
    <definedName name="KL_ro_G">'Rev. G'!$D$17</definedName>
    <definedName name="KL_ro_H">'Rev. H'!$D$14</definedName>
    <definedName name="KL_rthreadedrod_bot">'Bolt-On Split Pipe Connections'!$R$169</definedName>
    <definedName name="KL_rthreadedrod_top">'Bolt-On Split Pipe Connections'!$R$183</definedName>
    <definedName name="Kthreadedrod">'Bolt-On Split Pipe Connections'!$R$163</definedName>
    <definedName name="LastHeader">Database!$Q$2</definedName>
    <definedName name="Lbolt">'Bolt-On Split Pipe Connections'!$R$628</definedName>
    <definedName name="LegCrushing">Summary!$G$19</definedName>
    <definedName name="LegReinforcementSelection">IMPORT!$H$17:$H200</definedName>
    <definedName name="LengthofStiffenersInput_Bot">'Bolt-On Split Pipe Connections'!$Q$61</definedName>
    <definedName name="LengthofStiffenersInput_Top">'Bolt-On Split Pipe Connections'!$Q$67</definedName>
    <definedName name="ListHeader">Database!$P$3</definedName>
    <definedName name="ListHeader2">Database!$Q$3</definedName>
    <definedName name="ListIndex">Database!$Q$4:INDEX(Database!$Q$4:$Q$203,SUMPRODUCT(--(Database!$Q$4:$Q$203&lt;&gt;"")))</definedName>
    <definedName name="ListIndex_withBlanks">Database!$P$4:$P$203</definedName>
    <definedName name="Lleg">'Bolt-On Split Pipe Connections'!$Q$7</definedName>
    <definedName name="LoadZNormalization">Summary!$U$2</definedName>
    <definedName name="Lsp">'Bolt-On Split Pipe Connections'!$Q$9</definedName>
    <definedName name="Lstiffener_bot">'Bolt-On Split Pipe Connections'!$R$206</definedName>
    <definedName name="Lstiffener_top">'Bolt-On Split Pipe Connections'!$R$224</definedName>
    <definedName name="Ltotal_leg" localSheetId="5">'Bolt-On Split Pipe Connections'!#REF!</definedName>
    <definedName name="Ltotal_leg">'Bolt-On Split Pipe Connections'!#REF!</definedName>
    <definedName name="Ltotal_sp" localSheetId="5">'Bolt-On Split Pipe Connections'!#REF!</definedName>
    <definedName name="Ltotal_sp">'Bolt-On Split Pipe Connections'!#REF!</definedName>
    <definedName name="Lu_leg">Summary!$G$31</definedName>
    <definedName name="Luthreadedrod_bot">'Bolt-On Split Pipe Connections'!$R$120</definedName>
    <definedName name="Luthreadedrod_top">'Bolt-On Split Pipe Connections'!$R$148</definedName>
    <definedName name="Lweld_h1_bot">'Bolt-On Split Pipe Connections'!$R$259</definedName>
    <definedName name="Lweld_h1_top">'Bolt-On Split Pipe Connections'!$R$321</definedName>
    <definedName name="Lweld_h2_bot">'Bolt-On Split Pipe Connections'!$R$269</definedName>
    <definedName name="Lweld_h2_top">'Bolt-On Split Pipe Connections'!$R$331</definedName>
    <definedName name="Lweld_hstiffener">'Bolt-On Split Pipe Connections'!$R$383</definedName>
    <definedName name="Lweld_hstiffener_bot">'Bolt-On Split Pipe Connections'!$R$383</definedName>
    <definedName name="Lweld_hstiffener_top">'Bolt-On Split Pipe Connections'!$R$399</definedName>
    <definedName name="Lweld_v_bot">'Bolt-On Split Pipe Connections'!$R$279</definedName>
    <definedName name="Lweld_v_top">'Bolt-On Split Pipe Connections'!$R$341</definedName>
    <definedName name="Material">'TNX Arbitrary Shape'!$B$24</definedName>
    <definedName name="MaterialGrades">Ref!$D$22:$G$30</definedName>
    <definedName name="materialstiffener_bot">'Bolt-On Split Pipe Connections'!$R$210</definedName>
    <definedName name="materialstiffener_top">'Bolt-On Split Pipe Connections'!$R$228</definedName>
    <definedName name="materialthreadedrod_bot">'Bolt-On Split Pipe Connections'!$R$110</definedName>
    <definedName name="materialthreadedrod_top">'Bolt-On Split Pipe Connections'!$R$138</definedName>
    <definedName name="MatName">'TNX Arbitrary Shape'!$A$36</definedName>
    <definedName name="MatNameColumn">Database!$CX$3</definedName>
    <definedName name="MatValue">'TNX Arbitrary Shape'!$A$37</definedName>
    <definedName name="MemberMatFile">'TNX Arbitrary Shape'!$A$35</definedName>
    <definedName name="Modulus">'TNX Arbitrary Shape'!$B$7</definedName>
    <definedName name="Mthreadedrod_bot">'Bolt-On Split Pipe Connections'!$R$597</definedName>
    <definedName name="Mthreadedrod_top">'Bolt-On Split Pipe Connections'!$R$613</definedName>
    <definedName name="n_h1_bot">'Bolt-On Split Pipe Connections'!$R$263</definedName>
    <definedName name="n_h1_top">'Bolt-On Split Pipe Connections'!$R$325</definedName>
    <definedName name="n_h2_bot">'Bolt-On Split Pipe Connections'!$R$273</definedName>
    <definedName name="n_h2_top">'Bolt-On Split Pipe Connections'!$R$335</definedName>
    <definedName name="n_v_bot">'Bolt-On Split Pipe Connections'!$R$283</definedName>
    <definedName name="n_v_top">'Bolt-On Split Pipe Connections'!$R$345</definedName>
    <definedName name="nbolts_existing_bot">'Bolt-On Split Pipe Connections'!$R$421</definedName>
    <definedName name="nbolts_existing_top">'Bolt-On Split Pipe Connections'!$R$439</definedName>
    <definedName name="notchstiffener_bot">'Bolt-On Split Pipe Connections'!$R$204</definedName>
    <definedName name="notchstiffener_top">'Bolt-On Split Pipe Connections'!$R$222</definedName>
    <definedName name="nthreadedrod_bot">'Bolt-On Split Pipe Connections'!$R$118</definedName>
    <definedName name="nthreadedrod_threads_bot">'Bolt-On Split Pipe Connections'!$R$108</definedName>
    <definedName name="nthreadedrod_threads_top">'Bolt-On Split Pipe Connections'!$R$136</definedName>
    <definedName name="nthreadedrod_top">'Bolt-On Split Pipe Connections'!$R$146</definedName>
    <definedName name="nweld_h_bot">'Bolt-On Split Pipe Connections'!$R$391</definedName>
    <definedName name="nweld_h_top">'Bolt-On Split Pipe Connections'!$R$407</definedName>
    <definedName name="ØA">'Form Fit Reference'!$A$3:$A$17</definedName>
    <definedName name="Order_Import">IMPORT!$D$5</definedName>
    <definedName name="Original_Leg_Capacity_Equivalent_F">'Rev. F'!$W$27</definedName>
    <definedName name="Original_Leg_Capacity_Equivalent_G">'Rev. G'!$W$28</definedName>
    <definedName name="Original_Leg_Capacity_Equivalent_H">'Rev. H'!$W$28</definedName>
    <definedName name="Original_Leg_Capacity_F">'Rev. F'!$W$30</definedName>
    <definedName name="Original_Leg_Capacity_G">'Rev. G'!$E$31</definedName>
    <definedName name="Original_Leg_Capacity_H">'Rev. H'!$E$28</definedName>
    <definedName name="P_1">'Leg Load at Time of Mod'!$Q$100</definedName>
    <definedName name="P_2">'Leg Load at Time of Mod'!$Q$102</definedName>
    <definedName name="P_3">'Leg Load at Time of Mod'!$Q$104</definedName>
    <definedName name="Pdead">Summary!$O$9</definedName>
    <definedName name="Pdead_Column">Database!$X$4:$X$203</definedName>
    <definedName name="Pdead_Column2">Database!$AR$4:$AR$203</definedName>
    <definedName name="Pdead_Count_NonBlank">Database!$X$1</definedName>
    <definedName name="Pdead_Import">Database!$T$3</definedName>
    <definedName name="Pdead_Import_Column">Database!$T$4:$T$203</definedName>
    <definedName name="Perimeter">'TNX Arbitrary Shape'!$B$6</definedName>
    <definedName name="Phic_G">'Rev. G'!$D$30</definedName>
    <definedName name="Phic_H">'Rev. H'!$D$27</definedName>
    <definedName name="Pleg">'Leg Load at Time of Mod'!$Q$110</definedName>
    <definedName name="Pmod_leg">'Bolt-On Split Pipe Connections'!$R$95</definedName>
    <definedName name="Pmod_sp">'Bolt-On Split Pipe Connections'!$R$97</definedName>
    <definedName name="PNA">Summary!$W$91</definedName>
    <definedName name="_xlnm.Print_Area" localSheetId="10">'Bolt-On Split Pipe Connections'!$B$661:$P$705</definedName>
    <definedName name="_xlnm.Print_Area" localSheetId="9">Summary!$A:$S</definedName>
    <definedName name="PrintBoltOnConnectionInfo">Summary!$U$3</definedName>
    <definedName name="PrintBoltOnConnectionInfoColumn">Database!$AS$4:$AS$203</definedName>
    <definedName name="PropertiesAndSpacingsKnown">Summary!$W$70</definedName>
    <definedName name="PropertiesKnown">Summary!$W$69</definedName>
    <definedName name="Psp">'Leg Load at Time of Mod'!$Q$112</definedName>
    <definedName name="Pthreadedrod_bot">'Bolt-On Split Pipe Connections'!$R$595</definedName>
    <definedName name="Pthreadedrod_top">'Bolt-On Split Pipe Connections'!$R$611</definedName>
    <definedName name="Pu">Summary!$O$8</definedName>
    <definedName name="Pu_0mph">'Bolt-On Split Pipe Connections'!$Q$11</definedName>
    <definedName name="Pu_Column">Database!$W$4:$W$203</definedName>
    <definedName name="Pu_Column2">Database!$AQ$4:$AQ$203</definedName>
    <definedName name="Pu_Count_NonBlank">Database!$W$1</definedName>
    <definedName name="Pu_Import">Database!$S$3</definedName>
    <definedName name="Pu_Import_Column">Database!$S$4:$S$203</definedName>
    <definedName name="Pu_Parse">'TNX RTF Parse'!$BC$2:$BC$201</definedName>
    <definedName name="Pu_Parse_Dead">'TNX RTF Parse'!$BE$2:$BE$201</definedName>
    <definedName name="Pu_Parse_Wind">'TNX RTF Parse'!$BD$2:$BD$201</definedName>
    <definedName name="QaQs">'TNX Arbitrary Shape'!$B$20</definedName>
    <definedName name="QuantityofFlangeBoltsInput_Bot">'Bolt-On Split Pipe Connections'!$Q$20</definedName>
    <definedName name="QuantityofFlangeBoltsInput_Top">'Bolt-On Split Pipe Connections'!$Q$24</definedName>
    <definedName name="QuantityofThreadedRodsInput_Bot">'Bolt-On Split Pipe Connections'!$Q$40</definedName>
    <definedName name="QuantityofThreadedRodsInput_Top">'Bolt-On Split Pipe Connections'!$Q$45</definedName>
    <definedName name="Ratioexisting">'Bolt-On Split Pipe Connections'!$R$89</definedName>
    <definedName name="Ratiomod">'Bolt-On Split Pipe Connections'!$R$91</definedName>
    <definedName name="Ratioturn_bot">'Bolt-On Split Pipe Connections'!$R$640</definedName>
    <definedName name="Ratioturn_top">'Bolt-On Split Pipe Connections'!$R$652</definedName>
    <definedName name="ReinType">Summary!$B$12</definedName>
    <definedName name="ReinTypeColumn">Database!$Y$4:$Y$203</definedName>
    <definedName name="Required_Inputs_Complete">Database!$BU$3</definedName>
    <definedName name="RFF_Actual">'Form Fit Reference'!$B$3:$B$35</definedName>
    <definedName name="rh_bot">'Bolt-On Split Pipe Connections'!$R$385</definedName>
    <definedName name="rh_tens_h_bot">'Bolt-On Split Pipe Connections'!$R$493</definedName>
    <definedName name="rh_tens_h_top">'Bolt-On Split Pipe Connections'!$R$525</definedName>
    <definedName name="rh_tens_v_bot">'Bolt-On Split Pipe Connections'!$R$460</definedName>
    <definedName name="rh_tens_v_top">'Bolt-On Split Pipe Connections'!$R$466</definedName>
    <definedName name="rh_top">'Bolt-On Split Pipe Connections'!$R$401</definedName>
    <definedName name="Rleg">Summary!$W$72</definedName>
    <definedName name="rlegf">Summary!$Z$72</definedName>
    <definedName name="Rlegin">Summary!$W$73</definedName>
    <definedName name="Rleginf">Summary!$Z$73</definedName>
    <definedName name="rm_bot">'Bolt-On Split Pipe Connections'!$R$307</definedName>
    <definedName name="rm_tens_bot">'Bolt-On Split Pipe Connections'!$R$427</definedName>
    <definedName name="rm_tens_top">'Bolt-On Split Pipe Connections'!$R$445</definedName>
    <definedName name="rm_top">'Bolt-On Split Pipe Connections'!$R$369</definedName>
    <definedName name="Rntstiffener_bot">'Bolt-On Split Pipe Connections'!$R$481</definedName>
    <definedName name="Rntstiffener_top">'Bolt-On Split Pipe Connections'!$R$513</definedName>
    <definedName name="Rntstiffenertop_bot">'Bolt-On Split Pipe Connections'!$R$499</definedName>
    <definedName name="Rntstiffenertop_top">'Bolt-On Split Pipe Connections'!$R$531</definedName>
    <definedName name="Rnvstiffener_bot">'Bolt-On Split Pipe Connections'!$R$485</definedName>
    <definedName name="Rnvstiffener_top">'Bolt-On Split Pipe Connections'!$R$517</definedName>
    <definedName name="Rnvstiffenertop_bot">'Bolt-On Split Pipe Connections'!$R$503</definedName>
    <definedName name="Rnvstiffenertop_top">'Bolt-On Split Pipe Connections'!$R$535</definedName>
    <definedName name="Rnweld">'Bolt-On Split Pipe Connections'!$R$311</definedName>
    <definedName name="Rnweld_bot">'Bolt-On Split Pipe Connections'!$R$311</definedName>
    <definedName name="Rnweld_h_bot">'Bolt-On Split Pipe Connections'!$R$389</definedName>
    <definedName name="Rnweld_h_top">'Bolt-On Split Pipe Connections'!$R$405</definedName>
    <definedName name="Rnweld_tens">'Bolt-On Split Pipe Connections'!$R$431</definedName>
    <definedName name="Rnweld_tens_bot">'Bolt-On Split Pipe Connections'!$R$431</definedName>
    <definedName name="Rnweld_tens_top">'Bolt-On Split Pipe Connections'!$R$449</definedName>
    <definedName name="Rnweld_top">'Bolt-On Split Pipe Connections'!$R$373</definedName>
    <definedName name="Rotationbot">'Bolt-On Split Pipe Connections'!$R$642</definedName>
    <definedName name="Rotationnut_bot">'Bolt-On Split Pipe Connections'!$R$644</definedName>
    <definedName name="Rotationnut_top">'Bolt-On Split Pipe Connections'!$R$656</definedName>
    <definedName name="Rotationtop">'Bolt-On Split Pipe Connections'!$R$654</definedName>
    <definedName name="ROW_END">'Bolt-On Split Pipe Connections'!$A$657</definedName>
    <definedName name="ROW_START">'Bolt-On Split Pipe Connections'!$A$81</definedName>
    <definedName name="rp_bot">'Bolt-On Split Pipe Connections'!$R$303</definedName>
    <definedName name="rp_tens_bot">'Bolt-On Split Pipe Connections'!$R$425</definedName>
    <definedName name="rp_tens_top">'Bolt-On Split Pipe Connections'!$R$443</definedName>
    <definedName name="rp_top">'Bolt-On Split Pipe Connections'!$R$365</definedName>
    <definedName name="Rrein">Summary!$W$74</definedName>
    <definedName name="Rreinf">Summary!$Z$74</definedName>
    <definedName name="Rreinin">Summary!$W$75</definedName>
    <definedName name="Rreininf">Summary!$Z$75</definedName>
    <definedName name="RTF_unit">'TNX RTF Parse'!$A$9</definedName>
    <definedName name="rthreadedrod_bot">'Bolt-On Split Pipe Connections'!$R$128</definedName>
    <definedName name="rthreadedrod_top">'Bolt-On Split Pipe Connections'!$R$156</definedName>
    <definedName name="ru">'Bolt-On Split Pipe Connections'!$R$309</definedName>
    <definedName name="ru_bot">'Bolt-On Split Pipe Connections'!$R$309</definedName>
    <definedName name="ru_tens_bot">'Bolt-On Split Pipe Connections'!$R$429</definedName>
    <definedName name="ru_tens_top">'Bolt-On Split Pipe Connections'!$R$447</definedName>
    <definedName name="ru_top">'Bolt-On Split Pipe Connections'!$R$371</definedName>
    <definedName name="rx">'TNX Arbitrary Shape'!$B$16</definedName>
    <definedName name="ry">'TNX Arbitrary Shape'!$B$17</definedName>
    <definedName name="SecondOrderAnlaysis">Summary!$G$21</definedName>
    <definedName name="Section15.5">Summary!$U$1</definedName>
    <definedName name="SectionCount">IMPORT!$B$16</definedName>
    <definedName name="SectionDataStored">Database!$V$3</definedName>
    <definedName name="SectionElevations">Summary!$E$8</definedName>
    <definedName name="SectionHeader">IMPORT!$C$16</definedName>
    <definedName name="SectionIndex">IMPORT!$C$17:INDEX(IMPORT!$C$17:$C$216,SUMPRODUCT(--(IMPORT!$C$17:$C$216&lt;&gt;"")))</definedName>
    <definedName name="SectionIndexTotal">IMPORT!$C$17:$C$216</definedName>
    <definedName name="SectionLastRow">IMPORT!$B$216</definedName>
    <definedName name="SetTopToBottom">'Bolt-On Split Pipe Connections'!$AA$13</definedName>
    <definedName name="SFx">'TNX Arbitrary Shape'!$B$19</definedName>
    <definedName name="SFy">'TNX Arbitrary Shape'!$B$18</definedName>
    <definedName name="ShowDesignCalcs">'Bolt-On Split Pipe Connections'!$AA$79</definedName>
    <definedName name="ShowDesignCalcsCheckbox">'Bolt-On Split Pipe Connections'!$Q$79</definedName>
    <definedName name="SI_Name">'TNX Arbitrary Shape'!$B$2</definedName>
    <definedName name="SIName">'TNX Arbitrary Shape'!$A$31</definedName>
    <definedName name="SiteName_Import">IMPORT!$D$4</definedName>
    <definedName name="sizethreadedrod_bot">'Bolt-On Split Pipe Connections'!$R$104</definedName>
    <definedName name="sizethreadedrod_top">'Bolt-On Split Pipe Connections'!$R$132</definedName>
    <definedName name="SlendernessRatioInput">Summary!$G$22</definedName>
    <definedName name="SlendernessRatioInputColumn">Database!$AF$4:$AF$203</definedName>
    <definedName name="source_rev_rng">'Import Ranges'!$B$1</definedName>
    <definedName name="SpacingRequirement">Summary!$N$12</definedName>
    <definedName name="SplitPipeLoadatTimeofModification" localSheetId="5">Summary!#REF!</definedName>
    <definedName name="SplitPipeLoadatTimeofModification">Summary!#REF!</definedName>
    <definedName name="SR_comp">'Leg Load at Time of Mod'!$Q$131</definedName>
    <definedName name="SR_leg">'Leg Load at Time of Mod'!$Q$123</definedName>
    <definedName name="SR_sp">'Leg Load at Time of Mod'!$Q$127</definedName>
    <definedName name="StartDesignOptions">Summary!$A$42</definedName>
    <definedName name="Sx_bot">'TNX Arbitrary Shape'!$B$13</definedName>
    <definedName name="Sx_top">'TNX Arbitrary Shape'!$B$12</definedName>
    <definedName name="Sy_bot">'TNX Arbitrary Shape'!$B$15</definedName>
    <definedName name="Sy_top">'TNX Arbitrary Shape'!$B$14</definedName>
    <definedName name="tflange_bot">'Bolt-On Split Pipe Connections'!$R$200</definedName>
    <definedName name="tflange_top">'Bolt-On Split Pipe Connections'!$R$218</definedName>
    <definedName name="THleg">Summary!$W$93</definedName>
    <definedName name="THlegin">Summary!$W$95</definedName>
    <definedName name="ThreadedRodMaterialInput_Bot">'Bolt-On Split Pipe Connections'!$Q$39</definedName>
    <definedName name="ThreadedRodMaterialInput_Top">'Bolt-On Split Pipe Connections'!$Q$44</definedName>
    <definedName name="ThreadedRodMaterials">Ref!$I$4:$L$15</definedName>
    <definedName name="ThreadedRodSizeInput_Bot">'Bolt-On Split Pipe Connections'!$Q$38</definedName>
    <definedName name="ThreadedRodSizeInput_Top">'Bolt-On Split Pipe Connections'!$Q$43</definedName>
    <definedName name="ThreadedRodSizes">Ref!$D$4:$G$18</definedName>
    <definedName name="THrein">Summary!$W$97</definedName>
    <definedName name="THreinin">Summary!$W$99</definedName>
    <definedName name="TIA">Summary!$G$15</definedName>
    <definedName name="TIA_Import">IMPORT!$D$6</definedName>
    <definedName name="TIA_Import_Column">Database!$R$3</definedName>
    <definedName name="Tleg">Summary!$G$29</definedName>
    <definedName name="TLF">'Rev. F'!$D$13</definedName>
    <definedName name="TNX_Database_Materials">Database!$CW$3:$CY$203</definedName>
    <definedName name="TNX_Database_Sections">Database!$CS$3:$CV$203</definedName>
    <definedName name="TNX_File" localSheetId="6">'TNX Export'!$A$1:$A$14117</definedName>
    <definedName name="TNX_File" localSheetId="2">'TNX File'!$A$1:$A$2011</definedName>
    <definedName name="TNX_File_1" localSheetId="6">'TNX Export'!$A$1:$A$17630</definedName>
    <definedName name="TNX_File_1" localSheetId="2">'TNX File'!$A$1:$A$5524</definedName>
    <definedName name="TNX_File_10" localSheetId="6">'TNX Export'!$A$1:$A$21727</definedName>
    <definedName name="TNX_File_10" localSheetId="2">'TNX File'!$A$1:$A$9621</definedName>
    <definedName name="TNX_File_11" localSheetId="6">'TNX Export'!$A$1:$A$18694</definedName>
    <definedName name="TNX_File_11" localSheetId="2">'TNX File'!$A$1:$A$6588</definedName>
    <definedName name="TNX_File_12" localSheetId="6">'TNX Export'!$A$1:$A$21727</definedName>
    <definedName name="TNX_File_12" localSheetId="2">'TNX File'!$A$1:$A$9621</definedName>
    <definedName name="TNX_File_13" localSheetId="6">'TNX Export'!$A$1:$A$18694</definedName>
    <definedName name="TNX_File_13" localSheetId="2">'TNX File'!$A$1:$A$6588</definedName>
    <definedName name="TNX_File_14" localSheetId="6">'TNX Export'!$A$1:$A$21727</definedName>
    <definedName name="TNX_File_14" localSheetId="2">'TNX File'!$A$1:$A$9621</definedName>
    <definedName name="TNX_File_15" localSheetId="6">'TNX Export'!$A$1:$A$38044</definedName>
    <definedName name="TNX_File_15" localSheetId="2">'TNX File'!$A$1:$A$25938</definedName>
    <definedName name="TNX_File_16" localSheetId="6">'TNX Export'!$A$1:$A$28018</definedName>
    <definedName name="TNX_File_16" localSheetId="2">'TNX File'!$A$1:$A$15912</definedName>
    <definedName name="TNX_File_17" localSheetId="6">'TNX Export'!$A$1:$A$38072</definedName>
    <definedName name="TNX_File_17" localSheetId="2">'TNX File'!$A$1:$A$25966</definedName>
    <definedName name="TNX_File_18" localSheetId="6">'TNX Export'!$A$1:$A$38072</definedName>
    <definedName name="TNX_File_18" localSheetId="2">'TNX File'!$A$1:$A$25966</definedName>
    <definedName name="TNX_File_19" localSheetId="6">'TNX Export'!$A$1:$A$38072</definedName>
    <definedName name="TNX_File_19" localSheetId="2">'TNX File'!$A$1:$A$25966</definedName>
    <definedName name="TNX_File_2" localSheetId="2">'TNX File'!$B$1:$B$5524</definedName>
    <definedName name="TNX_File_20" localSheetId="6">'TNX Export'!$A$1:$A$38072</definedName>
    <definedName name="TNX_File_20" localSheetId="2">'TNX File'!$A$1:$A$25966</definedName>
    <definedName name="TNX_File_21" localSheetId="6">'TNX Export'!$A$1:$A$38072</definedName>
    <definedName name="TNX_File_21" localSheetId="2">'TNX File'!$A$1:$A$25966</definedName>
    <definedName name="TNX_File_22" localSheetId="6">'TNX Export'!$A$1:$A$38072</definedName>
    <definedName name="TNX_File_22" localSheetId="2">'TNX File'!$A$1:$A$25966</definedName>
    <definedName name="TNX_File_23" localSheetId="6">'TNX Export'!$A$1:$A$38072</definedName>
    <definedName name="TNX_File_23" localSheetId="2">'TNX File'!$A$1:$A$25966</definedName>
    <definedName name="TNX_File_24" localSheetId="6">'TNX Export'!$A$1:$A$38072</definedName>
    <definedName name="TNX_File_24" localSheetId="2">'TNX File'!$A$1:$A$25966</definedName>
    <definedName name="TNX_File_25" localSheetId="6">'TNX Export'!$A$1:$A$38072</definedName>
    <definedName name="TNX_File_25" localSheetId="2">'TNX File'!$A$1:$A$25966</definedName>
    <definedName name="TNX_File_26" localSheetId="6">'TNX Export'!$A$1:$A$38072</definedName>
    <definedName name="TNX_File_26" localSheetId="2">'TNX File'!$A$1:$A$25966</definedName>
    <definedName name="TNX_File_27" localSheetId="6">'TNX Export'!$A$1:$A$38072</definedName>
    <definedName name="TNX_File_27" localSheetId="2">'TNX File'!$A$1:$A$25966</definedName>
    <definedName name="TNX_File_28" localSheetId="6">'TNX Export'!$A$1:$A$38072</definedName>
    <definedName name="TNX_File_28" localSheetId="2">'TNX File'!$A$1:$A$25966</definedName>
    <definedName name="TNX_File_29" localSheetId="6">'TNX Export'!$A$1:$A$38072</definedName>
    <definedName name="TNX_File_29" localSheetId="2">'TNX File'!$A$1:$A$25966</definedName>
    <definedName name="TNX_File_3" localSheetId="2">'TNX File'!$B$1:$B$2011</definedName>
    <definedName name="TNX_File_30" localSheetId="6">'TNX Export'!$A$1:$A$38072</definedName>
    <definedName name="TNX_File_30" localSheetId="2">'TNX File'!$A$1:$A$25966</definedName>
    <definedName name="TNX_File_31" localSheetId="6">'TNX Export'!$A$1:$A$27752</definedName>
    <definedName name="TNX_File_31" localSheetId="2">'TNX File'!$A$1:$A$15646</definedName>
    <definedName name="TNX_File_32" localSheetId="6">'TNX Export'!$A$1:$A$27752</definedName>
    <definedName name="TNX_File_32" localSheetId="2">'TNX File'!$A$1:$A$15646</definedName>
    <definedName name="TNX_File_33" localSheetId="6">'TNX Export'!$A$1:$A$27458</definedName>
    <definedName name="TNX_File_33" localSheetId="2">'TNX File'!$A$1:$A$15352</definedName>
    <definedName name="TNX_File_34" localSheetId="6">'TNX Export'!$A$1:$A$38072</definedName>
    <definedName name="TNX_File_34" localSheetId="2">'TNX File'!$A$1:$A$25966</definedName>
    <definedName name="TNX_File_35" localSheetId="2">'TNX File'!$A$1:$A$25966</definedName>
    <definedName name="TNX_File_36" localSheetId="2">'TNX File'!$A$1:$A$25966</definedName>
    <definedName name="TNX_File_37" localSheetId="2">'TNX File'!$A$1:$A$25966</definedName>
    <definedName name="TNX_File_38" localSheetId="2">'TNX File'!$A$1:$A$25966</definedName>
    <definedName name="TNX_File_39" localSheetId="2">'TNX File'!$A$1:$A$25966</definedName>
    <definedName name="TNX_File_4" localSheetId="6">'TNX Export'!$A$1:$A$21727</definedName>
    <definedName name="TNX_File_4" localSheetId="2">'TNX File'!$A$1:$A$9621</definedName>
    <definedName name="TNX_File_40" localSheetId="2">'TNX File'!$A$1:$A$25966</definedName>
    <definedName name="TNX_File_41" localSheetId="2">'TNX File'!$A$1:$A$25966</definedName>
    <definedName name="TNX_File_42" localSheetId="2">'TNX File'!$A$1:$A$25966</definedName>
    <definedName name="TNX_File_43" localSheetId="2">'TNX File'!$A$1:$A$25966</definedName>
    <definedName name="TNX_File_44" localSheetId="2">'TNX File'!$A$1:$A$25966</definedName>
    <definedName name="TNX_File_45" localSheetId="2">'TNX File'!$A$1:$A$25966</definedName>
    <definedName name="TNX_File_46" localSheetId="2">'TNX File'!$A$1:$A$25966</definedName>
    <definedName name="TNX_File_47" localSheetId="2">'TNX File'!$A$1:$A$25966</definedName>
    <definedName name="TNX_File_48" localSheetId="2">'TNX File'!$A$1:$A$25966</definedName>
    <definedName name="TNX_File_49" localSheetId="2">'TNX File'!$A$1:$A$25966</definedName>
    <definedName name="TNX_File_5" localSheetId="6">'TNX Export'!$A$1:$A$18694</definedName>
    <definedName name="TNX_File_5" localSheetId="2">'TNX File'!$A$1:$A$6588</definedName>
    <definedName name="TNX_File_50" localSheetId="2">'TNX File'!$A$1:$A$25966</definedName>
    <definedName name="TNX_File_51" localSheetId="2">'TNX File'!$A$1:$A$25966</definedName>
    <definedName name="TNX_File_52" localSheetId="2">'TNX File'!$A$1:$A$25966</definedName>
    <definedName name="TNX_File_53" localSheetId="2">'TNX File'!$A$1:$A$25966</definedName>
    <definedName name="TNX_File_54" localSheetId="2">'TNX File'!$A$1:$A$25966</definedName>
    <definedName name="TNX_File_55" localSheetId="2">'TNX File'!$A$1:$A$25966</definedName>
    <definedName name="TNX_File_56" localSheetId="2">'TNX File'!$A$1:$A$25967</definedName>
    <definedName name="TNX_File_57" localSheetId="2">'TNX File'!$A$1:$A$7143</definedName>
    <definedName name="TNX_File_58" localSheetId="2">'TNX File'!$A$1:$A$7143</definedName>
    <definedName name="TNX_File_59" localSheetId="2">'TNX File'!$A$1:$A$7143</definedName>
    <definedName name="TNX_File_6" localSheetId="6">'TNX Export'!$A$1:$A$18694</definedName>
    <definedName name="TNX_File_6" localSheetId="2">'TNX File'!$A$1:$A$6588</definedName>
    <definedName name="TNX_File_60" localSheetId="2">'TNX File'!$A$1:$A$7143</definedName>
    <definedName name="TNX_File_61" localSheetId="2">'TNX File'!$A$1:$A$7143</definedName>
    <definedName name="TNX_File_62" localSheetId="2">'TNX File'!$A$1:$A$25966</definedName>
    <definedName name="TNX_File_63" localSheetId="2">'TNX File'!$A$1:$A$7143</definedName>
    <definedName name="TNX_File_64" localSheetId="2">'TNX File'!$A$1:$A$25966</definedName>
    <definedName name="TNX_File_65" localSheetId="2">'TNX File'!$A$1:$A$25966</definedName>
    <definedName name="TNX_File_66" localSheetId="2">'TNX File'!$A$1:$A$25966</definedName>
    <definedName name="TNX_File_67" localSheetId="2">'TNX File'!$A$1:$A$25967</definedName>
    <definedName name="TNX_File_68" localSheetId="2">'TNX File'!$A$1:$A$25966</definedName>
    <definedName name="TNX_File_69" localSheetId="2">'TNX File'!$A$1:$A$25966</definedName>
    <definedName name="TNX_File_7" localSheetId="6">'TNX Export'!$A$1:$A$21727</definedName>
    <definedName name="TNX_File_7" localSheetId="2">'TNX File'!$A$1:$A$9621</definedName>
    <definedName name="TNX_File_70" localSheetId="2">'TNX File'!$A$1:$A$25966</definedName>
    <definedName name="TNX_File_71" localSheetId="2">'TNX File'!$A$1:$A$25966</definedName>
    <definedName name="TNX_File_72" localSheetId="2">'TNX File'!$A$1:$A$25966</definedName>
    <definedName name="TNX_File_73" localSheetId="2">'TNX File'!$A$1:$A$25966</definedName>
    <definedName name="TNX_File_74" localSheetId="2">'TNX File'!$A$1:$A$25966</definedName>
    <definedName name="TNX_File_75" localSheetId="2">'TNX File'!$A$1:$A$25966</definedName>
    <definedName name="TNX_File_76" localSheetId="2">'TNX File'!$A$1:$A$15080</definedName>
    <definedName name="TNX_File_77" localSheetId="2">'TNX File'!$A$1:$A$11765</definedName>
    <definedName name="TNX_File_78" localSheetId="2">'TNX File'!$A$1:$A$11765</definedName>
    <definedName name="TNX_File_79" localSheetId="2">'TNX File'!$A$1:$A$25966</definedName>
    <definedName name="TNX_File_8" localSheetId="6">'TNX Export'!$A$1:$A$18694</definedName>
    <definedName name="TNX_File_8" localSheetId="2">'TNX File'!$A$1:$A$6588</definedName>
    <definedName name="TNX_File_80" localSheetId="2">'TNX File'!$A$1:$A$22263</definedName>
    <definedName name="TNX_File_81" localSheetId="2">'TNX File'!$A$1:$A$22263</definedName>
    <definedName name="TNX_File_82" localSheetId="2">'TNX File'!$A$1:$A$22263</definedName>
    <definedName name="TNX_File_83" localSheetId="2">'TNX File'!$A$1:$A$22263</definedName>
    <definedName name="TNX_File_84" localSheetId="2">'TNX File'!$A$1:$A$22263</definedName>
    <definedName name="TNX_File_85" localSheetId="2">'TNX File'!$A$1:$A$22263</definedName>
    <definedName name="TNX_File_86" localSheetId="2">'TNX File'!$A$1:$A$9427</definedName>
    <definedName name="TNX_File_87" localSheetId="2">'TNX File'!$A$1:$A$25966</definedName>
    <definedName name="TNX_File_88" localSheetId="2">'TNX File'!$A$1:$A$25966</definedName>
    <definedName name="TNX_File_89" localSheetId="2">'TNX File'!$A$1:$A$25966</definedName>
    <definedName name="TNX_File_9" localSheetId="6">'TNX Export'!$A$1:$A$21727</definedName>
    <definedName name="TNX_File_9" localSheetId="2">'TNX File'!$A$1:$A$9621</definedName>
    <definedName name="TNX_File_90" localSheetId="2">'TNX File'!$A$1:$A$25966</definedName>
    <definedName name="TNX_File_91" localSheetId="2">'TNX File'!$A$1:$A$9708</definedName>
    <definedName name="TNX_File_92" localSheetId="2">'TNX File'!$A$1:$A$17743</definedName>
    <definedName name="TNX_Record_Info">Database!$CZ$3:$DE$203</definedName>
    <definedName name="TNXArbitraryShape">'TNX Arbitrary Shape'!$A$1:$B$23</definedName>
    <definedName name="TNXMaterialsDatabaseInfo">Database!$DH$1</definedName>
    <definedName name="TNXSectionsDatabaseInfo">Database!$DG$1</definedName>
    <definedName name="TotalDatabaseValuesStored">Database!$V$4:$BT$203,Database!$BV$4:$CY$203</definedName>
    <definedName name="TowerType">'Bolt-On Split Pipe Connections'!$Q$5</definedName>
    <definedName name="TowerType_Import">Database!$U$3</definedName>
    <definedName name="TowerTypeImport">IMPORT!$D$14</definedName>
    <definedName name="TowerTypeInput">Summary!$G$16</definedName>
    <definedName name="Trein">Summary!$G$35</definedName>
    <definedName name="tstiffener_bot">'Bolt-On Split Pipe Connections'!$R$208</definedName>
    <definedName name="tstiffener_top">'Bolt-On Split Pipe Connections'!$R$226</definedName>
    <definedName name="Tthreadedrod_distributed_bot">'Bolt-On Split Pipe Connections'!$R$423</definedName>
    <definedName name="Tthreadedrod_distributed_top">'Bolt-On Split Pipe Connections'!$R$441</definedName>
    <definedName name="TUbolt_bot">'Bolt-On Split Pipe Connections'!$R$599</definedName>
    <definedName name="TUbolt_top">'Bolt-On Split Pipe Connections'!$R$615</definedName>
    <definedName name="TurnofNutStart">'Bolt-On Split Pipe Connections'!$A$621</definedName>
    <definedName name="UnbracedLengthofThreadedRodsInput_Bot">'Bolt-On Split Pipe Connections'!$Q$41</definedName>
    <definedName name="UnbracedLengthofThreadedRodsInput_Top">'Bolt-On Split Pipe Connections'!$Q$46</definedName>
    <definedName name="US_Name">'TNX Arbitrary Shape'!$B$1</definedName>
    <definedName name="USName">'TNX Arbitrary Shape'!$A$30</definedName>
    <definedName name="USNameColumn">Database!$CT$3</definedName>
    <definedName name="Values">'TNX Arbitrary Shape'!$A$32</definedName>
    <definedName name="Version">'Bolt-On Split Pipe Connections'!$C$705</definedName>
    <definedName name="Width">'TNX Arbitrary Shape'!$B$4</definedName>
    <definedName name="WindProj.">'TNX Arbitrary Shape'!$B$5</definedName>
    <definedName name="Wleg">Summary!$W$92</definedName>
    <definedName name="Wlegin">Summary!$W$94</definedName>
    <definedName name="Wrein">Summary!$W$96</definedName>
    <definedName name="Wreinin">Summary!$W$98</definedName>
    <definedName name="xarm_neg_bot">'Bolt-On Split Pipe Connections'!$R$593</definedName>
    <definedName name="xarm_neg_top">'Bolt-On Split Pipe Connections'!$R$609</definedName>
    <definedName name="xarm_pos_bot">'Bolt-On Split Pipe Connections'!$R$591</definedName>
    <definedName name="xarm_pos_top">'Bolt-On Split Pipe Connections'!$R$607</definedName>
    <definedName name="ybar_h1_bot">'Bolt-On Split Pipe Connections'!$R$261</definedName>
    <definedName name="ybar_h1_top">'Bolt-On Split Pipe Connections'!$R$323</definedName>
    <definedName name="ybar_h2_bot">'Bolt-On Split Pipe Connections'!$R$271</definedName>
    <definedName name="ybar_h2_top">'Bolt-On Split Pipe Connections'!$R$333</definedName>
    <definedName name="ybar_v_bot">'Bolt-On Split Pipe Connections'!$R$281</definedName>
    <definedName name="ybar_v_top">'Bolt-On Split Pipe Connections'!$R$343</definedName>
    <definedName name="ybar_weld_group_bot">'Bolt-On Split Pipe Connections'!$R$291</definedName>
    <definedName name="ybar_weld_group_top">'Bolt-On Split Pipe Connections'!$R$353</definedName>
    <definedName name="Yc">Summary!$W$89</definedName>
    <definedName name="Ycf">Summary!$Z$85</definedName>
    <definedName name="YCleg">Summary!$W$101</definedName>
    <definedName name="YClegin">Summary!$W$103</definedName>
    <definedName name="YClegtot">Summary!$W$105</definedName>
    <definedName name="YCrein">Summary!$W$107</definedName>
    <definedName name="YCreinin">Summary!$W$109</definedName>
    <definedName name="YCreintot">Summary!$W$111</definedName>
    <definedName name="YCtot">Summary!$W$113</definedName>
    <definedName name="Yinner">Summary!$W$84</definedName>
    <definedName name="Yoff">Summary!$W$76</definedName>
    <definedName name="Yofff">Summary!$Z$76</definedName>
    <definedName name="Youter">Summary!$W$82</definedName>
    <definedName name="Yrein">Summary!$W$87</definedName>
    <definedName name="Yreinf">Summary!$Z$81</definedName>
    <definedName name="YTlegtot">Summary!$W$116</definedName>
    <definedName name="YTreintot">Summary!$W$118</definedName>
    <definedName name="YTtot">Summary!$W$120</definedName>
    <definedName name="Z_47553E05_005A_459E_BBCC_799C7F4EBE26_.wvu.PrintArea" localSheetId="9" hidden="1">Summary!$B$1:$S$38</definedName>
    <definedName name="Z_9A54679E_64D7_44E9_AABE_4253818C5C4B_.wvu.PrintArea" localSheetId="9" hidden="1">Summary!$B$1:$S$38</definedName>
    <definedName name="Zc">Summary!$W$114</definedName>
    <definedName name="Zdiff">Summary!$W$122</definedName>
    <definedName name="Zt">Summary!$W$121</definedName>
    <definedName name="Ztot">Summary!$W$123</definedName>
    <definedName name="δbolt_loadshare_bot">'Bolt-On Split Pipe Connections'!$R$634</definedName>
    <definedName name="δbolt_loadshare_top">'Bolt-On Split Pipe Connections'!$R$648</definedName>
    <definedName name="δleg_deadload">'Bolt-On Split Pipe Connections'!$R$626</definedName>
    <definedName name="δleg_loadshare">'Bolt-On Split Pipe Connections'!$R$630</definedName>
    <definedName name="δsp_loadshare">'Bolt-On Split Pipe Connections'!$R$632</definedName>
    <definedName name="δtotal_bot">'Bolt-On Split Pipe Connections'!$R$636</definedName>
    <definedName name="δtotal_top">'Bolt-On Split Pipe Connections'!$R$650</definedName>
    <definedName name="λcleg_G">'Leg Load at Time of Mod'!$Q$49</definedName>
    <definedName name="λcsp_G">'Leg Load at Time of Mod'!$Q$73</definedName>
    <definedName name="ΣLweld_group_bot">'Bolt-On Split Pipe Connections'!$R$289</definedName>
    <definedName name="ΣLweld_group_top">'Bolt-On Split Pipe Connections'!$R$351</definedName>
    <definedName name="ΣLweld_h1_bot">'Bolt-On Split Pipe Connections'!$R$265</definedName>
    <definedName name="ΣLweld_h1_botybar_h1_bot">'Bolt-On Split Pipe Connections'!$R$267</definedName>
    <definedName name="ΣLweld_h1_top">'Bolt-On Split Pipe Connections'!$R$327</definedName>
    <definedName name="ΣLweld_h1_topybar_h1_top">'Bolt-On Split Pipe Connections'!$R$329</definedName>
    <definedName name="ΣLweld_h1ybar_h1_bot">'Bolt-On Split Pipe Connections'!$R$267</definedName>
    <definedName name="ΣLweld_h2_bot">'Bolt-On Split Pipe Connections'!$R$275</definedName>
    <definedName name="ΣLweld_h2_botybar_h2_bot">'Bolt-On Split Pipe Connections'!$R$277</definedName>
    <definedName name="ΣLweld_h2_top">'Bolt-On Split Pipe Connections'!$R$337</definedName>
    <definedName name="ΣLweld_h2_topybar_h2_top">'Bolt-On Split Pipe Connections'!$R$339</definedName>
    <definedName name="ΣLweld_v_bot">'Bolt-On Split Pipe Connections'!$R$285</definedName>
    <definedName name="ΣLweld_v_botybar_v_bot">'Bolt-On Split Pipe Connections'!$R$287</definedName>
    <definedName name="ΣLweld_v_top">'Bolt-On Split Pipe Connections'!$R$347</definedName>
    <definedName name="ΣLweld_v_topybar_v_top">'Bolt-On Split Pipe Connections'!$R$349</definedName>
    <definedName name="ΣLweld_vybar_v_bot">'Bolt-On Split Pipe Connections'!$R$287</definedName>
    <definedName name="Φc">'Bolt-On Split Pipe Connections'!$R$161</definedName>
    <definedName name="ΦPn">'Bolt-On Split Pipe Connections'!$R$93</definedName>
    <definedName name="ΦPn_comp">'Leg Load at Time of Mod'!$Q$121</definedName>
    <definedName name="ΦPn_leg">'Leg Load at Time of Mod'!$Q$117</definedName>
    <definedName name="ΦPn_sp">'Leg Load at Time of Mod'!$Q$119</definedName>
    <definedName name="ΦPnthreadedrod_bot">'Bolt-On Split Pipe Connections'!$R$177</definedName>
    <definedName name="ΦPnthreadedrod_top">'Bolt-On Split Pipe Connections'!$R$191</definedName>
    <definedName name="ΦRntstiffener_bot">'Bolt-On Split Pipe Connections'!$R$483</definedName>
    <definedName name="ΦRntstiffener_top">'Bolt-On Split Pipe Connections'!$R$515</definedName>
    <definedName name="ΦRntstiffenertop_bot">'Bolt-On Split Pipe Connections'!$R$501</definedName>
    <definedName name="ΦRntstiffenertop_top">'Bolt-On Split Pipe Connections'!$R$533</definedName>
    <definedName name="ΦRnUbolt">'Bolt-On Split Pipe Connections'!$R$601</definedName>
    <definedName name="ΦRnvstiffener_bot">'Bolt-On Split Pipe Connections'!$R$487</definedName>
    <definedName name="ΦRnvstiffener_top">'Bolt-On Split Pipe Connections'!$R$519</definedName>
    <definedName name="ΦRnvstiffenertop_bot">'Bolt-On Split Pipe Connections'!$R$505</definedName>
    <definedName name="ΦRnvstiffenertop_top">'Bolt-On Split Pipe Connections'!$R$537</definedName>
    <definedName name="ΦRnweld">'Bolt-On Split Pipe Connections'!$R$313</definedName>
    <definedName name="ΦRnweld_bot">'Bolt-On Split Pipe Connections'!$R$313</definedName>
    <definedName name="ΦRnweld_h_bot">'Bolt-On Split Pipe Connections'!$R$393</definedName>
    <definedName name="ΦRnweld_h_top">'Bolt-On Split Pipe Connections'!$R$409</definedName>
    <definedName name="ΦRnweld_tens">'Bolt-On Split Pipe Connections'!$R$433</definedName>
    <definedName name="ΦRnweld_tens_bot">'Bolt-On Split Pipe Connections'!$R$433</definedName>
    <definedName name="ΦRnweld_tens_top">'Bolt-On Split Pipe Connections'!$R$451</definedName>
    <definedName name="ΦRnweld_top">'Bolt-On Split Pipe Connections'!$R$375</definedName>
    <definedName name="Φtr">'Bolt-On Split Pipe Connections'!$R$416</definedName>
    <definedName name="Φty">'Bolt-On Split Pipe Connections'!$R$473</definedName>
    <definedName name="ΦUbolt">'Bolt-On Split Pipe Connections'!$R$548</definedName>
    <definedName name="Φv">'Bolt-On Split Pipe Connections'!$R$475</definedName>
    <definedName name="Φw">'Bolt-On Split Pipe Connections'!$R$253</definedName>
  </definedNames>
  <calcPr calcId="191029" iterateDelta="0.01"/>
  <customWorkbookViews>
    <customWorkbookView name="Juedemann, Samantha - Personal View" guid="{47553E05-005A-459E-BBCC-799C7F4EBE26}" autoUpdate="1" mergeInterval="5" personalView="1" maximized="1" xWindow="1912" yWindow="-8" windowWidth="1936" windowHeight="1056" activeSheetId="2"/>
    <customWorkbookView name="Kimes, Joshua - Personal View" guid="{9A54679E-64D7-44E9-AABE-4253818C5C4B}" mergeInterval="0" personalView="1" maximized="1" xWindow="-8" yWindow="-8" windowWidth="1936" windowHeight="1066" activeSheetId="2"/>
  </customWorkbookViews>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Q70" i="8" l="1"/>
  <c r="Q69" i="8"/>
  <c r="Q68" i="8"/>
  <c r="Q67" i="8"/>
  <c r="Q66" i="8"/>
  <c r="Q46" i="8"/>
  <c r="Q45" i="8"/>
  <c r="Q44" i="8"/>
  <c r="Q43" i="8"/>
  <c r="Q26" i="8"/>
  <c r="Q25" i="8"/>
  <c r="Q24" i="8"/>
  <c r="U6" i="1" l="1"/>
  <c r="O677" i="8" l="1"/>
  <c r="Q5" i="8" l="1"/>
  <c r="I4" i="22" l="1"/>
  <c r="I5" i="22"/>
  <c r="I6" i="22"/>
  <c r="I7" i="22"/>
  <c r="I8" i="22"/>
  <c r="I9" i="22"/>
  <c r="I10" i="22"/>
  <c r="I11" i="22"/>
  <c r="I12" i="22"/>
  <c r="I13" i="22"/>
  <c r="I14" i="22"/>
  <c r="I15" i="22"/>
  <c r="I16" i="22"/>
  <c r="I17" i="22"/>
  <c r="I18" i="22"/>
  <c r="I19" i="22"/>
  <c r="I20" i="22"/>
  <c r="I21" i="22"/>
  <c r="I22" i="22"/>
  <c r="I23" i="22"/>
  <c r="I24" i="22"/>
  <c r="I25" i="22"/>
  <c r="I26" i="22"/>
  <c r="I27" i="22"/>
  <c r="I28" i="22"/>
  <c r="I29" i="22"/>
  <c r="I30" i="22"/>
  <c r="I31" i="22"/>
  <c r="I32" i="22"/>
  <c r="I33" i="22"/>
  <c r="I34" i="22"/>
  <c r="I35" i="22"/>
  <c r="I36" i="22"/>
  <c r="I37" i="22"/>
  <c r="I38" i="22"/>
  <c r="I39" i="22"/>
  <c r="I40" i="22"/>
  <c r="I41" i="22"/>
  <c r="I42" i="22"/>
  <c r="I43" i="22"/>
  <c r="I44" i="22"/>
  <c r="I45" i="22"/>
  <c r="I46" i="22"/>
  <c r="I47" i="22"/>
  <c r="I48" i="22"/>
  <c r="I49" i="22"/>
  <c r="I50" i="22"/>
  <c r="I51" i="22"/>
  <c r="I52" i="22"/>
  <c r="I53" i="22"/>
  <c r="I54" i="22"/>
  <c r="I55" i="22"/>
  <c r="I56" i="22"/>
  <c r="I57" i="22"/>
  <c r="I58" i="22"/>
  <c r="I59" i="22"/>
  <c r="I60" i="22"/>
  <c r="I61" i="22"/>
  <c r="I62" i="22"/>
  <c r="I63" i="22"/>
  <c r="I64" i="22"/>
  <c r="I65" i="22"/>
  <c r="I66" i="22"/>
  <c r="I67" i="22"/>
  <c r="I68" i="22"/>
  <c r="I69" i="22"/>
  <c r="I70" i="22"/>
  <c r="I71" i="22"/>
  <c r="I72" i="22"/>
  <c r="I73" i="22"/>
  <c r="I74" i="22"/>
  <c r="I75" i="22"/>
  <c r="I76" i="22"/>
  <c r="I77" i="22"/>
  <c r="I78" i="22"/>
  <c r="I79" i="22"/>
  <c r="I80" i="22"/>
  <c r="I81" i="22"/>
  <c r="I82" i="22"/>
  <c r="I83" i="22"/>
  <c r="I84" i="22"/>
  <c r="I85" i="22"/>
  <c r="I86" i="22"/>
  <c r="I87" i="22"/>
  <c r="I88" i="22"/>
  <c r="I89" i="22"/>
  <c r="I90" i="22"/>
  <c r="I91" i="22"/>
  <c r="I92" i="22"/>
  <c r="I93" i="22"/>
  <c r="I94" i="22"/>
  <c r="I95" i="22"/>
  <c r="I96" i="22"/>
  <c r="I97" i="22"/>
  <c r="I98" i="22"/>
  <c r="I99" i="22"/>
  <c r="I100" i="22"/>
  <c r="I101" i="22"/>
  <c r="I102" i="22"/>
  <c r="I103" i="22"/>
  <c r="I104" i="22"/>
  <c r="I105" i="22"/>
  <c r="I106" i="22"/>
  <c r="I107" i="22"/>
  <c r="I108" i="22"/>
  <c r="I109" i="22"/>
  <c r="I110" i="22"/>
  <c r="I111" i="22"/>
  <c r="I112" i="22"/>
  <c r="I113" i="22"/>
  <c r="I114" i="22"/>
  <c r="I115" i="22"/>
  <c r="I116" i="22"/>
  <c r="I117" i="22"/>
  <c r="I118" i="22"/>
  <c r="I119" i="22"/>
  <c r="I120" i="22"/>
  <c r="I121" i="22"/>
  <c r="I122" i="22"/>
  <c r="I123" i="22"/>
  <c r="I124" i="22"/>
  <c r="I125" i="22"/>
  <c r="I126" i="22"/>
  <c r="I127" i="22"/>
  <c r="I128" i="22"/>
  <c r="I129" i="22"/>
  <c r="I130" i="22"/>
  <c r="I131" i="22"/>
  <c r="I132" i="22"/>
  <c r="I133" i="22"/>
  <c r="I134" i="22"/>
  <c r="I135" i="22"/>
  <c r="I136" i="22"/>
  <c r="I137" i="22"/>
  <c r="I138" i="22"/>
  <c r="I139" i="22"/>
  <c r="I140" i="22"/>
  <c r="I141" i="22"/>
  <c r="I142" i="22"/>
  <c r="I143" i="22"/>
  <c r="I144" i="22"/>
  <c r="I145" i="22"/>
  <c r="I146" i="22"/>
  <c r="I147" i="22"/>
  <c r="I148" i="22"/>
  <c r="I149" i="22"/>
  <c r="I150" i="22"/>
  <c r="I151" i="22"/>
  <c r="I152" i="22"/>
  <c r="I153" i="22"/>
  <c r="I154" i="22"/>
  <c r="I155" i="22"/>
  <c r="I156" i="22"/>
  <c r="I157" i="22"/>
  <c r="I158" i="22"/>
  <c r="I159" i="22"/>
  <c r="I160" i="22"/>
  <c r="I161" i="22"/>
  <c r="I162" i="22"/>
  <c r="I163" i="22"/>
  <c r="I164" i="22"/>
  <c r="I165" i="22"/>
  <c r="I166" i="22"/>
  <c r="I167" i="22"/>
  <c r="I168" i="22"/>
  <c r="I169" i="22"/>
  <c r="I170" i="22"/>
  <c r="I171" i="22"/>
  <c r="I172" i="22"/>
  <c r="I173" i="22"/>
  <c r="I174" i="22"/>
  <c r="I175" i="22"/>
  <c r="I176" i="22"/>
  <c r="I177" i="22"/>
  <c r="I178" i="22"/>
  <c r="I179" i="22"/>
  <c r="I180" i="22"/>
  <c r="I181" i="22"/>
  <c r="I182" i="22"/>
  <c r="I183" i="22"/>
  <c r="I184" i="22"/>
  <c r="I185" i="22"/>
  <c r="I186" i="22"/>
  <c r="I187" i="22"/>
  <c r="I188" i="22"/>
  <c r="I189" i="22"/>
  <c r="I190" i="22"/>
  <c r="I191" i="22"/>
  <c r="I192" i="22"/>
  <c r="I193" i="22"/>
  <c r="I194" i="22"/>
  <c r="I195" i="22"/>
  <c r="I196" i="22"/>
  <c r="I197" i="22"/>
  <c r="I198" i="22"/>
  <c r="I199" i="22"/>
  <c r="I200" i="22"/>
  <c r="I201" i="22"/>
  <c r="H2" i="22"/>
  <c r="I3" i="22" l="1"/>
  <c r="I2" i="22"/>
  <c r="J33" i="22"/>
  <c r="J141" i="22"/>
  <c r="J60" i="22"/>
  <c r="J157" i="22"/>
  <c r="J146" i="22"/>
  <c r="J195" i="22"/>
  <c r="J121" i="22"/>
  <c r="J103" i="22"/>
  <c r="J41" i="22"/>
  <c r="J42" i="22"/>
  <c r="J186" i="22"/>
  <c r="J92" i="22"/>
  <c r="J185" i="22"/>
  <c r="J74" i="22"/>
  <c r="J170" i="22"/>
  <c r="J171" i="22"/>
  <c r="J43" i="22"/>
  <c r="J97" i="22"/>
  <c r="J113" i="22"/>
  <c r="J31" i="22"/>
  <c r="J198" i="22"/>
  <c r="J55" i="22"/>
  <c r="J18" i="22"/>
  <c r="J137" i="22"/>
  <c r="J100" i="22"/>
  <c r="J78" i="22"/>
  <c r="J181" i="22"/>
  <c r="J165" i="22"/>
  <c r="J81" i="22"/>
  <c r="J59" i="22"/>
  <c r="J192" i="22"/>
  <c r="J136" i="22"/>
  <c r="J3" i="22"/>
  <c r="J20" i="22"/>
  <c r="J4" i="22"/>
  <c r="J154" i="22"/>
  <c r="J167" i="22"/>
  <c r="J151" i="22"/>
  <c r="J54" i="22"/>
  <c r="J32" i="22"/>
  <c r="J173" i="22"/>
  <c r="J133" i="22"/>
  <c r="J24" i="22"/>
  <c r="J6" i="22"/>
  <c r="J38" i="22"/>
  <c r="J163" i="22"/>
  <c r="J45" i="22"/>
  <c r="J50" i="22"/>
  <c r="J142" i="22"/>
  <c r="J53" i="22"/>
  <c r="J129" i="22"/>
  <c r="J131" i="22"/>
  <c r="J155" i="22"/>
  <c r="J27" i="22"/>
  <c r="J120" i="22"/>
  <c r="J124" i="22"/>
  <c r="J180" i="22"/>
  <c r="J172" i="22"/>
  <c r="J123" i="22"/>
  <c r="J178" i="22"/>
  <c r="J46" i="22"/>
  <c r="J63" i="22"/>
  <c r="J93" i="22"/>
  <c r="J159" i="22"/>
  <c r="J71" i="22"/>
  <c r="J189" i="22"/>
  <c r="J139" i="22"/>
  <c r="J176" i="22"/>
  <c r="J112" i="22"/>
  <c r="J88" i="22"/>
  <c r="J96" i="22"/>
  <c r="J52" i="22"/>
  <c r="J36" i="22"/>
  <c r="J76" i="22"/>
  <c r="J79" i="22"/>
  <c r="J145" i="22"/>
  <c r="J17" i="22"/>
  <c r="J39" i="22"/>
  <c r="J99" i="22"/>
  <c r="J125" i="22"/>
  <c r="J7" i="22"/>
  <c r="J117" i="22"/>
  <c r="J115" i="22"/>
  <c r="J168" i="22"/>
  <c r="J66" i="22"/>
  <c r="J130" i="22"/>
  <c r="J10" i="22"/>
  <c r="J104" i="22"/>
  <c r="J110" i="22"/>
  <c r="J102" i="22"/>
  <c r="J87" i="22"/>
  <c r="J29" i="22"/>
  <c r="J156" i="22"/>
  <c r="J48" i="22"/>
  <c r="J77" i="22"/>
  <c r="J164" i="22"/>
  <c r="J140" i="22"/>
  <c r="J111" i="22"/>
  <c r="J174" i="22"/>
  <c r="J12" i="22"/>
  <c r="J8" i="22"/>
  <c r="J114" i="22"/>
  <c r="J34" i="22"/>
  <c r="J158" i="22"/>
  <c r="J19" i="22"/>
  <c r="J67" i="22"/>
  <c r="J149" i="22"/>
  <c r="J191" i="22"/>
  <c r="J116" i="22"/>
  <c r="J194" i="22"/>
  <c r="J2" i="22"/>
  <c r="J84" i="22"/>
  <c r="J188" i="22"/>
  <c r="J13" i="22"/>
  <c r="J58" i="22"/>
  <c r="J106" i="22"/>
  <c r="J126" i="22"/>
  <c r="J25" i="22"/>
  <c r="J73" i="22"/>
  <c r="J64" i="22"/>
  <c r="J5" i="22"/>
  <c r="J89" i="22"/>
  <c r="J65" i="22"/>
  <c r="J143" i="22"/>
  <c r="J184" i="22"/>
  <c r="J190" i="22"/>
  <c r="J72" i="22"/>
  <c r="J40" i="22"/>
  <c r="J183" i="22"/>
  <c r="J162" i="22"/>
  <c r="J169" i="22"/>
  <c r="J11" i="22"/>
  <c r="J61" i="22"/>
  <c r="J82" i="22"/>
  <c r="J187" i="22"/>
  <c r="J90" i="22"/>
  <c r="J86" i="22"/>
  <c r="J9" i="22"/>
  <c r="J119" i="22"/>
  <c r="J148" i="22"/>
  <c r="J15" i="22"/>
  <c r="J153" i="22"/>
  <c r="J179" i="22"/>
  <c r="J147" i="22"/>
  <c r="J193" i="22"/>
  <c r="J23" i="22"/>
  <c r="J132" i="22"/>
  <c r="J16" i="22"/>
  <c r="J160" i="22"/>
  <c r="J94" i="22"/>
  <c r="J57" i="22"/>
  <c r="J75" i="22"/>
  <c r="J152" i="22"/>
  <c r="J44" i="22"/>
  <c r="J62" i="22"/>
  <c r="J22" i="22"/>
  <c r="J175" i="22"/>
  <c r="J201" i="22"/>
  <c r="J26" i="22"/>
  <c r="J21" i="22"/>
  <c r="J47" i="22"/>
  <c r="J197" i="22"/>
  <c r="J135" i="22"/>
  <c r="J51" i="22"/>
  <c r="J118" i="22"/>
  <c r="J127" i="22"/>
  <c r="J177" i="22"/>
  <c r="J70" i="22"/>
  <c r="J107" i="22"/>
  <c r="J30" i="22"/>
  <c r="J200" i="22"/>
  <c r="J161" i="22"/>
  <c r="J182" i="22"/>
  <c r="J14" i="22"/>
  <c r="J109" i="22"/>
  <c r="J144" i="22"/>
  <c r="J49" i="22"/>
  <c r="J122" i="22"/>
  <c r="J134" i="22"/>
  <c r="J85" i="22"/>
  <c r="J128" i="22"/>
  <c r="J105" i="22"/>
  <c r="J37" i="22"/>
  <c r="J83" i="22"/>
  <c r="J56" i="22"/>
  <c r="J69" i="22"/>
  <c r="J199" i="22"/>
  <c r="J68" i="22"/>
  <c r="J108" i="22"/>
  <c r="J80" i="22"/>
  <c r="J95" i="22"/>
  <c r="J166" i="22"/>
  <c r="J35" i="22"/>
  <c r="J138" i="22"/>
  <c r="J101" i="22"/>
  <c r="J28" i="22"/>
  <c r="J150" i="22"/>
  <c r="J98" i="22"/>
  <c r="J196" i="22"/>
  <c r="J91" i="22"/>
  <c r="W1" i="21" l="1" a="1"/>
  <c r="W1" i="21" s="1"/>
  <c r="X1" i="21" a="1"/>
  <c r="X1" i="21" s="1"/>
  <c r="L85" i="22"/>
  <c r="P169" i="22"/>
  <c r="L59" i="22"/>
  <c r="L106" i="22"/>
  <c r="P167" i="22"/>
  <c r="L200" i="22"/>
  <c r="L78" i="22"/>
  <c r="L49" i="22"/>
  <c r="L159" i="22"/>
  <c r="P134" i="22"/>
  <c r="P56" i="22"/>
  <c r="L177" i="22"/>
  <c r="L130" i="22"/>
  <c r="P111" i="22"/>
  <c r="L77" i="22"/>
  <c r="P199" i="22"/>
  <c r="P48" i="22"/>
  <c r="L45" i="22"/>
  <c r="L20" i="22"/>
  <c r="P192" i="22"/>
  <c r="L43" i="22"/>
  <c r="L196" i="22"/>
  <c r="L150" i="22"/>
  <c r="L69" i="22"/>
  <c r="L83" i="22"/>
  <c r="P68" i="22"/>
  <c r="L119" i="22"/>
  <c r="P163" i="22"/>
  <c r="L127" i="22"/>
  <c r="P3" i="22"/>
  <c r="P112" i="22"/>
  <c r="P130" i="22"/>
  <c r="L117" i="22"/>
  <c r="L40" i="22"/>
  <c r="L131" i="22"/>
  <c r="P118" i="22"/>
  <c r="L105" i="22"/>
  <c r="L111" i="22"/>
  <c r="L125" i="22"/>
  <c r="L188" i="22"/>
  <c r="P82" i="22"/>
  <c r="P129" i="22"/>
  <c r="P31" i="22"/>
  <c r="P21" i="22"/>
  <c r="P76" i="22"/>
  <c r="P84" i="22"/>
  <c r="P18" i="22"/>
  <c r="P189" i="22"/>
  <c r="P172" i="22"/>
  <c r="P74" i="22"/>
  <c r="L194" i="22"/>
  <c r="L178" i="22"/>
  <c r="P153" i="22"/>
  <c r="L176" i="22"/>
  <c r="P64" i="22"/>
  <c r="L148" i="22"/>
  <c r="P44" i="22"/>
  <c r="L173" i="22"/>
  <c r="L8" i="22"/>
  <c r="L5" i="22"/>
  <c r="L92" i="22"/>
  <c r="P175" i="22"/>
  <c r="L135" i="22"/>
  <c r="L64" i="22"/>
  <c r="P146" i="22"/>
  <c r="P92" i="22"/>
  <c r="L56" i="22"/>
  <c r="L193" i="22"/>
  <c r="P182" i="22"/>
  <c r="L18" i="22"/>
  <c r="P151" i="22"/>
  <c r="L44" i="22"/>
  <c r="P139" i="22"/>
  <c r="L68" i="22"/>
  <c r="L54" i="22"/>
  <c r="P186" i="22"/>
  <c r="P110" i="22"/>
  <c r="P113" i="22"/>
  <c r="P55" i="22"/>
  <c r="P99" i="22"/>
  <c r="P10" i="22"/>
  <c r="L132" i="22"/>
  <c r="L109" i="22"/>
  <c r="P132" i="22"/>
  <c r="L199" i="22"/>
  <c r="P196" i="22"/>
  <c r="P67" i="22"/>
  <c r="L21" i="22"/>
  <c r="L93" i="22"/>
  <c r="P147" i="22"/>
  <c r="P116" i="22"/>
  <c r="P46" i="22"/>
  <c r="L25" i="22"/>
  <c r="L140" i="22"/>
  <c r="P158" i="22"/>
  <c r="P6" i="22"/>
  <c r="L156" i="22"/>
  <c r="L71" i="22"/>
  <c r="P178" i="22"/>
  <c r="L161" i="22"/>
  <c r="P100" i="22"/>
  <c r="P39" i="22"/>
  <c r="P200" i="22"/>
  <c r="L3" i="22"/>
  <c r="L190" i="22"/>
  <c r="P180" i="22"/>
  <c r="L191" i="22"/>
  <c r="L14" i="22"/>
  <c r="P19" i="22"/>
  <c r="P97" i="22"/>
  <c r="L143" i="22"/>
  <c r="P54" i="22"/>
  <c r="P183" i="22"/>
  <c r="L63" i="22"/>
  <c r="L7" i="22"/>
  <c r="L75" i="22"/>
  <c r="L13" i="22"/>
  <c r="L28" i="22"/>
  <c r="P71" i="22"/>
  <c r="L169" i="22"/>
  <c r="P154" i="22"/>
  <c r="L67" i="22"/>
  <c r="P73" i="22"/>
  <c r="P155" i="22"/>
  <c r="L198" i="22"/>
  <c r="L24" i="22"/>
  <c r="L94" i="22"/>
  <c r="L30" i="22"/>
  <c r="L152" i="22"/>
  <c r="L162" i="22"/>
  <c r="P78" i="22"/>
  <c r="P88" i="22"/>
  <c r="L41" i="22"/>
  <c r="L23" i="22"/>
  <c r="P40" i="22"/>
  <c r="P81" i="22"/>
  <c r="L171" i="22"/>
  <c r="L31" i="22"/>
  <c r="L84" i="22"/>
  <c r="L90" i="22"/>
  <c r="L107" i="22"/>
  <c r="P94" i="22"/>
  <c r="P166" i="22"/>
  <c r="P95" i="22"/>
  <c r="P170" i="22"/>
  <c r="L26" i="22"/>
  <c r="P184" i="22"/>
  <c r="P135" i="22"/>
  <c r="P136" i="22"/>
  <c r="P66" i="22"/>
  <c r="P102" i="22"/>
  <c r="L79" i="22"/>
  <c r="L97" i="22"/>
  <c r="L50" i="22"/>
  <c r="P162" i="22"/>
  <c r="P26" i="22"/>
  <c r="P30" i="22"/>
  <c r="L158" i="22"/>
  <c r="L110" i="22"/>
  <c r="L70" i="22"/>
  <c r="P25" i="22"/>
  <c r="P90" i="22"/>
  <c r="P9" i="22"/>
  <c r="P38" i="22"/>
  <c r="P29" i="22"/>
  <c r="P194" i="22"/>
  <c r="L95" i="22"/>
  <c r="L139" i="22"/>
  <c r="P62" i="22"/>
  <c r="P109" i="22"/>
  <c r="P141" i="22"/>
  <c r="P190" i="22"/>
  <c r="L53" i="22"/>
  <c r="P98" i="22"/>
  <c r="L116" i="22"/>
  <c r="L166" i="22"/>
  <c r="P33" i="22"/>
  <c r="L134" i="22"/>
  <c r="P49" i="22"/>
  <c r="P108" i="22"/>
  <c r="L126" i="22"/>
  <c r="P176" i="22"/>
  <c r="L89" i="22"/>
  <c r="L149" i="22"/>
  <c r="P80" i="22"/>
  <c r="P173" i="22"/>
  <c r="L145" i="22"/>
  <c r="P120" i="22"/>
  <c r="L6" i="22"/>
  <c r="L123" i="22"/>
  <c r="P11" i="22"/>
  <c r="L146" i="22"/>
  <c r="P125" i="22"/>
  <c r="P12" i="22"/>
  <c r="P58" i="22"/>
  <c r="L34" i="22"/>
  <c r="P96" i="22"/>
  <c r="L103" i="22"/>
  <c r="L184" i="22"/>
  <c r="P53" i="22"/>
  <c r="L86" i="22"/>
  <c r="L4" i="22"/>
  <c r="L19" i="22"/>
  <c r="L122" i="22"/>
  <c r="P17" i="22"/>
  <c r="L72" i="22"/>
  <c r="L124" i="22"/>
  <c r="P187" i="22"/>
  <c r="L112" i="22"/>
  <c r="L128" i="22"/>
  <c r="L57" i="22"/>
  <c r="P191" i="22"/>
  <c r="L46" i="22"/>
  <c r="L74" i="22"/>
  <c r="P145" i="22"/>
  <c r="P34" i="22"/>
  <c r="P32" i="22"/>
  <c r="L137" i="22"/>
  <c r="L62" i="22"/>
  <c r="L15" i="22"/>
  <c r="L201" i="22"/>
  <c r="L102" i="22"/>
  <c r="P122" i="22"/>
  <c r="L153" i="22"/>
  <c r="L10" i="22"/>
  <c r="P43" i="22"/>
  <c r="L165" i="22"/>
  <c r="P121" i="22"/>
  <c r="L174" i="22"/>
  <c r="L133" i="22"/>
  <c r="L187" i="22"/>
  <c r="P161" i="22"/>
  <c r="L9" i="22"/>
  <c r="P144" i="22"/>
  <c r="L168" i="22"/>
  <c r="P60" i="22"/>
  <c r="P137" i="22"/>
  <c r="L35" i="22"/>
  <c r="L189" i="22"/>
  <c r="P117" i="22"/>
  <c r="P124" i="22"/>
  <c r="P87" i="22"/>
  <c r="L175" i="22"/>
  <c r="P77" i="22"/>
  <c r="P171" i="22"/>
  <c r="L136" i="22"/>
  <c r="P150" i="22"/>
  <c r="L181" i="22"/>
  <c r="L129" i="22"/>
  <c r="P24" i="22"/>
  <c r="L91" i="22"/>
  <c r="L48" i="22"/>
  <c r="P159" i="22"/>
  <c r="P106" i="22"/>
  <c r="P143" i="22"/>
  <c r="L155" i="22"/>
  <c r="P156" i="22"/>
  <c r="L182" i="22"/>
  <c r="L60" i="22"/>
  <c r="L47" i="22"/>
  <c r="L32" i="22"/>
  <c r="P35" i="22"/>
  <c r="L147" i="22"/>
  <c r="P177" i="22"/>
  <c r="L142" i="22"/>
  <c r="P63" i="22"/>
  <c r="L33" i="22"/>
  <c r="P75" i="22"/>
  <c r="P152" i="22"/>
  <c r="P160" i="22"/>
  <c r="P104" i="22"/>
  <c r="L144" i="22"/>
  <c r="L180" i="22"/>
  <c r="P157" i="22"/>
  <c r="L61" i="22"/>
  <c r="L172" i="22"/>
  <c r="P149" i="22"/>
  <c r="L16" i="22"/>
  <c r="P198" i="22"/>
  <c r="L39" i="22"/>
  <c r="P193" i="22"/>
  <c r="P16" i="22"/>
  <c r="P83" i="22"/>
  <c r="P188" i="22"/>
  <c r="L195" i="22"/>
  <c r="L76" i="22"/>
  <c r="P133" i="22"/>
  <c r="P197" i="22"/>
  <c r="P126" i="22"/>
  <c r="L42" i="22"/>
  <c r="P164" i="22"/>
  <c r="L52" i="22"/>
  <c r="L157" i="22"/>
  <c r="P41" i="22"/>
  <c r="P138" i="22"/>
  <c r="P195" i="22"/>
  <c r="L167" i="22"/>
  <c r="L66" i="22"/>
  <c r="P127" i="22"/>
  <c r="P37" i="22"/>
  <c r="L81" i="22"/>
  <c r="P101" i="22"/>
  <c r="L101" i="22"/>
  <c r="P8" i="22"/>
  <c r="L164" i="22"/>
  <c r="P13" i="22"/>
  <c r="L138" i="22"/>
  <c r="P27" i="22"/>
  <c r="L113" i="22"/>
  <c r="P42" i="22"/>
  <c r="P179" i="22"/>
  <c r="L17" i="22"/>
  <c r="L154" i="22"/>
  <c r="P114" i="22"/>
  <c r="P86" i="22"/>
  <c r="P5" i="22"/>
  <c r="P140" i="22"/>
  <c r="P28" i="22"/>
  <c r="P23" i="22"/>
  <c r="L186" i="22"/>
  <c r="L22" i="22"/>
  <c r="P14" i="22"/>
  <c r="L100" i="22"/>
  <c r="L170" i="22"/>
  <c r="L163" i="22"/>
  <c r="L114" i="22"/>
  <c r="P70" i="22"/>
  <c r="P174" i="22"/>
  <c r="L141" i="22"/>
  <c r="P69" i="22"/>
  <c r="L87" i="22"/>
  <c r="L37" i="22"/>
  <c r="P93" i="22"/>
  <c r="P2" i="22"/>
  <c r="P61" i="22"/>
  <c r="P22" i="22"/>
  <c r="P50" i="22"/>
  <c r="L192" i="22"/>
  <c r="L183" i="22"/>
  <c r="L82" i="22"/>
  <c r="L179" i="22"/>
  <c r="P131" i="22"/>
  <c r="P168" i="22"/>
  <c r="L118" i="22"/>
  <c r="P128" i="22"/>
  <c r="P115" i="22"/>
  <c r="L115" i="22"/>
  <c r="L55" i="22"/>
  <c r="L12" i="22"/>
  <c r="P52" i="22"/>
  <c r="P7" i="22"/>
  <c r="P65" i="22"/>
  <c r="P51" i="22"/>
  <c r="L121" i="22"/>
  <c r="P165" i="22"/>
  <c r="L151" i="22"/>
  <c r="L27" i="22"/>
  <c r="L51" i="22"/>
  <c r="P185" i="22"/>
  <c r="L98" i="22"/>
  <c r="L96" i="22"/>
  <c r="L108" i="22"/>
  <c r="P45" i="22"/>
  <c r="P72" i="22"/>
  <c r="P59" i="22"/>
  <c r="L104" i="22"/>
  <c r="P105" i="22"/>
  <c r="L2" i="22"/>
  <c r="P201" i="22"/>
  <c r="P15" i="22"/>
  <c r="P148" i="22"/>
  <c r="L73" i="22"/>
  <c r="L80" i="22"/>
  <c r="L88" i="22"/>
  <c r="P119" i="22"/>
  <c r="L29" i="22"/>
  <c r="P57" i="22"/>
  <c r="L38" i="22"/>
  <c r="P79" i="22"/>
  <c r="P4" i="22"/>
  <c r="L36" i="22"/>
  <c r="P107" i="22"/>
  <c r="P20" i="22"/>
  <c r="P103" i="22"/>
  <c r="P181" i="22"/>
  <c r="P47" i="22"/>
  <c r="P36" i="22"/>
  <c r="P91" i="22"/>
  <c r="L65" i="22"/>
  <c r="L197" i="22"/>
  <c r="L99" i="22"/>
  <c r="L11" i="22"/>
  <c r="L58" i="22"/>
  <c r="P85" i="22"/>
  <c r="P142" i="22"/>
  <c r="P89" i="22"/>
  <c r="L185" i="22"/>
  <c r="P123" i="22"/>
  <c r="L120" i="22"/>
  <c r="L160" i="22"/>
  <c r="M133" i="22" l="1"/>
  <c r="N133" i="22" s="1"/>
  <c r="S133" i="22" s="1"/>
  <c r="D148" i="12" s="1"/>
  <c r="I135" i="21" s="1"/>
  <c r="Q29" i="22"/>
  <c r="R29" i="22" s="1"/>
  <c r="M128" i="22"/>
  <c r="N128" i="22" s="1"/>
  <c r="S128" i="22" s="1"/>
  <c r="D143" i="12" s="1"/>
  <c r="I130" i="21" s="1"/>
  <c r="Q71" i="22"/>
  <c r="R71" i="22" s="1"/>
  <c r="Q148" i="22"/>
  <c r="R148" i="22" s="1"/>
  <c r="M187" i="22"/>
  <c r="N187" i="22" s="1"/>
  <c r="S187" i="22" s="1"/>
  <c r="D202" i="12" s="1"/>
  <c r="I189" i="21" s="1"/>
  <c r="M186" i="22"/>
  <c r="N186" i="22" s="1"/>
  <c r="S186" i="22" s="1"/>
  <c r="D201" i="12" s="1"/>
  <c r="I188" i="21" s="1"/>
  <c r="Q42" i="22"/>
  <c r="R42" i="22" s="1"/>
  <c r="M114" i="22"/>
  <c r="N114" i="22" s="1"/>
  <c r="S114" i="22" s="1"/>
  <c r="D129" i="12" s="1"/>
  <c r="I116" i="21" s="1"/>
  <c r="Q37" i="22"/>
  <c r="R37" i="22" s="1"/>
  <c r="M122" i="22"/>
  <c r="N122" i="22" s="1"/>
  <c r="S122" i="22" s="1"/>
  <c r="D137" i="12" s="1"/>
  <c r="I124" i="21" s="1"/>
  <c r="Q134" i="22"/>
  <c r="R134" i="22" s="1"/>
  <c r="Q174" i="22"/>
  <c r="R174" i="22" s="1"/>
  <c r="Q138" i="22"/>
  <c r="R138" i="22" s="1"/>
  <c r="Q187" i="22"/>
  <c r="R187" i="22" s="1"/>
  <c r="Q19" i="22"/>
  <c r="R19" i="22" s="1"/>
  <c r="Q96" i="22"/>
  <c r="R96" i="22" s="1"/>
  <c r="M39" i="22"/>
  <c r="N39" i="22" s="1"/>
  <c r="S39" i="22" s="1"/>
  <c r="D54" i="12" s="1"/>
  <c r="I41" i="21" s="1"/>
  <c r="M158" i="22"/>
  <c r="N158" i="22" s="1"/>
  <c r="S158" i="22" s="1"/>
  <c r="D173" i="12" s="1"/>
  <c r="I160" i="21" s="1"/>
  <c r="Q165" i="22"/>
  <c r="R165" i="22" s="1"/>
  <c r="M144" i="22"/>
  <c r="N144" i="22" s="1"/>
  <c r="S144" i="22" s="1"/>
  <c r="D159" i="12" s="1"/>
  <c r="I146" i="21" s="1"/>
  <c r="Q26" i="22"/>
  <c r="R26" i="22" s="1"/>
  <c r="Q200" i="22"/>
  <c r="R200" i="22" s="1"/>
  <c r="Q106" i="22"/>
  <c r="R106" i="22" s="1"/>
  <c r="M20" i="22"/>
  <c r="N20" i="22" s="1"/>
  <c r="S20" i="22" s="1"/>
  <c r="D35" i="12" s="1"/>
  <c r="I22" i="21" s="1"/>
  <c r="M168" i="22"/>
  <c r="N168" i="22" s="1"/>
  <c r="S168" i="22" s="1"/>
  <c r="D183" i="12" s="1"/>
  <c r="I170" i="21" s="1"/>
  <c r="Q122" i="22"/>
  <c r="R122" i="22" s="1"/>
  <c r="M52" i="22"/>
  <c r="N52" i="22" s="1"/>
  <c r="S52" i="22" s="1"/>
  <c r="D67" i="12" s="1"/>
  <c r="I54" i="21" s="1"/>
  <c r="M101" i="22"/>
  <c r="N101" i="22" s="1"/>
  <c r="S101" i="22" s="1"/>
  <c r="D116" i="12" s="1"/>
  <c r="I103" i="21" s="1"/>
  <c r="M127" i="22"/>
  <c r="N127" i="22" s="1"/>
  <c r="S127" i="22" s="1"/>
  <c r="D142" i="12" s="1"/>
  <c r="I129" i="21" s="1"/>
  <c r="M113" i="22"/>
  <c r="N113" i="22" s="1"/>
  <c r="S113" i="22" s="1"/>
  <c r="D128" i="12" s="1"/>
  <c r="I115" i="21" s="1"/>
  <c r="Q55" i="22"/>
  <c r="R55" i="22" s="1"/>
  <c r="Q128" i="22"/>
  <c r="R128" i="22" s="1"/>
  <c r="Q41" i="22"/>
  <c r="R41" i="22" s="1"/>
  <c r="Q112" i="22"/>
  <c r="R112" i="22" s="1"/>
  <c r="Q22" i="22"/>
  <c r="R22" i="22" s="1"/>
  <c r="Q51" i="22"/>
  <c r="R51" i="22" s="1"/>
  <c r="Q136" i="22"/>
  <c r="R136" i="22" s="1"/>
  <c r="M64" i="22"/>
  <c r="N64" i="22" s="1"/>
  <c r="S64" i="22" s="1"/>
  <c r="D79" i="12" s="1"/>
  <c r="I66" i="21" s="1"/>
  <c r="Q167" i="22"/>
  <c r="R167" i="22" s="1"/>
  <c r="M181" i="22"/>
  <c r="N181" i="22" s="1"/>
  <c r="S181" i="22" s="1"/>
  <c r="D196" i="12" s="1"/>
  <c r="I183" i="21" s="1"/>
  <c r="M130" i="22"/>
  <c r="N130" i="22" s="1"/>
  <c r="S130" i="22" s="1"/>
  <c r="D145" i="12" s="1"/>
  <c r="I132" i="21" s="1"/>
  <c r="Q101" i="22"/>
  <c r="R101" i="22" s="1"/>
  <c r="M178" i="22"/>
  <c r="N178" i="22" s="1"/>
  <c r="S178" i="22" s="1"/>
  <c r="D193" i="12" s="1"/>
  <c r="I180" i="21" s="1"/>
  <c r="M21" i="22"/>
  <c r="N21" i="22" s="1"/>
  <c r="S21" i="22" s="1"/>
  <c r="D36" i="12" s="1"/>
  <c r="I23" i="21" s="1"/>
  <c r="M49" i="22"/>
  <c r="N49" i="22" s="1"/>
  <c r="S49" i="22" s="1"/>
  <c r="D64" i="12" s="1"/>
  <c r="I51" i="21" s="1"/>
  <c r="M104" i="22"/>
  <c r="N104" i="22" s="1"/>
  <c r="S104" i="22" s="1"/>
  <c r="D119" i="12" s="1"/>
  <c r="I106" i="21" s="1"/>
  <c r="M62" i="22"/>
  <c r="N62" i="22" s="1"/>
  <c r="S62" i="22" s="1"/>
  <c r="D77" i="12" s="1"/>
  <c r="I64" i="21" s="1"/>
  <c r="M180" i="22"/>
  <c r="N180" i="22" s="1"/>
  <c r="S180" i="22" s="1"/>
  <c r="D195" i="12" s="1"/>
  <c r="I182" i="21" s="1"/>
  <c r="M5" i="22"/>
  <c r="N5" i="22" s="1"/>
  <c r="S5" i="22" s="1"/>
  <c r="D20" i="12" s="1"/>
  <c r="I7" i="21" s="1"/>
  <c r="M177" i="22"/>
  <c r="N177" i="22" s="1"/>
  <c r="S177" i="22" s="1"/>
  <c r="D192" i="12" s="1"/>
  <c r="I179" i="21" s="1"/>
  <c r="M194" i="22"/>
  <c r="N194" i="22" s="1"/>
  <c r="S194" i="22" s="1"/>
  <c r="D209" i="12" s="1"/>
  <c r="I196" i="21" s="1"/>
  <c r="M65" i="22"/>
  <c r="N65" i="22" s="1"/>
  <c r="S65" i="22" s="1"/>
  <c r="D80" i="12" s="1"/>
  <c r="I67" i="21" s="1"/>
  <c r="Q116" i="22"/>
  <c r="R116" i="22" s="1"/>
  <c r="M35" i="22"/>
  <c r="N35" i="22" s="1"/>
  <c r="S35" i="22" s="1"/>
  <c r="D50" i="12" s="1"/>
  <c r="I37" i="21" s="1"/>
  <c r="Q163" i="22"/>
  <c r="R163" i="22" s="1"/>
  <c r="M138" i="22"/>
  <c r="N138" i="22" s="1"/>
  <c r="S138" i="22" s="1"/>
  <c r="D153" i="12" s="1"/>
  <c r="I140" i="21" s="1"/>
  <c r="Q193" i="22"/>
  <c r="R193" i="22" s="1"/>
  <c r="Q34" i="22"/>
  <c r="R34" i="22" s="1"/>
  <c r="M79" i="22"/>
  <c r="N79" i="22" s="1"/>
  <c r="S79" i="22" s="1"/>
  <c r="D94" i="12" s="1"/>
  <c r="I81" i="21" s="1"/>
  <c r="M19" i="22"/>
  <c r="N19" i="22" s="1"/>
  <c r="S19" i="22" s="1"/>
  <c r="D34" i="12" s="1"/>
  <c r="I21" i="21" s="1"/>
  <c r="M9" i="22"/>
  <c r="N9" i="22" s="1"/>
  <c r="S9" i="22" s="1"/>
  <c r="D24" i="12" s="1"/>
  <c r="I11" i="21" s="1"/>
  <c r="M189" i="22"/>
  <c r="N189" i="22" s="1"/>
  <c r="S189" i="22" s="1"/>
  <c r="D204" i="12" s="1"/>
  <c r="I191" i="21" s="1"/>
  <c r="M14" i="22"/>
  <c r="N14" i="22" s="1"/>
  <c r="S14" i="22" s="1"/>
  <c r="D29" i="12" s="1"/>
  <c r="I16" i="21" s="1"/>
  <c r="Q46" i="22"/>
  <c r="R46" i="22" s="1"/>
  <c r="M76" i="22"/>
  <c r="N76" i="22" s="1"/>
  <c r="S76" i="22" s="1"/>
  <c r="D91" i="12" s="1"/>
  <c r="I78" i="21" s="1"/>
  <c r="Q154" i="22"/>
  <c r="R154" i="22" s="1"/>
  <c r="Q12" i="22"/>
  <c r="R12" i="22" s="1"/>
  <c r="M119" i="22"/>
  <c r="N119" i="22" s="1"/>
  <c r="S119" i="22" s="1"/>
  <c r="D134" i="12" s="1"/>
  <c r="I121" i="21" s="1"/>
  <c r="M90" i="22"/>
  <c r="N90" i="22" s="1"/>
  <c r="S90" i="22" s="1"/>
  <c r="D105" i="12" s="1"/>
  <c r="I92" i="21" s="1"/>
  <c r="Q82" i="22"/>
  <c r="R82" i="22" s="1"/>
  <c r="M190" i="22"/>
  <c r="N190" i="22" s="1"/>
  <c r="S190" i="22" s="1"/>
  <c r="D205" i="12" s="1"/>
  <c r="I192" i="21" s="1"/>
  <c r="M99" i="22"/>
  <c r="N99" i="22" s="1"/>
  <c r="S99" i="22" s="1"/>
  <c r="D114" i="12" s="1"/>
  <c r="I101" i="21" s="1"/>
  <c r="M108" i="22"/>
  <c r="N108" i="22" s="1"/>
  <c r="S108" i="22" s="1"/>
  <c r="D123" i="12" s="1"/>
  <c r="I110" i="21" s="1"/>
  <c r="M112" i="22"/>
  <c r="N112" i="22" s="1"/>
  <c r="S112" i="22" s="1"/>
  <c r="D127" i="12" s="1"/>
  <c r="I114" i="21" s="1"/>
  <c r="Q20" i="22"/>
  <c r="R20" i="22" s="1"/>
  <c r="Q94" i="22"/>
  <c r="R94" i="22" s="1"/>
  <c r="M78" i="22"/>
  <c r="N78" i="22" s="1"/>
  <c r="S78" i="22" s="1"/>
  <c r="D93" i="12" s="1"/>
  <c r="I80" i="21" s="1"/>
  <c r="Q182" i="22"/>
  <c r="R182" i="22" s="1"/>
  <c r="M185" i="22"/>
  <c r="N185" i="22" s="1"/>
  <c r="S185" i="22" s="1"/>
  <c r="D200" i="12" s="1"/>
  <c r="I187" i="21" s="1"/>
  <c r="Q196" i="22"/>
  <c r="R196" i="22" s="1"/>
  <c r="M45" i="22"/>
  <c r="N45" i="22" s="1"/>
  <c r="S45" i="22" s="1"/>
  <c r="D60" i="12" s="1"/>
  <c r="I47" i="21" s="1"/>
  <c r="M165" i="22"/>
  <c r="N165" i="22" s="1"/>
  <c r="S165" i="22" s="1"/>
  <c r="D180" i="12" s="1"/>
  <c r="I167" i="21" s="1"/>
  <c r="Q177" i="22"/>
  <c r="R177" i="22" s="1"/>
  <c r="M145" i="22"/>
  <c r="N145" i="22" s="1"/>
  <c r="S145" i="22" s="1"/>
  <c r="D160" i="12" s="1"/>
  <c r="I147" i="21" s="1"/>
  <c r="M4" i="22"/>
  <c r="N4" i="22" s="1"/>
  <c r="S4" i="22" s="1"/>
  <c r="D19" i="12" s="1"/>
  <c r="I6" i="21" s="1"/>
  <c r="M17" i="22"/>
  <c r="N17" i="22" s="1"/>
  <c r="S17" i="22" s="1"/>
  <c r="D32" i="12" s="1"/>
  <c r="I19" i="21" s="1"/>
  <c r="Q98" i="22"/>
  <c r="R98" i="22" s="1"/>
  <c r="Q143" i="22"/>
  <c r="R143" i="22" s="1"/>
  <c r="M156" i="22"/>
  <c r="N156" i="22" s="1"/>
  <c r="S156" i="22" s="1"/>
  <c r="D171" i="12" s="1"/>
  <c r="I158" i="21" s="1"/>
  <c r="Q198" i="22"/>
  <c r="R198" i="22" s="1"/>
  <c r="Q93" i="22"/>
  <c r="R93" i="22" s="1"/>
  <c r="Q2" i="22"/>
  <c r="R2" i="22" s="1"/>
  <c r="M29" i="22"/>
  <c r="N29" i="22" s="1"/>
  <c r="S29" i="22" s="1"/>
  <c r="D44" i="12" s="1"/>
  <c r="I31" i="21" s="1"/>
  <c r="M53" i="22"/>
  <c r="N53" i="22" s="1"/>
  <c r="S53" i="22" s="1"/>
  <c r="D68" i="12" s="1"/>
  <c r="I55" i="21" s="1"/>
  <c r="Q27" i="22"/>
  <c r="R27" i="22" s="1"/>
  <c r="M46" i="22"/>
  <c r="N46" i="22" s="1"/>
  <c r="S46" i="22" s="1"/>
  <c r="D61" i="12" s="1"/>
  <c r="I48" i="21" s="1"/>
  <c r="Q150" i="22"/>
  <c r="R150" i="22" s="1"/>
  <c r="M32" i="22"/>
  <c r="N32" i="22" s="1"/>
  <c r="S32" i="22" s="1"/>
  <c r="D47" i="12" s="1"/>
  <c r="I34" i="21" s="1"/>
  <c r="Q195" i="22"/>
  <c r="R195" i="22" s="1"/>
  <c r="M73" i="22"/>
  <c r="N73" i="22" s="1"/>
  <c r="S73" i="22" s="1"/>
  <c r="D88" i="12" s="1"/>
  <c r="I75" i="21" s="1"/>
  <c r="M37" i="22"/>
  <c r="N37" i="22" s="1"/>
  <c r="S37" i="22" s="1"/>
  <c r="D52" i="12" s="1"/>
  <c r="I39" i="21" s="1"/>
  <c r="Q56" i="22"/>
  <c r="R56" i="22" s="1"/>
  <c r="Q130" i="22"/>
  <c r="R130" i="22" s="1"/>
  <c r="Q57" i="22"/>
  <c r="R57" i="22" s="1"/>
  <c r="Q54" i="22"/>
  <c r="R54" i="22" s="1"/>
  <c r="Q52" i="22"/>
  <c r="R52" i="22" s="1"/>
  <c r="M47" i="22"/>
  <c r="N47" i="22" s="1"/>
  <c r="S47" i="22" s="1"/>
  <c r="D62" i="12" s="1"/>
  <c r="I49" i="21" s="1"/>
  <c r="Q62" i="22"/>
  <c r="R62" i="22" s="1"/>
  <c r="Q8" i="22"/>
  <c r="R8" i="22" s="1"/>
  <c r="M166" i="22"/>
  <c r="N166" i="22" s="1"/>
  <c r="S166" i="22" s="1"/>
  <c r="D181" i="12" s="1"/>
  <c r="I168" i="21" s="1"/>
  <c r="Q137" i="22"/>
  <c r="R137" i="22" s="1"/>
  <c r="Q160" i="22"/>
  <c r="R160" i="22" s="1"/>
  <c r="Q199" i="22"/>
  <c r="R199" i="22" s="1"/>
  <c r="Q181" i="22"/>
  <c r="R181" i="22" s="1"/>
  <c r="M160" i="22"/>
  <c r="N160" i="22" s="1"/>
  <c r="S160" i="22" s="1"/>
  <c r="D175" i="12" s="1"/>
  <c r="I162" i="21" s="1"/>
  <c r="Q117" i="22"/>
  <c r="R117" i="22" s="1"/>
  <c r="Q86" i="22"/>
  <c r="R86" i="22" s="1"/>
  <c r="M169" i="22"/>
  <c r="N169" i="22" s="1"/>
  <c r="S169" i="22" s="1"/>
  <c r="D184" i="12" s="1"/>
  <c r="I171" i="21" s="1"/>
  <c r="Q102" i="22"/>
  <c r="R102" i="22" s="1"/>
  <c r="M125" i="22"/>
  <c r="N125" i="22" s="1"/>
  <c r="S125" i="22" s="1"/>
  <c r="D140" i="12" s="1"/>
  <c r="I127" i="21" s="1"/>
  <c r="M195" i="22"/>
  <c r="N195" i="22" s="1"/>
  <c r="S195" i="22" s="1"/>
  <c r="D210" i="12" s="1"/>
  <c r="I197" i="21" s="1"/>
  <c r="M15" i="22"/>
  <c r="N15" i="22" s="1"/>
  <c r="S15" i="22" s="1"/>
  <c r="D30" i="12" s="1"/>
  <c r="I17" i="21" s="1"/>
  <c r="M150" i="22"/>
  <c r="N150" i="22" s="1"/>
  <c r="S150" i="22" s="1"/>
  <c r="D165" i="12" s="1"/>
  <c r="I152" i="21" s="1"/>
  <c r="Q162" i="22"/>
  <c r="R162" i="22" s="1"/>
  <c r="M98" i="22"/>
  <c r="N98" i="22" s="1"/>
  <c r="S98" i="22" s="1"/>
  <c r="D113" i="12" s="1"/>
  <c r="I100" i="21" s="1"/>
  <c r="Q4" i="22"/>
  <c r="R4" i="22" s="1"/>
  <c r="Q188" i="22"/>
  <c r="R188" i="22" s="1"/>
  <c r="Q151" i="22"/>
  <c r="R151" i="22" s="1"/>
  <c r="M42" i="22"/>
  <c r="N42" i="22" s="1"/>
  <c r="S42" i="22" s="1"/>
  <c r="D57" i="12" s="1"/>
  <c r="I44" i="21" s="1"/>
  <c r="Q28" i="22"/>
  <c r="R28" i="22" s="1"/>
  <c r="Q39" i="22"/>
  <c r="R39" i="22" s="1"/>
  <c r="M93" i="22"/>
  <c r="N93" i="22" s="1"/>
  <c r="S93" i="22" s="1"/>
  <c r="D108" i="12" s="1"/>
  <c r="I95" i="21" s="1"/>
  <c r="Q123" i="22"/>
  <c r="R123" i="22" s="1"/>
  <c r="M197" i="22"/>
  <c r="N197" i="22" s="1"/>
  <c r="S197" i="22" s="1"/>
  <c r="D212" i="12" s="1"/>
  <c r="I199" i="21" s="1"/>
  <c r="Q105" i="22"/>
  <c r="R105" i="22" s="1"/>
  <c r="Q201" i="22"/>
  <c r="R201" i="22" s="1"/>
  <c r="Q161" i="22"/>
  <c r="R161" i="22" s="1"/>
  <c r="M174" i="22"/>
  <c r="N174" i="22" s="1"/>
  <c r="S174" i="22" s="1"/>
  <c r="D189" i="12" s="1"/>
  <c r="I176" i="21" s="1"/>
  <c r="Q10" i="22"/>
  <c r="R10" i="22" s="1"/>
  <c r="M199" i="22"/>
  <c r="N199" i="22" s="1"/>
  <c r="S199" i="22" s="1"/>
  <c r="D214" i="12" s="1"/>
  <c r="I201" i="21" s="1"/>
  <c r="Q15" i="22"/>
  <c r="R15" i="22" s="1"/>
  <c r="M201" i="22"/>
  <c r="N201" i="22" s="1"/>
  <c r="S201" i="22" s="1"/>
  <c r="D216" i="12" s="1"/>
  <c r="I203" i="21" s="1"/>
  <c r="M30" i="22"/>
  <c r="N30" i="22" s="1"/>
  <c r="S30" i="22" s="1"/>
  <c r="D45" i="12" s="1"/>
  <c r="I32" i="21" s="1"/>
  <c r="Q60" i="22"/>
  <c r="R60" i="22" s="1"/>
  <c r="M77" i="22"/>
  <c r="N77" i="22" s="1"/>
  <c r="S77" i="22" s="1"/>
  <c r="D92" i="12" s="1"/>
  <c r="I79" i="21" s="1"/>
  <c r="Q157" i="22"/>
  <c r="R157" i="22" s="1"/>
  <c r="Q72" i="22"/>
  <c r="R72" i="22" s="1"/>
  <c r="M196" i="22"/>
  <c r="N196" i="22" s="1"/>
  <c r="S196" i="22" s="1"/>
  <c r="D211" i="12" s="1"/>
  <c r="I198" i="21" s="1"/>
  <c r="M161" i="22"/>
  <c r="N161" i="22" s="1"/>
  <c r="S161" i="22" s="1"/>
  <c r="D176" i="12" s="1"/>
  <c r="I163" i="21" s="1"/>
  <c r="M33" i="22"/>
  <c r="N33" i="22" s="1"/>
  <c r="S33" i="22" s="1"/>
  <c r="D48" i="12" s="1"/>
  <c r="I35" i="21" s="1"/>
  <c r="M182" i="22"/>
  <c r="N182" i="22" s="1"/>
  <c r="S182" i="22" s="1"/>
  <c r="D197" i="12" s="1"/>
  <c r="I184" i="21" s="1"/>
  <c r="Q92" i="22"/>
  <c r="R92" i="22" s="1"/>
  <c r="Q40" i="22"/>
  <c r="R40" i="22" s="1"/>
  <c r="M116" i="22"/>
  <c r="N116" i="22" s="1"/>
  <c r="S116" i="22" s="1"/>
  <c r="D131" i="12" s="1"/>
  <c r="I118" i="21" s="1"/>
  <c r="M110" i="22"/>
  <c r="N110" i="22" s="1"/>
  <c r="S110" i="22" s="1"/>
  <c r="D125" i="12" s="1"/>
  <c r="I112" i="21" s="1"/>
  <c r="Q97" i="22"/>
  <c r="R97" i="22" s="1"/>
  <c r="Q9" i="22"/>
  <c r="R9" i="22" s="1"/>
  <c r="Q183" i="22"/>
  <c r="R183" i="22" s="1"/>
  <c r="M142" i="22"/>
  <c r="N142" i="22" s="1"/>
  <c r="S142" i="22" s="1"/>
  <c r="D157" i="12" s="1"/>
  <c r="I144" i="21" s="1"/>
  <c r="Q194" i="22"/>
  <c r="R194" i="22" s="1"/>
  <c r="Q145" i="22"/>
  <c r="R145" i="22" s="1"/>
  <c r="Q59" i="22"/>
  <c r="R59" i="22" s="1"/>
  <c r="M152" i="22"/>
  <c r="N152" i="22" s="1"/>
  <c r="S152" i="22" s="1"/>
  <c r="D167" i="12" s="1"/>
  <c r="I154" i="21" s="1"/>
  <c r="M107" i="22"/>
  <c r="N107" i="22" s="1"/>
  <c r="S107" i="22" s="1"/>
  <c r="D122" i="12" s="1"/>
  <c r="I109" i="21" s="1"/>
  <c r="M51" i="22"/>
  <c r="N51" i="22" s="1"/>
  <c r="S51" i="22" s="1"/>
  <c r="D66" i="12" s="1"/>
  <c r="I53" i="21" s="1"/>
  <c r="M121" i="22"/>
  <c r="N121" i="22" s="1"/>
  <c r="S121" i="22" s="1"/>
  <c r="D136" i="12" s="1"/>
  <c r="I123" i="21" s="1"/>
  <c r="Q176" i="22"/>
  <c r="R176" i="22" s="1"/>
  <c r="M2" i="22"/>
  <c r="N2" i="22" s="1"/>
  <c r="S2" i="22" s="1"/>
  <c r="D17" i="12" s="1"/>
  <c r="I4" i="21" s="1"/>
  <c r="M85" i="22"/>
  <c r="N85" i="22" s="1"/>
  <c r="S85" i="22" s="1"/>
  <c r="D100" i="12" s="1"/>
  <c r="I87" i="21" s="1"/>
  <c r="Q125" i="22"/>
  <c r="R125" i="22" s="1"/>
  <c r="Q80" i="22"/>
  <c r="R80" i="22" s="1"/>
  <c r="Q179" i="22"/>
  <c r="R179" i="22" s="1"/>
  <c r="Q178" i="22"/>
  <c r="R178" i="22" s="1"/>
  <c r="M41" i="22"/>
  <c r="N41" i="22" s="1"/>
  <c r="S41" i="22" s="1"/>
  <c r="D56" i="12" s="1"/>
  <c r="I43" i="21" s="1"/>
  <c r="M43" i="22"/>
  <c r="N43" i="22" s="1"/>
  <c r="S43" i="22" s="1"/>
  <c r="D58" i="12" s="1"/>
  <c r="I45" i="21" s="1"/>
  <c r="M63" i="22"/>
  <c r="N63" i="22" s="1"/>
  <c r="S63" i="22" s="1"/>
  <c r="D78" i="12" s="1"/>
  <c r="I65" i="21" s="1"/>
  <c r="Q81" i="22"/>
  <c r="R81" i="22" s="1"/>
  <c r="Q132" i="22"/>
  <c r="R132" i="22" s="1"/>
  <c r="M59" i="22"/>
  <c r="N59" i="22" s="1"/>
  <c r="S59" i="22" s="1"/>
  <c r="D74" i="12" s="1"/>
  <c r="I61" i="21" s="1"/>
  <c r="M40" i="22"/>
  <c r="N40" i="22" s="1"/>
  <c r="S40" i="22" s="1"/>
  <c r="D55" i="12" s="1"/>
  <c r="I42" i="21" s="1"/>
  <c r="Q189" i="22"/>
  <c r="R189" i="22" s="1"/>
  <c r="M200" i="22"/>
  <c r="N200" i="22" s="1"/>
  <c r="S200" i="22" s="1"/>
  <c r="D215" i="12" s="1"/>
  <c r="I202" i="21" s="1"/>
  <c r="Q21" i="22"/>
  <c r="R21" i="22" s="1"/>
  <c r="M103" i="22"/>
  <c r="N103" i="22" s="1"/>
  <c r="S103" i="22" s="1"/>
  <c r="D118" i="12" s="1"/>
  <c r="I105" i="21" s="1"/>
  <c r="M118" i="22"/>
  <c r="N118" i="22" s="1"/>
  <c r="S118" i="22" s="1"/>
  <c r="D133" i="12" s="1"/>
  <c r="I120" i="21" s="1"/>
  <c r="M198" i="22"/>
  <c r="N198" i="22" s="1"/>
  <c r="S198" i="22" s="1"/>
  <c r="D213" i="12" s="1"/>
  <c r="I200" i="21" s="1"/>
  <c r="Q45" i="22"/>
  <c r="R45" i="22" s="1"/>
  <c r="M81" i="22"/>
  <c r="N81" i="22" s="1"/>
  <c r="S81" i="22" s="1"/>
  <c r="D96" i="12" s="1"/>
  <c r="I83" i="21" s="1"/>
  <c r="M58" i="22"/>
  <c r="N58" i="22" s="1"/>
  <c r="S58" i="22" s="1"/>
  <c r="D73" i="12" s="1"/>
  <c r="I60" i="21" s="1"/>
  <c r="M137" i="22"/>
  <c r="N137" i="22" s="1"/>
  <c r="S137" i="22" s="1"/>
  <c r="D152" i="12" s="1"/>
  <c r="I139" i="21" s="1"/>
  <c r="M6" i="22"/>
  <c r="N6" i="22" s="1"/>
  <c r="S6" i="22" s="1"/>
  <c r="D21" i="12" s="1"/>
  <c r="I8" i="21" s="1"/>
  <c r="M50" i="22"/>
  <c r="N50" i="22" s="1"/>
  <c r="S50" i="22" s="1"/>
  <c r="D65" i="12" s="1"/>
  <c r="I52" i="21" s="1"/>
  <c r="M8" i="22"/>
  <c r="N8" i="22" s="1"/>
  <c r="S8" i="22" s="1"/>
  <c r="D23" i="12" s="1"/>
  <c r="I10" i="21" s="1"/>
  <c r="Q61" i="22"/>
  <c r="R61" i="22" s="1"/>
  <c r="M164" i="22"/>
  <c r="N164" i="22" s="1"/>
  <c r="S164" i="22" s="1"/>
  <c r="D179" i="12" s="1"/>
  <c r="I166" i="21" s="1"/>
  <c r="Q66" i="22"/>
  <c r="R66" i="22" s="1"/>
  <c r="M68" i="22"/>
  <c r="N68" i="22" s="1"/>
  <c r="S68" i="22" s="1"/>
  <c r="D83" i="12" s="1"/>
  <c r="I70" i="21" s="1"/>
  <c r="M163" i="22"/>
  <c r="N163" i="22" s="1"/>
  <c r="S163" i="22" s="1"/>
  <c r="D178" i="12" s="1"/>
  <c r="I165" i="21" s="1"/>
  <c r="M155" i="22"/>
  <c r="N155" i="22" s="1"/>
  <c r="S155" i="22" s="1"/>
  <c r="D170" i="12" s="1"/>
  <c r="I157" i="21" s="1"/>
  <c r="Q67" i="22"/>
  <c r="R67" i="22" s="1"/>
  <c r="M141" i="22"/>
  <c r="N141" i="22" s="1"/>
  <c r="S141" i="22" s="1"/>
  <c r="D156" i="12" s="1"/>
  <c r="I143" i="21" s="1"/>
  <c r="M12" i="22"/>
  <c r="N12" i="22" s="1"/>
  <c r="S12" i="22" s="1"/>
  <c r="D27" i="12" s="1"/>
  <c r="I14" i="21" s="1"/>
  <c r="M123" i="22"/>
  <c r="N123" i="22" s="1"/>
  <c r="S123" i="22" s="1"/>
  <c r="D138" i="12" s="1"/>
  <c r="I125" i="21" s="1"/>
  <c r="M157" i="22"/>
  <c r="N157" i="22" s="1"/>
  <c r="S157" i="22" s="1"/>
  <c r="D172" i="12" s="1"/>
  <c r="I159" i="21" s="1"/>
  <c r="M183" i="22"/>
  <c r="N183" i="22" s="1"/>
  <c r="S183" i="22" s="1"/>
  <c r="D198" i="12" s="1"/>
  <c r="I185" i="21" s="1"/>
  <c r="M66" i="22"/>
  <c r="N66" i="22" s="1"/>
  <c r="S66" i="22" s="1"/>
  <c r="D81" i="12" s="1"/>
  <c r="I68" i="21" s="1"/>
  <c r="M72" i="22"/>
  <c r="N72" i="22" s="1"/>
  <c r="S72" i="22" s="1"/>
  <c r="D87" i="12" s="1"/>
  <c r="I74" i="21" s="1"/>
  <c r="Q7" i="22"/>
  <c r="R7" i="22" s="1"/>
  <c r="Q192" i="22"/>
  <c r="R192" i="22" s="1"/>
  <c r="Q170" i="22"/>
  <c r="R170" i="22" s="1"/>
  <c r="Q48" i="22"/>
  <c r="R48" i="22" s="1"/>
  <c r="M148" i="22"/>
  <c r="N148" i="22" s="1"/>
  <c r="S148" i="22" s="1"/>
  <c r="D163" i="12" s="1"/>
  <c r="I150" i="21" s="1"/>
  <c r="M120" i="22"/>
  <c r="N120" i="22" s="1"/>
  <c r="S120" i="22" s="1"/>
  <c r="D135" i="12" s="1"/>
  <c r="I122" i="21" s="1"/>
  <c r="Q171" i="22"/>
  <c r="R171" i="22" s="1"/>
  <c r="M106" i="22"/>
  <c r="N106" i="22" s="1"/>
  <c r="S106" i="22" s="1"/>
  <c r="D121" i="12" s="1"/>
  <c r="I108" i="21" s="1"/>
  <c r="Q69" i="22"/>
  <c r="R69" i="22" s="1"/>
  <c r="Q33" i="22"/>
  <c r="R33" i="22" s="1"/>
  <c r="Q18" i="22"/>
  <c r="R18" i="22" s="1"/>
  <c r="Q35" i="22"/>
  <c r="R35" i="22" s="1"/>
  <c r="M102" i="22"/>
  <c r="N102" i="22" s="1"/>
  <c r="S102" i="22" s="1"/>
  <c r="D117" i="12" s="1"/>
  <c r="I104" i="21" s="1"/>
  <c r="Q103" i="22"/>
  <c r="R103" i="22" s="1"/>
  <c r="M27" i="22"/>
  <c r="N27" i="22" s="1"/>
  <c r="S27" i="22" s="1"/>
  <c r="D42" i="12" s="1"/>
  <c r="I29" i="21" s="1"/>
  <c r="M34" i="22"/>
  <c r="N34" i="22" s="1"/>
  <c r="S34" i="22" s="1"/>
  <c r="D49" i="12" s="1"/>
  <c r="I36" i="21" s="1"/>
  <c r="Q114" i="22"/>
  <c r="R114" i="22" s="1"/>
  <c r="Q115" i="22"/>
  <c r="R115" i="22" s="1"/>
  <c r="M171" i="22"/>
  <c r="N171" i="22" s="1"/>
  <c r="S171" i="22" s="1"/>
  <c r="D186" i="12" s="1"/>
  <c r="I173" i="21" s="1"/>
  <c r="Q190" i="22"/>
  <c r="R190" i="22" s="1"/>
  <c r="Q17" i="22"/>
  <c r="R17" i="22" s="1"/>
  <c r="M94" i="22"/>
  <c r="N94" i="22" s="1"/>
  <c r="S94" i="22" s="1"/>
  <c r="D109" i="12" s="1"/>
  <c r="I96" i="21" s="1"/>
  <c r="M124" i="22"/>
  <c r="N124" i="22" s="1"/>
  <c r="S124" i="22" s="1"/>
  <c r="D139" i="12" s="1"/>
  <c r="I126" i="21" s="1"/>
  <c r="M69" i="22"/>
  <c r="N69" i="22" s="1"/>
  <c r="S69" i="22" s="1"/>
  <c r="D84" i="12" s="1"/>
  <c r="I71" i="21" s="1"/>
  <c r="Q175" i="22"/>
  <c r="R175" i="22" s="1"/>
  <c r="M154" i="22"/>
  <c r="N154" i="22" s="1"/>
  <c r="S154" i="22" s="1"/>
  <c r="D169" i="12" s="1"/>
  <c r="I156" i="21" s="1"/>
  <c r="Q126" i="22"/>
  <c r="R126" i="22" s="1"/>
  <c r="Q119" i="22"/>
  <c r="R119" i="22" s="1"/>
  <c r="M86" i="22"/>
  <c r="N86" i="22" s="1"/>
  <c r="S86" i="22" s="1"/>
  <c r="D101" i="12" s="1"/>
  <c r="I88" i="21" s="1"/>
  <c r="Q104" i="22"/>
  <c r="R104" i="22" s="1"/>
  <c r="M70" i="22"/>
  <c r="N70" i="22" s="1"/>
  <c r="S70" i="22" s="1"/>
  <c r="D85" i="12" s="1"/>
  <c r="I72" i="21" s="1"/>
  <c r="Q173" i="22"/>
  <c r="R173" i="22" s="1"/>
  <c r="M135" i="22"/>
  <c r="N135" i="22" s="1"/>
  <c r="S135" i="22" s="1"/>
  <c r="D150" i="12" s="1"/>
  <c r="I137" i="21" s="1"/>
  <c r="Q113" i="22"/>
  <c r="R113" i="22" s="1"/>
  <c r="M82" i="22"/>
  <c r="N82" i="22" s="1"/>
  <c r="S82" i="22" s="1"/>
  <c r="D97" i="12" s="1"/>
  <c r="I84" i="21" s="1"/>
  <c r="Q155" i="22"/>
  <c r="R155" i="22" s="1"/>
  <c r="M170" i="22"/>
  <c r="N170" i="22" s="1"/>
  <c r="S170" i="22" s="1"/>
  <c r="D185" i="12" s="1"/>
  <c r="I172" i="21" s="1"/>
  <c r="M132" i="22"/>
  <c r="N132" i="22" s="1"/>
  <c r="S132" i="22" s="1"/>
  <c r="D147" i="12" s="1"/>
  <c r="I134" i="21" s="1"/>
  <c r="Q180" i="22"/>
  <c r="R180" i="22" s="1"/>
  <c r="M3" i="22"/>
  <c r="N3" i="22" s="1"/>
  <c r="S3" i="22" s="1"/>
  <c r="D18" i="12" s="1"/>
  <c r="I5" i="21" s="1"/>
  <c r="M25" i="22"/>
  <c r="N25" i="22" s="1"/>
  <c r="S25" i="22" s="1"/>
  <c r="D40" i="12" s="1"/>
  <c r="I27" i="21" s="1"/>
  <c r="M16" i="22"/>
  <c r="N16" i="22" s="1"/>
  <c r="S16" i="22" s="1"/>
  <c r="D31" i="12" s="1"/>
  <c r="I18" i="21" s="1"/>
  <c r="Q158" i="22"/>
  <c r="R158" i="22" s="1"/>
  <c r="M95" i="22"/>
  <c r="N95" i="22" s="1"/>
  <c r="S95" i="22" s="1"/>
  <c r="D110" i="12" s="1"/>
  <c r="I97" i="21" s="1"/>
  <c r="M129" i="22"/>
  <c r="N129" i="22" s="1"/>
  <c r="S129" i="22" s="1"/>
  <c r="D144" i="12" s="1"/>
  <c r="I131" i="21" s="1"/>
  <c r="M100" i="22"/>
  <c r="N100" i="22" s="1"/>
  <c r="S100" i="22" s="1"/>
  <c r="D115" i="12" s="1"/>
  <c r="I102" i="21" s="1"/>
  <c r="Q109" i="22"/>
  <c r="R109" i="22" s="1"/>
  <c r="Q88" i="22"/>
  <c r="R88" i="22" s="1"/>
  <c r="M139" i="22"/>
  <c r="N139" i="22" s="1"/>
  <c r="S139" i="22" s="1"/>
  <c r="D154" i="12" s="1"/>
  <c r="I141" i="21" s="1"/>
  <c r="Q147" i="22"/>
  <c r="R147" i="22" s="1"/>
  <c r="Q124" i="22"/>
  <c r="R124" i="22" s="1"/>
  <c r="M55" i="22"/>
  <c r="N55" i="22" s="1"/>
  <c r="S55" i="22" s="1"/>
  <c r="D70" i="12" s="1"/>
  <c r="I57" i="21" s="1"/>
  <c r="Q44" i="22"/>
  <c r="R44" i="22" s="1"/>
  <c r="Q169" i="22"/>
  <c r="R169" i="22" s="1"/>
  <c r="Q133" i="22"/>
  <c r="R133" i="22" s="1"/>
  <c r="M109" i="22"/>
  <c r="N109" i="22" s="1"/>
  <c r="S109" i="22" s="1"/>
  <c r="D124" i="12" s="1"/>
  <c r="I111" i="21" s="1"/>
  <c r="Q24" i="22"/>
  <c r="R24" i="22" s="1"/>
  <c r="Q70" i="22"/>
  <c r="R70" i="22" s="1"/>
  <c r="M80" i="22"/>
  <c r="N80" i="22" s="1"/>
  <c r="S80" i="22" s="1"/>
  <c r="D95" i="12" s="1"/>
  <c r="I82" i="21" s="1"/>
  <c r="M179" i="22"/>
  <c r="N179" i="22" s="1"/>
  <c r="S179" i="22" s="1"/>
  <c r="D194" i="12" s="1"/>
  <c r="I181" i="21" s="1"/>
  <c r="M192" i="22"/>
  <c r="N192" i="22" s="1"/>
  <c r="S192" i="22" s="1"/>
  <c r="D207" i="12" s="1"/>
  <c r="I194" i="21" s="1"/>
  <c r="M91" i="22"/>
  <c r="N91" i="22" s="1"/>
  <c r="S91" i="22" s="1"/>
  <c r="D106" i="12" s="1"/>
  <c r="I93" i="21" s="1"/>
  <c r="Q91" i="22"/>
  <c r="R91" i="22" s="1"/>
  <c r="M28" i="22"/>
  <c r="N28" i="22" s="1"/>
  <c r="S28" i="22" s="1"/>
  <c r="D43" i="12" s="1"/>
  <c r="I30" i="21" s="1"/>
  <c r="M151" i="22"/>
  <c r="N151" i="22" s="1"/>
  <c r="S151" i="22" s="1"/>
  <c r="D166" i="12" s="1"/>
  <c r="I153" i="21" s="1"/>
  <c r="Q38" i="22"/>
  <c r="R38" i="22" s="1"/>
  <c r="Q83" i="22"/>
  <c r="R83" i="22" s="1"/>
  <c r="Q144" i="22"/>
  <c r="R144" i="22" s="1"/>
  <c r="M48" i="22"/>
  <c r="N48" i="22" s="1"/>
  <c r="S48" i="22" s="1"/>
  <c r="D63" i="12" s="1"/>
  <c r="I50" i="21" s="1"/>
  <c r="M111" i="22"/>
  <c r="N111" i="22" s="1"/>
  <c r="S111" i="22" s="1"/>
  <c r="D126" i="12" s="1"/>
  <c r="I113" i="21" s="1"/>
  <c r="Q77" i="22"/>
  <c r="R77" i="22" s="1"/>
  <c r="M7" i="22"/>
  <c r="N7" i="22" s="1"/>
  <c r="S7" i="22" s="1"/>
  <c r="D22" i="12" s="1"/>
  <c r="I9" i="21" s="1"/>
  <c r="Q14" i="22"/>
  <c r="R14" i="22" s="1"/>
  <c r="M22" i="22"/>
  <c r="N22" i="22" s="1"/>
  <c r="S22" i="22" s="1"/>
  <c r="D37" i="12" s="1"/>
  <c r="I24" i="21" s="1"/>
  <c r="Q64" i="22"/>
  <c r="R64" i="22" s="1"/>
  <c r="M23" i="22"/>
  <c r="N23" i="22" s="1"/>
  <c r="S23" i="22" s="1"/>
  <c r="D38" i="12" s="1"/>
  <c r="I25" i="21" s="1"/>
  <c r="M136" i="22"/>
  <c r="N136" i="22" s="1"/>
  <c r="S136" i="22" s="1"/>
  <c r="D151" i="12" s="1"/>
  <c r="I138" i="21" s="1"/>
  <c r="Q135" i="22"/>
  <c r="R135" i="22" s="1"/>
  <c r="Q140" i="22"/>
  <c r="R140" i="22" s="1"/>
  <c r="M60" i="22"/>
  <c r="N60" i="22" s="1"/>
  <c r="S60" i="22" s="1"/>
  <c r="D75" i="12" s="1"/>
  <c r="I62" i="21" s="1"/>
  <c r="M188" i="22"/>
  <c r="N188" i="22" s="1"/>
  <c r="S188" i="22" s="1"/>
  <c r="D203" i="12" s="1"/>
  <c r="I190" i="21" s="1"/>
  <c r="M44" i="22"/>
  <c r="N44" i="22" s="1"/>
  <c r="S44" i="22" s="1"/>
  <c r="D59" i="12" s="1"/>
  <c r="I46" i="21" s="1"/>
  <c r="Q68" i="22"/>
  <c r="R68" i="22" s="1"/>
  <c r="Q89" i="22"/>
  <c r="R89" i="22" s="1"/>
  <c r="M176" i="22"/>
  <c r="N176" i="22" s="1"/>
  <c r="S176" i="22" s="1"/>
  <c r="D191" i="12" s="1"/>
  <c r="I178" i="21" s="1"/>
  <c r="Q146" i="22"/>
  <c r="R146" i="22" s="1"/>
  <c r="M147" i="22"/>
  <c r="N147" i="22" s="1"/>
  <c r="S147" i="22" s="1"/>
  <c r="D162" i="12" s="1"/>
  <c r="I149" i="21" s="1"/>
  <c r="M71" i="22"/>
  <c r="N71" i="22" s="1"/>
  <c r="S71" i="22" s="1"/>
  <c r="D86" i="12" s="1"/>
  <c r="I73" i="21" s="1"/>
  <c r="M18" i="22"/>
  <c r="N18" i="22" s="1"/>
  <c r="S18" i="22" s="1"/>
  <c r="D33" i="12" s="1"/>
  <c r="I20" i="21" s="1"/>
  <c r="M38" i="22"/>
  <c r="N38" i="22" s="1"/>
  <c r="S38" i="22" s="1"/>
  <c r="D53" i="12" s="1"/>
  <c r="I40" i="21" s="1"/>
  <c r="M96" i="22"/>
  <c r="N96" i="22" s="1"/>
  <c r="S96" i="22" s="1"/>
  <c r="D111" i="12" s="1"/>
  <c r="I98" i="21" s="1"/>
  <c r="Q156" i="22"/>
  <c r="R156" i="22" s="1"/>
  <c r="Q73" i="22"/>
  <c r="R73" i="22" s="1"/>
  <c r="Q32" i="22"/>
  <c r="R32" i="22" s="1"/>
  <c r="M89" i="22"/>
  <c r="N89" i="22" s="1"/>
  <c r="S89" i="22" s="1"/>
  <c r="D104" i="12" s="1"/>
  <c r="I91" i="21" s="1"/>
  <c r="Q141" i="22"/>
  <c r="R141" i="22" s="1"/>
  <c r="Q153" i="22"/>
  <c r="R153" i="22" s="1"/>
  <c r="Q149" i="22"/>
  <c r="R149" i="22" s="1"/>
  <c r="Q100" i="22"/>
  <c r="R100" i="22" s="1"/>
  <c r="M11" i="22"/>
  <c r="N11" i="22" s="1"/>
  <c r="S11" i="22" s="1"/>
  <c r="D26" i="12" s="1"/>
  <c r="I13" i="21" s="1"/>
  <c r="M75" i="22"/>
  <c r="N75" i="22" s="1"/>
  <c r="S75" i="22" s="1"/>
  <c r="D90" i="12" s="1"/>
  <c r="I77" i="21" s="1"/>
  <c r="Q43" i="22"/>
  <c r="R43" i="22" s="1"/>
  <c r="Q31" i="22"/>
  <c r="R31" i="22" s="1"/>
  <c r="M159" i="22"/>
  <c r="N159" i="22" s="1"/>
  <c r="S159" i="22" s="1"/>
  <c r="D174" i="12" s="1"/>
  <c r="I161" i="21" s="1"/>
  <c r="M13" i="22"/>
  <c r="N13" i="22" s="1"/>
  <c r="S13" i="22" s="1"/>
  <c r="D28" i="12" s="1"/>
  <c r="I15" i="21" s="1"/>
  <c r="M97" i="22"/>
  <c r="N97" i="22" s="1"/>
  <c r="S97" i="22" s="1"/>
  <c r="D112" i="12" s="1"/>
  <c r="I99" i="21" s="1"/>
  <c r="M26" i="22"/>
  <c r="N26" i="22" s="1"/>
  <c r="S26" i="22" s="1"/>
  <c r="D41" i="12" s="1"/>
  <c r="I28" i="21" s="1"/>
  <c r="Q172" i="22"/>
  <c r="R172" i="22" s="1"/>
  <c r="Q191" i="22"/>
  <c r="R191" i="22" s="1"/>
  <c r="M193" i="22"/>
  <c r="N193" i="22" s="1"/>
  <c r="S193" i="22" s="1"/>
  <c r="D208" i="12" s="1"/>
  <c r="I195" i="21" s="1"/>
  <c r="M134" i="22"/>
  <c r="N134" i="22" s="1"/>
  <c r="S134" i="22" s="1"/>
  <c r="D149" i="12" s="1"/>
  <c r="I136" i="21" s="1"/>
  <c r="Q142" i="22"/>
  <c r="R142" i="22" s="1"/>
  <c r="Q75" i="22"/>
  <c r="R75" i="22" s="1"/>
  <c r="Q164" i="22"/>
  <c r="R164" i="22" s="1"/>
  <c r="M67" i="22"/>
  <c r="N67" i="22" s="1"/>
  <c r="S67" i="22" s="1"/>
  <c r="D82" i="12" s="1"/>
  <c r="I69" i="21" s="1"/>
  <c r="Q65" i="22"/>
  <c r="R65" i="22" s="1"/>
  <c r="Q197" i="22"/>
  <c r="R197" i="22" s="1"/>
  <c r="Q111" i="22"/>
  <c r="R111" i="22" s="1"/>
  <c r="Q79" i="22"/>
  <c r="R79" i="22" s="1"/>
  <c r="Q16" i="22"/>
  <c r="R16" i="22" s="1"/>
  <c r="M10" i="22"/>
  <c r="N10" i="22" s="1"/>
  <c r="S10" i="22" s="1"/>
  <c r="D25" i="12" s="1"/>
  <c r="I12" i="21" s="1"/>
  <c r="Q74" i="22"/>
  <c r="R74" i="22" s="1"/>
  <c r="Q23" i="22"/>
  <c r="R23" i="22" s="1"/>
  <c r="Q36" i="22"/>
  <c r="R36" i="22" s="1"/>
  <c r="M172" i="22"/>
  <c r="N172" i="22" s="1"/>
  <c r="S172" i="22" s="1"/>
  <c r="D187" i="12" s="1"/>
  <c r="I174" i="21" s="1"/>
  <c r="Q118" i="22"/>
  <c r="R118" i="22" s="1"/>
  <c r="Q121" i="22"/>
  <c r="R121" i="22" s="1"/>
  <c r="M146" i="22"/>
  <c r="N146" i="22" s="1"/>
  <c r="S146" i="22" s="1"/>
  <c r="D161" i="12" s="1"/>
  <c r="I148" i="21" s="1"/>
  <c r="M31" i="22"/>
  <c r="N31" i="22" s="1"/>
  <c r="S31" i="22" s="1"/>
  <c r="D46" i="12" s="1"/>
  <c r="I33" i="21" s="1"/>
  <c r="M162" i="22"/>
  <c r="N162" i="22" s="1"/>
  <c r="S162" i="22" s="1"/>
  <c r="D177" i="12" s="1"/>
  <c r="I164" i="21" s="1"/>
  <c r="Q11" i="22"/>
  <c r="R11" i="22" s="1"/>
  <c r="Q63" i="22"/>
  <c r="R63" i="22" s="1"/>
  <c r="M83" i="22"/>
  <c r="N83" i="22" s="1"/>
  <c r="S83" i="22" s="1"/>
  <c r="D98" i="12" s="1"/>
  <c r="I85" i="21" s="1"/>
  <c r="Q76" i="22"/>
  <c r="R76" i="22" s="1"/>
  <c r="Q5" i="22"/>
  <c r="R5" i="22" s="1"/>
  <c r="M36" i="22"/>
  <c r="N36" i="22" s="1"/>
  <c r="S36" i="22" s="1"/>
  <c r="D51" i="12" s="1"/>
  <c r="I38" i="21" s="1"/>
  <c r="Q186" i="22"/>
  <c r="R186" i="22" s="1"/>
  <c r="M87" i="22"/>
  <c r="N87" i="22" s="1"/>
  <c r="S87" i="22" s="1"/>
  <c r="D102" i="12" s="1"/>
  <c r="I89" i="21" s="1"/>
  <c r="M54" i="22"/>
  <c r="N54" i="22" s="1"/>
  <c r="S54" i="22" s="1"/>
  <c r="D69" i="12" s="1"/>
  <c r="I56" i="21" s="1"/>
  <c r="Q168" i="22"/>
  <c r="R168" i="22" s="1"/>
  <c r="M140" i="22"/>
  <c r="N140" i="22" s="1"/>
  <c r="S140" i="22" s="1"/>
  <c r="D155" i="12" s="1"/>
  <c r="I142" i="21" s="1"/>
  <c r="M84" i="22"/>
  <c r="N84" i="22" s="1"/>
  <c r="S84" i="22" s="1"/>
  <c r="D99" i="12" s="1"/>
  <c r="I86" i="21" s="1"/>
  <c r="Q58" i="22"/>
  <c r="R58" i="22" s="1"/>
  <c r="M56" i="22"/>
  <c r="N56" i="22" s="1"/>
  <c r="S56" i="22" s="1"/>
  <c r="D71" i="12" s="1"/>
  <c r="I58" i="21" s="1"/>
  <c r="M117" i="22"/>
  <c r="N117" i="22" s="1"/>
  <c r="S117" i="22" s="1"/>
  <c r="D132" i="12" s="1"/>
  <c r="I119" i="21" s="1"/>
  <c r="Q47" i="22"/>
  <c r="R47" i="22" s="1"/>
  <c r="M167" i="22"/>
  <c r="N167" i="22" s="1"/>
  <c r="S167" i="22" s="1"/>
  <c r="D182" i="12" s="1"/>
  <c r="I169" i="21" s="1"/>
  <c r="Q30" i="22"/>
  <c r="R30" i="22" s="1"/>
  <c r="Q139" i="22"/>
  <c r="R139" i="22" s="1"/>
  <c r="Q185" i="22"/>
  <c r="R185" i="22" s="1"/>
  <c r="Q84" i="22"/>
  <c r="R84" i="22" s="1"/>
  <c r="Q159" i="22"/>
  <c r="R159" i="22" s="1"/>
  <c r="Q6" i="22"/>
  <c r="R6" i="22" s="1"/>
  <c r="M105" i="22"/>
  <c r="N105" i="22" s="1"/>
  <c r="S105" i="22" s="1"/>
  <c r="D120" i="12" s="1"/>
  <c r="I107" i="21" s="1"/>
  <c r="Q127" i="22"/>
  <c r="R127" i="22" s="1"/>
  <c r="M57" i="22"/>
  <c r="N57" i="22" s="1"/>
  <c r="S57" i="22" s="1"/>
  <c r="D72" i="12" s="1"/>
  <c r="I59" i="21" s="1"/>
  <c r="Q99" i="22"/>
  <c r="R99" i="22" s="1"/>
  <c r="Q87" i="22"/>
  <c r="R87" i="22" s="1"/>
  <c r="Q120" i="22"/>
  <c r="R120" i="22" s="1"/>
  <c r="Q107" i="22"/>
  <c r="R107" i="22" s="1"/>
  <c r="Q129" i="22"/>
  <c r="R129" i="22" s="1"/>
  <c r="Q184" i="22"/>
  <c r="R184" i="22" s="1"/>
  <c r="Q25" i="22"/>
  <c r="R25" i="22" s="1"/>
  <c r="M88" i="22"/>
  <c r="N88" i="22" s="1"/>
  <c r="S88" i="22" s="1"/>
  <c r="D103" i="12" s="1"/>
  <c r="I90" i="21" s="1"/>
  <c r="M24" i="22"/>
  <c r="N24" i="22" s="1"/>
  <c r="S24" i="22" s="1"/>
  <c r="D39" i="12" s="1"/>
  <c r="I26" i="21" s="1"/>
  <c r="Q13" i="22"/>
  <c r="R13" i="22" s="1"/>
  <c r="Q95" i="22"/>
  <c r="R95" i="22" s="1"/>
  <c r="M115" i="22"/>
  <c r="N115" i="22" s="1"/>
  <c r="S115" i="22" s="1"/>
  <c r="D130" i="12" s="1"/>
  <c r="I117" i="21" s="1"/>
  <c r="M131" i="22"/>
  <c r="N131" i="22" s="1"/>
  <c r="S131" i="22" s="1"/>
  <c r="D146" i="12" s="1"/>
  <c r="I133" i="21" s="1"/>
  <c r="Q78" i="22"/>
  <c r="R78" i="22" s="1"/>
  <c r="Q110" i="22"/>
  <c r="R110" i="22" s="1"/>
  <c r="Q166" i="22"/>
  <c r="R166" i="22" s="1"/>
  <c r="Q53" i="22"/>
  <c r="R53" i="22" s="1"/>
  <c r="M126" i="22"/>
  <c r="N126" i="22" s="1"/>
  <c r="S126" i="22" s="1"/>
  <c r="D141" i="12" s="1"/>
  <c r="I128" i="21" s="1"/>
  <c r="M61" i="22"/>
  <c r="N61" i="22" s="1"/>
  <c r="S61" i="22" s="1"/>
  <c r="D76" i="12" s="1"/>
  <c r="I63" i="21" s="1"/>
  <c r="Q152" i="22"/>
  <c r="R152" i="22" s="1"/>
  <c r="M143" i="22"/>
  <c r="N143" i="22" s="1"/>
  <c r="S143" i="22" s="1"/>
  <c r="D158" i="12" s="1"/>
  <c r="I145" i="21" s="1"/>
  <c r="Q90" i="22"/>
  <c r="R90" i="22" s="1"/>
  <c r="M184" i="22"/>
  <c r="N184" i="22" s="1"/>
  <c r="S184" i="22" s="1"/>
  <c r="D199" i="12" s="1"/>
  <c r="I186" i="21" s="1"/>
  <c r="Q131" i="22"/>
  <c r="R131" i="22" s="1"/>
  <c r="M149" i="22"/>
  <c r="N149" i="22" s="1"/>
  <c r="S149" i="22" s="1"/>
  <c r="D164" i="12" s="1"/>
  <c r="I151" i="21" s="1"/>
  <c r="M191" i="22"/>
  <c r="N191" i="22" s="1"/>
  <c r="S191" i="22" s="1"/>
  <c r="D206" i="12" s="1"/>
  <c r="I193" i="21" s="1"/>
  <c r="M175" i="22"/>
  <c r="N175" i="22" s="1"/>
  <c r="S175" i="22" s="1"/>
  <c r="D190" i="12" s="1"/>
  <c r="I177" i="21" s="1"/>
  <c r="Q50" i="22"/>
  <c r="R50" i="22" s="1"/>
  <c r="Q49" i="22"/>
  <c r="R49" i="22" s="1"/>
  <c r="M153" i="22"/>
  <c r="N153" i="22" s="1"/>
  <c r="S153" i="22" s="1"/>
  <c r="D168" i="12" s="1"/>
  <c r="I155" i="21" s="1"/>
  <c r="M92" i="22"/>
  <c r="N92" i="22" s="1"/>
  <c r="S92" i="22" s="1"/>
  <c r="D107" i="12" s="1"/>
  <c r="I94" i="21" s="1"/>
  <c r="M74" i="22"/>
  <c r="N74" i="22" s="1"/>
  <c r="S74" i="22" s="1"/>
  <c r="D89" i="12" s="1"/>
  <c r="I76" i="21" s="1"/>
  <c r="M173" i="22"/>
  <c r="N173" i="22" s="1"/>
  <c r="S173" i="22" s="1"/>
  <c r="D188" i="12" s="1"/>
  <c r="I175" i="21" s="1"/>
  <c r="Q3" i="22"/>
  <c r="R3" i="22" s="1"/>
  <c r="Q108" i="22"/>
  <c r="R108" i="22" s="1"/>
  <c r="Q85" i="22"/>
  <c r="R85" i="22" s="1"/>
  <c r="W27" i="3"/>
  <c r="W27" i="2"/>
  <c r="T114" i="22" l="1"/>
  <c r="E129" i="12" s="1"/>
  <c r="J116" i="21" s="1"/>
  <c r="T122" i="22"/>
  <c r="E137" i="12" s="1"/>
  <c r="J124" i="21" s="1"/>
  <c r="T123" i="22"/>
  <c r="E138" i="12" s="1"/>
  <c r="J125" i="21" s="1"/>
  <c r="T59" i="22"/>
  <c r="E74" i="12" s="1"/>
  <c r="J61" i="21" s="1"/>
  <c r="T48" i="22"/>
  <c r="E63" i="12" s="1"/>
  <c r="J50" i="21" s="1"/>
  <c r="T177" i="22"/>
  <c r="E192" i="12" s="1"/>
  <c r="J179" i="21" s="1"/>
  <c r="T52" i="22"/>
  <c r="E67" i="12" s="1"/>
  <c r="J54" i="21" s="1"/>
  <c r="T166" i="22"/>
  <c r="E181" i="12" s="1"/>
  <c r="J168" i="21" s="1"/>
  <c r="T31" i="22"/>
  <c r="E46" i="12" s="1"/>
  <c r="J33" i="21" s="1"/>
  <c r="T171" i="22"/>
  <c r="E186" i="12" s="1"/>
  <c r="J173" i="21" s="1"/>
  <c r="T151" i="22"/>
  <c r="E166" i="12" s="1"/>
  <c r="J153" i="21" s="1"/>
  <c r="T138" i="22"/>
  <c r="E153" i="12" s="1"/>
  <c r="J140" i="21" s="1"/>
  <c r="T57" i="22"/>
  <c r="E72" i="12" s="1"/>
  <c r="J59" i="21" s="1"/>
  <c r="T20" i="22"/>
  <c r="E35" i="12" s="1"/>
  <c r="J22" i="21" s="1"/>
  <c r="T180" i="22"/>
  <c r="E195" i="12" s="1"/>
  <c r="J182" i="21" s="1"/>
  <c r="T160" i="22"/>
  <c r="E175" i="12" s="1"/>
  <c r="J162" i="21" s="1"/>
  <c r="T201" i="22"/>
  <c r="E216" i="12" s="1"/>
  <c r="J203" i="21" s="1"/>
  <c r="T194" i="22"/>
  <c r="E209" i="12" s="1"/>
  <c r="J196" i="21" s="1"/>
  <c r="T10" i="22"/>
  <c r="E25" i="12" s="1"/>
  <c r="J12" i="21" s="1"/>
  <c r="T46" i="22"/>
  <c r="E61" i="12" s="1"/>
  <c r="J48" i="21" s="1"/>
  <c r="T196" i="22"/>
  <c r="E211" i="12" s="1"/>
  <c r="J198" i="21" s="1"/>
  <c r="T144" i="22"/>
  <c r="E159" i="12" s="1"/>
  <c r="J146" i="21" s="1"/>
  <c r="T119" i="22"/>
  <c r="E134" i="12" s="1"/>
  <c r="J121" i="21" s="1"/>
  <c r="T2" i="22"/>
  <c r="E17" i="12" s="1"/>
  <c r="J4" i="21" s="1"/>
  <c r="T97" i="22"/>
  <c r="E112" i="12" s="1"/>
  <c r="J99" i="21" s="1"/>
  <c r="T148" i="22"/>
  <c r="E163" i="12" s="1"/>
  <c r="J150" i="21" s="1"/>
  <c r="T179" i="22"/>
  <c r="E194" i="12" s="1"/>
  <c r="J181" i="21" s="1"/>
  <c r="T150" i="22"/>
  <c r="E165" i="12" s="1"/>
  <c r="J152" i="21" s="1"/>
  <c r="T39" i="22"/>
  <c r="E54" i="12" s="1"/>
  <c r="J41" i="21" s="1"/>
  <c r="T78" i="22"/>
  <c r="E93" i="12" s="1"/>
  <c r="J80" i="21" s="1"/>
  <c r="T199" i="22"/>
  <c r="E214" i="12" s="1"/>
  <c r="J201" i="21" s="1"/>
  <c r="T113" i="22"/>
  <c r="E128" i="12" s="1"/>
  <c r="J115" i="21" s="1"/>
  <c r="T168" i="22"/>
  <c r="E183" i="12" s="1"/>
  <c r="J170" i="21" s="1"/>
  <c r="T153" i="22"/>
  <c r="E168" i="12" s="1"/>
  <c r="J155" i="21" s="1"/>
  <c r="T195" i="22"/>
  <c r="E210" i="12" s="1"/>
  <c r="J197" i="21" s="1"/>
  <c r="T90" i="22"/>
  <c r="E105" i="12" s="1"/>
  <c r="J92" i="21" s="1"/>
  <c r="T45" i="22"/>
  <c r="E60" i="12" s="1"/>
  <c r="J47" i="21" s="1"/>
  <c r="T38" i="22"/>
  <c r="E53" i="12" s="1"/>
  <c r="J40" i="21" s="1"/>
  <c r="T44" i="22"/>
  <c r="E59" i="12" s="1"/>
  <c r="J46" i="21" s="1"/>
  <c r="T22" i="22"/>
  <c r="E37" i="12" s="1"/>
  <c r="J24" i="21" s="1"/>
  <c r="T33" i="22"/>
  <c r="E48" i="12" s="1"/>
  <c r="J35" i="21" s="1"/>
  <c r="T145" i="22"/>
  <c r="E160" i="12" s="1"/>
  <c r="J147" i="21" s="1"/>
  <c r="T41" i="22"/>
  <c r="E56" i="12" s="1"/>
  <c r="J43" i="21" s="1"/>
  <c r="T19" i="22"/>
  <c r="E34" i="12" s="1"/>
  <c r="J21" i="21" s="1"/>
  <c r="T189" i="22"/>
  <c r="E204" i="12" s="1"/>
  <c r="J191" i="21" s="1"/>
  <c r="T183" i="22"/>
  <c r="E198" i="12" s="1"/>
  <c r="J185" i="21" s="1"/>
  <c r="T108" i="22"/>
  <c r="E123" i="12" s="1"/>
  <c r="J110" i="21" s="1"/>
  <c r="T9" i="22"/>
  <c r="E24" i="12" s="1"/>
  <c r="J11" i="21" s="1"/>
  <c r="T37" i="22"/>
  <c r="E52" i="12" s="1"/>
  <c r="J39" i="21" s="1"/>
  <c r="T103" i="22"/>
  <c r="E118" i="12" s="1"/>
  <c r="J105" i="21" s="1"/>
  <c r="T29" i="22"/>
  <c r="E44" i="12" s="1"/>
  <c r="J31" i="21" s="1"/>
  <c r="T84" i="22"/>
  <c r="E99" i="12" s="1"/>
  <c r="J86" i="21" s="1"/>
  <c r="T143" i="22"/>
  <c r="E158" i="12" s="1"/>
  <c r="J145" i="21" s="1"/>
  <c r="T131" i="22"/>
  <c r="E146" i="12" s="1"/>
  <c r="J133" i="21" s="1"/>
  <c r="T32" i="22"/>
  <c r="E47" i="12" s="1"/>
  <c r="J34" i="21" s="1"/>
  <c r="T161" i="22"/>
  <c r="E176" i="12" s="1"/>
  <c r="J163" i="21" s="1"/>
  <c r="T178" i="22"/>
  <c r="E193" i="12" s="1"/>
  <c r="J180" i="21" s="1"/>
  <c r="T135" i="22"/>
  <c r="E150" i="12" s="1"/>
  <c r="J137" i="21" s="1"/>
  <c r="T76" i="22"/>
  <c r="E91" i="12" s="1"/>
  <c r="J78" i="21" s="1"/>
  <c r="T187" i="22"/>
  <c r="E202" i="12" s="1"/>
  <c r="J189" i="21" s="1"/>
  <c r="T104" i="22"/>
  <c r="E119" i="12" s="1"/>
  <c r="J106" i="21" s="1"/>
  <c r="T87" i="22"/>
  <c r="E102" i="12" s="1"/>
  <c r="J89" i="21" s="1"/>
  <c r="T8" i="22"/>
  <c r="E23" i="12" s="1"/>
  <c r="J10" i="21" s="1"/>
  <c r="T54" i="22"/>
  <c r="E69" i="12" s="1"/>
  <c r="J56" i="21" s="1"/>
  <c r="T170" i="22"/>
  <c r="E185" i="12" s="1"/>
  <c r="J172" i="21" s="1"/>
  <c r="T12" i="22"/>
  <c r="E27" i="12" s="1"/>
  <c r="J14" i="21" s="1"/>
  <c r="T193" i="22"/>
  <c r="E208" i="12" s="1"/>
  <c r="J195" i="21" s="1"/>
  <c r="T128" i="22"/>
  <c r="E143" i="12" s="1"/>
  <c r="J130" i="21" s="1"/>
  <c r="T111" i="22"/>
  <c r="E126" i="12" s="1"/>
  <c r="J113" i="21" s="1"/>
  <c r="T25" i="22"/>
  <c r="E40" i="12" s="1"/>
  <c r="J27" i="21" s="1"/>
  <c r="T79" i="22"/>
  <c r="E94" i="12" s="1"/>
  <c r="J81" i="21" s="1"/>
  <c r="T82" i="22"/>
  <c r="E97" i="12" s="1"/>
  <c r="J84" i="21" s="1"/>
  <c r="T17" i="22"/>
  <c r="E32" i="12" s="1"/>
  <c r="J19" i="21" s="1"/>
  <c r="T126" i="22"/>
  <c r="E141" i="12" s="1"/>
  <c r="J128" i="21" s="1"/>
  <c r="T96" i="22"/>
  <c r="E111" i="12" s="1"/>
  <c r="J98" i="21" s="1"/>
  <c r="T64" i="22"/>
  <c r="E79" i="12" s="1"/>
  <c r="J66" i="21" s="1"/>
  <c r="T67" i="22"/>
  <c r="E82" i="12" s="1"/>
  <c r="J69" i="21" s="1"/>
  <c r="T18" i="22"/>
  <c r="E33" i="12" s="1"/>
  <c r="J20" i="21" s="1"/>
  <c r="T15" i="22"/>
  <c r="E30" i="12" s="1"/>
  <c r="J17" i="21" s="1"/>
  <c r="T181" i="22"/>
  <c r="E196" i="12" s="1"/>
  <c r="J183" i="21" s="1"/>
  <c r="T133" i="22"/>
  <c r="E148" i="12" s="1"/>
  <c r="J135" i="21" s="1"/>
  <c r="T112" i="22"/>
  <c r="E127" i="12" s="1"/>
  <c r="J114" i="21" s="1"/>
  <c r="T80" i="22"/>
  <c r="E95" i="12" s="1"/>
  <c r="J82" i="21" s="1"/>
  <c r="T132" i="22"/>
  <c r="E147" i="12" s="1"/>
  <c r="J134" i="21" s="1"/>
  <c r="T101" i="22"/>
  <c r="E116" i="12" s="1"/>
  <c r="J103" i="21" s="1"/>
  <c r="T174" i="22"/>
  <c r="E189" i="12" s="1"/>
  <c r="J176" i="21" s="1"/>
  <c r="T154" i="22"/>
  <c r="E169" i="12" s="1"/>
  <c r="J156" i="21" s="1"/>
  <c r="T68" i="22"/>
  <c r="E83" i="12" s="1"/>
  <c r="J70" i="21" s="1"/>
  <c r="T158" i="22"/>
  <c r="E173" i="12" s="1"/>
  <c r="J160" i="21" s="1"/>
  <c r="T175" i="22"/>
  <c r="E190" i="12" s="1"/>
  <c r="J177" i="21" s="1"/>
  <c r="T127" i="22"/>
  <c r="E142" i="12" s="1"/>
  <c r="J129" i="21" s="1"/>
  <c r="T165" i="22"/>
  <c r="E180" i="12" s="1"/>
  <c r="J167" i="21" s="1"/>
  <c r="T92" i="22"/>
  <c r="E107" i="12" s="1"/>
  <c r="J94" i="21" s="1"/>
  <c r="T157" i="22"/>
  <c r="E172" i="12" s="1"/>
  <c r="J159" i="21" s="1"/>
  <c r="T184" i="22"/>
  <c r="E199" i="12" s="1"/>
  <c r="J186" i="21" s="1"/>
  <c r="T89" i="22"/>
  <c r="E104" i="12" s="1"/>
  <c r="J91" i="21" s="1"/>
  <c r="T42" i="22"/>
  <c r="E57" i="12" s="1"/>
  <c r="J44" i="21" s="1"/>
  <c r="T167" i="22"/>
  <c r="E182" i="12" s="1"/>
  <c r="J169" i="21" s="1"/>
  <c r="T30" i="22"/>
  <c r="E45" i="12" s="1"/>
  <c r="J32" i="21" s="1"/>
  <c r="T134" i="22"/>
  <c r="E149" i="12" s="1"/>
  <c r="J136" i="21" s="1"/>
  <c r="T156" i="22"/>
  <c r="E171" i="12" s="1"/>
  <c r="J158" i="21" s="1"/>
  <c r="T63" i="22"/>
  <c r="E78" i="12" s="1"/>
  <c r="J65" i="21" s="1"/>
  <c r="T172" i="22"/>
  <c r="E187" i="12" s="1"/>
  <c r="J174" i="21" s="1"/>
  <c r="T182" i="22"/>
  <c r="E197" i="12" s="1"/>
  <c r="J184" i="21" s="1"/>
  <c r="T102" i="22"/>
  <c r="E117" i="12" s="1"/>
  <c r="J104" i="21" s="1"/>
  <c r="T27" i="22"/>
  <c r="E42" i="12" s="1"/>
  <c r="J29" i="21" s="1"/>
  <c r="T60" i="22"/>
  <c r="E75" i="12" s="1"/>
  <c r="J62" i="21" s="1"/>
  <c r="T75" i="22"/>
  <c r="E90" i="12" s="1"/>
  <c r="J77" i="21" s="1"/>
  <c r="T74" i="22"/>
  <c r="E89" i="12" s="1"/>
  <c r="J76" i="21" s="1"/>
  <c r="T147" i="22"/>
  <c r="E162" i="12" s="1"/>
  <c r="J149" i="21" s="1"/>
  <c r="T99" i="22"/>
  <c r="E114" i="12" s="1"/>
  <c r="J101" i="21" s="1"/>
  <c r="T66" i="22"/>
  <c r="E81" i="12" s="1"/>
  <c r="J68" i="21" s="1"/>
  <c r="T36" i="22"/>
  <c r="E51" i="12" s="1"/>
  <c r="J38" i="21" s="1"/>
  <c r="T159" i="22"/>
  <c r="E174" i="12" s="1"/>
  <c r="J161" i="21" s="1"/>
  <c r="T24" i="22"/>
  <c r="E39" i="12" s="1"/>
  <c r="J26" i="21" s="1"/>
  <c r="T34" i="22"/>
  <c r="E49" i="12" s="1"/>
  <c r="J36" i="21" s="1"/>
  <c r="T191" i="22"/>
  <c r="E206" i="12" s="1"/>
  <c r="J193" i="21" s="1"/>
  <c r="T188" i="22"/>
  <c r="E203" i="12" s="1"/>
  <c r="J190" i="21" s="1"/>
  <c r="T163" i="22"/>
  <c r="E178" i="12" s="1"/>
  <c r="J165" i="21" s="1"/>
  <c r="T124" i="22"/>
  <c r="E139" i="12" s="1"/>
  <c r="J126" i="21" s="1"/>
  <c r="T14" i="22"/>
  <c r="E29" i="12" s="1"/>
  <c r="J16" i="21" s="1"/>
  <c r="T62" i="22"/>
  <c r="E77" i="12" s="1"/>
  <c r="J64" i="21" s="1"/>
  <c r="T142" i="22"/>
  <c r="E157" i="12" s="1"/>
  <c r="J144" i="21" s="1"/>
  <c r="T72" i="22"/>
  <c r="E87" i="12" s="1"/>
  <c r="J74" i="21" s="1"/>
  <c r="T98" i="22"/>
  <c r="E113" i="12" s="1"/>
  <c r="J100" i="21" s="1"/>
  <c r="T85" i="22"/>
  <c r="E100" i="12" s="1"/>
  <c r="J87" i="21" s="1"/>
  <c r="T5" i="22"/>
  <c r="E20" i="12" s="1"/>
  <c r="J7" i="21" s="1"/>
  <c r="T190" i="22"/>
  <c r="E205" i="12" s="1"/>
  <c r="J192" i="21" s="1"/>
  <c r="T83" i="22"/>
  <c r="E98" i="12" s="1"/>
  <c r="J85" i="21" s="1"/>
  <c r="T49" i="22"/>
  <c r="E64" i="12" s="1"/>
  <c r="J51" i="21" s="1"/>
  <c r="T13" i="22"/>
  <c r="E28" i="12" s="1"/>
  <c r="J15" i="21" s="1"/>
  <c r="T3" i="22"/>
  <c r="E18" i="12" s="1"/>
  <c r="J5" i="21" s="1"/>
  <c r="T69" i="22"/>
  <c r="E84" i="12" s="1"/>
  <c r="J71" i="21" s="1"/>
  <c r="T192" i="22"/>
  <c r="E207" i="12" s="1"/>
  <c r="J194" i="21" s="1"/>
  <c r="T121" i="22"/>
  <c r="E136" i="12" s="1"/>
  <c r="J123" i="21" s="1"/>
  <c r="T136" i="22"/>
  <c r="E151" i="12" s="1"/>
  <c r="J138" i="21" s="1"/>
  <c r="T35" i="22"/>
  <c r="E50" i="12" s="1"/>
  <c r="J37" i="21" s="1"/>
  <c r="T129" i="22"/>
  <c r="E144" i="12" s="1"/>
  <c r="J131" i="21" s="1"/>
  <c r="T164" i="22"/>
  <c r="E179" i="12" s="1"/>
  <c r="J166" i="21" s="1"/>
  <c r="T100" i="22"/>
  <c r="E115" i="12" s="1"/>
  <c r="J102" i="21" s="1"/>
  <c r="T51" i="22"/>
  <c r="E66" i="12" s="1"/>
  <c r="J53" i="21" s="1"/>
  <c r="T73" i="22"/>
  <c r="E88" i="12" s="1"/>
  <c r="J75" i="21" s="1"/>
  <c r="T130" i="22"/>
  <c r="E145" i="12" s="1"/>
  <c r="J132" i="21" s="1"/>
  <c r="T95" i="22"/>
  <c r="E110" i="12" s="1"/>
  <c r="J97" i="21" s="1"/>
  <c r="T58" i="22"/>
  <c r="E73" i="12" s="1"/>
  <c r="J60" i="21" s="1"/>
  <c r="T200" i="22"/>
  <c r="E215" i="12" s="1"/>
  <c r="J202" i="21" s="1"/>
  <c r="T28" i="22"/>
  <c r="E43" i="12" s="1"/>
  <c r="J30" i="21" s="1"/>
  <c r="T53" i="22"/>
  <c r="E68" i="12" s="1"/>
  <c r="J55" i="21" s="1"/>
  <c r="T50" i="22"/>
  <c r="E65" i="12" s="1"/>
  <c r="J52" i="21" s="1"/>
  <c r="T146" i="22"/>
  <c r="E161" i="12" s="1"/>
  <c r="J148" i="21" s="1"/>
  <c r="T155" i="22"/>
  <c r="E170" i="12" s="1"/>
  <c r="J157" i="21" s="1"/>
  <c r="T86" i="22"/>
  <c r="E101" i="12" s="1"/>
  <c r="J88" i="21" s="1"/>
  <c r="T81" i="22"/>
  <c r="E96" i="12" s="1"/>
  <c r="J83" i="21" s="1"/>
  <c r="T197" i="22"/>
  <c r="E212" i="12" s="1"/>
  <c r="J199" i="21" s="1"/>
  <c r="T23" i="22"/>
  <c r="E38" i="12" s="1"/>
  <c r="J25" i="21" s="1"/>
  <c r="T11" i="22"/>
  <c r="E26" i="12" s="1"/>
  <c r="J13" i="21" s="1"/>
  <c r="T94" i="22"/>
  <c r="E109" i="12" s="1"/>
  <c r="J96" i="21" s="1"/>
  <c r="T16" i="22"/>
  <c r="E31" i="12" s="1"/>
  <c r="J18" i="21" s="1"/>
  <c r="T152" i="22"/>
  <c r="E167" i="12" s="1"/>
  <c r="J154" i="21" s="1"/>
  <c r="T91" i="22"/>
  <c r="E106" i="12" s="1"/>
  <c r="J93" i="21" s="1"/>
  <c r="T88" i="22"/>
  <c r="E103" i="12" s="1"/>
  <c r="J90" i="21" s="1"/>
  <c r="T107" i="22"/>
  <c r="E122" i="12" s="1"/>
  <c r="J109" i="21" s="1"/>
  <c r="T6" i="22"/>
  <c r="E21" i="12" s="1"/>
  <c r="J8" i="21" s="1"/>
  <c r="T26" i="22"/>
  <c r="E41" i="12" s="1"/>
  <c r="J28" i="21" s="1"/>
  <c r="T162" i="22"/>
  <c r="E177" i="12" s="1"/>
  <c r="J164" i="21" s="1"/>
  <c r="T7" i="22"/>
  <c r="E22" i="12" s="1"/>
  <c r="J9" i="21" s="1"/>
  <c r="T43" i="22"/>
  <c r="E58" i="12" s="1"/>
  <c r="J45" i="21" s="1"/>
  <c r="T105" i="22"/>
  <c r="E120" i="12" s="1"/>
  <c r="J107" i="21" s="1"/>
  <c r="T169" i="22"/>
  <c r="E184" i="12" s="1"/>
  <c r="J171" i="21" s="1"/>
  <c r="T93" i="22"/>
  <c r="E108" i="12" s="1"/>
  <c r="J95" i="21" s="1"/>
  <c r="T173" i="22"/>
  <c r="E188" i="12" s="1"/>
  <c r="J175" i="21" s="1"/>
  <c r="T21" i="22"/>
  <c r="E36" i="12" s="1"/>
  <c r="J23" i="21" s="1"/>
  <c r="T77" i="22"/>
  <c r="E92" i="12" s="1"/>
  <c r="J79" i="21" s="1"/>
  <c r="T110" i="22"/>
  <c r="E125" i="12" s="1"/>
  <c r="J112" i="21" s="1"/>
  <c r="T137" i="22"/>
  <c r="E152" i="12" s="1"/>
  <c r="J139" i="21" s="1"/>
  <c r="T61" i="22"/>
  <c r="E76" i="12" s="1"/>
  <c r="J63" i="21" s="1"/>
  <c r="T71" i="22"/>
  <c r="E86" i="12" s="1"/>
  <c r="J73" i="21" s="1"/>
  <c r="T176" i="22"/>
  <c r="E191" i="12" s="1"/>
  <c r="J178" i="21" s="1"/>
  <c r="T198" i="22"/>
  <c r="E213" i="12" s="1"/>
  <c r="J200" i="21" s="1"/>
  <c r="T118" i="22"/>
  <c r="E133" i="12" s="1"/>
  <c r="J120" i="21" s="1"/>
  <c r="T56" i="22"/>
  <c r="E71" i="12" s="1"/>
  <c r="J58" i="21" s="1"/>
  <c r="T65" i="22"/>
  <c r="E80" i="12" s="1"/>
  <c r="J67" i="21" s="1"/>
  <c r="T109" i="22"/>
  <c r="E124" i="12" s="1"/>
  <c r="J111" i="21" s="1"/>
  <c r="T141" i="22"/>
  <c r="E156" i="12" s="1"/>
  <c r="J143" i="21" s="1"/>
  <c r="T149" i="22"/>
  <c r="E164" i="12" s="1"/>
  <c r="J151" i="21" s="1"/>
  <c r="T117" i="22"/>
  <c r="E132" i="12" s="1"/>
  <c r="J119" i="21" s="1"/>
  <c r="T40" i="22"/>
  <c r="E55" i="12" s="1"/>
  <c r="J42" i="21" s="1"/>
  <c r="T185" i="22"/>
  <c r="E200" i="12" s="1"/>
  <c r="J187" i="21" s="1"/>
  <c r="T106" i="22"/>
  <c r="E121" i="12" s="1"/>
  <c r="J108" i="21" s="1"/>
  <c r="T47" i="22"/>
  <c r="E62" i="12" s="1"/>
  <c r="J49" i="21" s="1"/>
  <c r="T139" i="22"/>
  <c r="E154" i="12" s="1"/>
  <c r="J141" i="21" s="1"/>
  <c r="T120" i="22"/>
  <c r="E135" i="12" s="1"/>
  <c r="J122" i="21" s="1"/>
  <c r="T55" i="22"/>
  <c r="E70" i="12" s="1"/>
  <c r="J57" i="21" s="1"/>
  <c r="T115" i="22"/>
  <c r="E130" i="12" s="1"/>
  <c r="J117" i="21" s="1"/>
  <c r="T140" i="22"/>
  <c r="E155" i="12" s="1"/>
  <c r="J142" i="21" s="1"/>
  <c r="T70" i="22"/>
  <c r="E85" i="12" s="1"/>
  <c r="J72" i="21" s="1"/>
  <c r="T125" i="22"/>
  <c r="E140" i="12" s="1"/>
  <c r="J127" i="21" s="1"/>
  <c r="T116" i="22"/>
  <c r="E131" i="12" s="1"/>
  <c r="J118" i="21" s="1"/>
  <c r="T4" i="22"/>
  <c r="E19" i="12" s="1"/>
  <c r="J6" i="21" s="1"/>
  <c r="T186" i="22"/>
  <c r="E201" i="12" s="1"/>
  <c r="J188" i="21" s="1"/>
  <c r="B1" i="24"/>
  <c r="E3" i="22"/>
  <c r="O9" i="12" l="1"/>
  <c r="O8" i="12"/>
  <c r="B24" i="24" l="1"/>
  <c r="A36" i="24" s="1"/>
  <c r="B26" i="24"/>
  <c r="B25" i="24"/>
  <c r="A37" i="24" l="1"/>
  <c r="B4" i="24"/>
  <c r="B5" i="24" s="1"/>
  <c r="B2" i="24" l="1"/>
  <c r="A31" i="24" s="1"/>
  <c r="A30" i="24"/>
  <c r="E7" i="22"/>
  <c r="E6" i="22" s="1"/>
  <c r="D6" i="12" s="1"/>
  <c r="B216" i="12"/>
  <c r="E5" i="1" l="1"/>
  <c r="E7" i="1"/>
  <c r="E6" i="1"/>
  <c r="M5" i="21" l="1"/>
  <c r="N5" i="21" s="1"/>
  <c r="P5" i="21" s="1"/>
  <c r="M6" i="21"/>
  <c r="N6" i="21" s="1"/>
  <c r="P6" i="21" s="1"/>
  <c r="M7" i="21"/>
  <c r="N7" i="21" s="1"/>
  <c r="P7" i="21" s="1"/>
  <c r="M8" i="21"/>
  <c r="N8" i="21" s="1"/>
  <c r="M9" i="21"/>
  <c r="N9" i="21" s="1"/>
  <c r="P9" i="21" s="1"/>
  <c r="M10" i="21"/>
  <c r="N10" i="21" s="1"/>
  <c r="P10" i="21" s="1"/>
  <c r="M11" i="21"/>
  <c r="N11" i="21" s="1"/>
  <c r="P11" i="21" s="1"/>
  <c r="M12" i="21"/>
  <c r="N12" i="21" s="1"/>
  <c r="P12" i="21" s="1"/>
  <c r="M13" i="21"/>
  <c r="N13" i="21" s="1"/>
  <c r="P13" i="21" s="1"/>
  <c r="M14" i="21"/>
  <c r="N14" i="21" s="1"/>
  <c r="P14" i="21" s="1"/>
  <c r="M15" i="21"/>
  <c r="N15" i="21" s="1"/>
  <c r="P15" i="21" s="1"/>
  <c r="M16" i="21"/>
  <c r="N16" i="21" s="1"/>
  <c r="P16" i="21" s="1"/>
  <c r="M17" i="21"/>
  <c r="N17" i="21" s="1"/>
  <c r="P17" i="21" s="1"/>
  <c r="M18" i="21"/>
  <c r="N18" i="21" s="1"/>
  <c r="P18" i="21" s="1"/>
  <c r="M19" i="21"/>
  <c r="N19" i="21" s="1"/>
  <c r="P19" i="21" s="1"/>
  <c r="M20" i="21"/>
  <c r="N20" i="21" s="1"/>
  <c r="P20" i="21" s="1"/>
  <c r="M21" i="21"/>
  <c r="N21" i="21" s="1"/>
  <c r="P21" i="21" s="1"/>
  <c r="M22" i="21"/>
  <c r="N22" i="21" s="1"/>
  <c r="P22" i="21" s="1"/>
  <c r="M23" i="21"/>
  <c r="N23" i="21" s="1"/>
  <c r="P23" i="21" s="1"/>
  <c r="M24" i="21"/>
  <c r="N24" i="21" s="1"/>
  <c r="P24" i="21" s="1"/>
  <c r="M25" i="21"/>
  <c r="N25" i="21" s="1"/>
  <c r="P25" i="21" s="1"/>
  <c r="M26" i="21"/>
  <c r="N26" i="21" s="1"/>
  <c r="P26" i="21" s="1"/>
  <c r="M27" i="21"/>
  <c r="N27" i="21" s="1"/>
  <c r="P27" i="21" s="1"/>
  <c r="M28" i="21"/>
  <c r="N28" i="21" s="1"/>
  <c r="P28" i="21" s="1"/>
  <c r="M29" i="21"/>
  <c r="N29" i="21" s="1"/>
  <c r="P29" i="21" s="1"/>
  <c r="M30" i="21"/>
  <c r="N30" i="21" s="1"/>
  <c r="P30" i="21" s="1"/>
  <c r="M31" i="21"/>
  <c r="N31" i="21" s="1"/>
  <c r="P31" i="21" s="1"/>
  <c r="M32" i="21"/>
  <c r="N32" i="21" s="1"/>
  <c r="P32" i="21" s="1"/>
  <c r="M33" i="21"/>
  <c r="N33" i="21" s="1"/>
  <c r="P33" i="21" s="1"/>
  <c r="M34" i="21"/>
  <c r="N34" i="21" s="1"/>
  <c r="P34" i="21" s="1"/>
  <c r="M35" i="21"/>
  <c r="N35" i="21" s="1"/>
  <c r="P35" i="21" s="1"/>
  <c r="M36" i="21"/>
  <c r="N36" i="21" s="1"/>
  <c r="P36" i="21" s="1"/>
  <c r="M37" i="21"/>
  <c r="N37" i="21" s="1"/>
  <c r="P37" i="21" s="1"/>
  <c r="M38" i="21"/>
  <c r="N38" i="21" s="1"/>
  <c r="P38" i="21" s="1"/>
  <c r="M39" i="21"/>
  <c r="N39" i="21" s="1"/>
  <c r="P39" i="21" s="1"/>
  <c r="M40" i="21"/>
  <c r="N40" i="21" s="1"/>
  <c r="P40" i="21" s="1"/>
  <c r="M41" i="21"/>
  <c r="N41" i="21" s="1"/>
  <c r="P41" i="21" s="1"/>
  <c r="M42" i="21"/>
  <c r="N42" i="21" s="1"/>
  <c r="P42" i="21" s="1"/>
  <c r="M43" i="21"/>
  <c r="N43" i="21" s="1"/>
  <c r="P43" i="21" s="1"/>
  <c r="M44" i="21"/>
  <c r="N44" i="21" s="1"/>
  <c r="P44" i="21" s="1"/>
  <c r="M45" i="21"/>
  <c r="N45" i="21" s="1"/>
  <c r="P45" i="21" s="1"/>
  <c r="M46" i="21"/>
  <c r="N46" i="21" s="1"/>
  <c r="P46" i="21" s="1"/>
  <c r="M47" i="21"/>
  <c r="N47" i="21" s="1"/>
  <c r="P47" i="21" s="1"/>
  <c r="M48" i="21"/>
  <c r="N48" i="21" s="1"/>
  <c r="P48" i="21" s="1"/>
  <c r="M49" i="21"/>
  <c r="N49" i="21" s="1"/>
  <c r="P49" i="21" s="1"/>
  <c r="M50" i="21"/>
  <c r="N50" i="21" s="1"/>
  <c r="P50" i="21" s="1"/>
  <c r="M51" i="21"/>
  <c r="N51" i="21" s="1"/>
  <c r="P51" i="21" s="1"/>
  <c r="M52" i="21"/>
  <c r="N52" i="21" s="1"/>
  <c r="P52" i="21" s="1"/>
  <c r="M53" i="21"/>
  <c r="N53" i="21" s="1"/>
  <c r="P53" i="21" s="1"/>
  <c r="M54" i="21"/>
  <c r="N54" i="21" s="1"/>
  <c r="P54" i="21" s="1"/>
  <c r="M55" i="21"/>
  <c r="N55" i="21" s="1"/>
  <c r="P55" i="21" s="1"/>
  <c r="M56" i="21"/>
  <c r="N56" i="21" s="1"/>
  <c r="P56" i="21" s="1"/>
  <c r="M57" i="21"/>
  <c r="N57" i="21" s="1"/>
  <c r="P57" i="21" s="1"/>
  <c r="M58" i="21"/>
  <c r="N58" i="21" s="1"/>
  <c r="P58" i="21" s="1"/>
  <c r="M59" i="21"/>
  <c r="N59" i="21" s="1"/>
  <c r="P59" i="21" s="1"/>
  <c r="M60" i="21"/>
  <c r="N60" i="21" s="1"/>
  <c r="P60" i="21" s="1"/>
  <c r="M61" i="21"/>
  <c r="N61" i="21" s="1"/>
  <c r="P61" i="21" s="1"/>
  <c r="M62" i="21"/>
  <c r="N62" i="21" s="1"/>
  <c r="P62" i="21" s="1"/>
  <c r="M63" i="21"/>
  <c r="N63" i="21" s="1"/>
  <c r="P63" i="21" s="1"/>
  <c r="M64" i="21"/>
  <c r="N64" i="21" s="1"/>
  <c r="P64" i="21" s="1"/>
  <c r="M65" i="21"/>
  <c r="N65" i="21" s="1"/>
  <c r="P65" i="21" s="1"/>
  <c r="M66" i="21"/>
  <c r="N66" i="21" s="1"/>
  <c r="P66" i="21" s="1"/>
  <c r="M67" i="21"/>
  <c r="N67" i="21" s="1"/>
  <c r="P67" i="21" s="1"/>
  <c r="M68" i="21"/>
  <c r="N68" i="21" s="1"/>
  <c r="P68" i="21" s="1"/>
  <c r="M69" i="21"/>
  <c r="N69" i="21" s="1"/>
  <c r="P69" i="21" s="1"/>
  <c r="M70" i="21"/>
  <c r="N70" i="21" s="1"/>
  <c r="P70" i="21" s="1"/>
  <c r="M71" i="21"/>
  <c r="N71" i="21" s="1"/>
  <c r="P71" i="21" s="1"/>
  <c r="M72" i="21"/>
  <c r="N72" i="21" s="1"/>
  <c r="P72" i="21" s="1"/>
  <c r="M73" i="21"/>
  <c r="N73" i="21" s="1"/>
  <c r="P73" i="21" s="1"/>
  <c r="M74" i="21"/>
  <c r="N74" i="21" s="1"/>
  <c r="P74" i="21" s="1"/>
  <c r="M75" i="21"/>
  <c r="N75" i="21" s="1"/>
  <c r="P75" i="21" s="1"/>
  <c r="M76" i="21"/>
  <c r="N76" i="21" s="1"/>
  <c r="P76" i="21" s="1"/>
  <c r="M77" i="21"/>
  <c r="N77" i="21" s="1"/>
  <c r="P77" i="21" s="1"/>
  <c r="M78" i="21"/>
  <c r="N78" i="21" s="1"/>
  <c r="P78" i="21" s="1"/>
  <c r="M79" i="21"/>
  <c r="N79" i="21" s="1"/>
  <c r="P79" i="21" s="1"/>
  <c r="M80" i="21"/>
  <c r="N80" i="21" s="1"/>
  <c r="P80" i="21" s="1"/>
  <c r="M81" i="21"/>
  <c r="N81" i="21" s="1"/>
  <c r="P81" i="21" s="1"/>
  <c r="M82" i="21"/>
  <c r="N82" i="21" s="1"/>
  <c r="P82" i="21" s="1"/>
  <c r="M83" i="21"/>
  <c r="N83" i="21" s="1"/>
  <c r="P83" i="21" s="1"/>
  <c r="M84" i="21"/>
  <c r="N84" i="21" s="1"/>
  <c r="P84" i="21" s="1"/>
  <c r="M85" i="21"/>
  <c r="N85" i="21" s="1"/>
  <c r="P85" i="21" s="1"/>
  <c r="M86" i="21"/>
  <c r="N86" i="21" s="1"/>
  <c r="P86" i="21" s="1"/>
  <c r="M87" i="21"/>
  <c r="N87" i="21" s="1"/>
  <c r="P87" i="21" s="1"/>
  <c r="M88" i="21"/>
  <c r="N88" i="21" s="1"/>
  <c r="P88" i="21" s="1"/>
  <c r="M89" i="21"/>
  <c r="N89" i="21" s="1"/>
  <c r="P89" i="21" s="1"/>
  <c r="M90" i="21"/>
  <c r="N90" i="21" s="1"/>
  <c r="P90" i="21" s="1"/>
  <c r="M91" i="21"/>
  <c r="N91" i="21" s="1"/>
  <c r="P91" i="21" s="1"/>
  <c r="M92" i="21"/>
  <c r="N92" i="21" s="1"/>
  <c r="P92" i="21" s="1"/>
  <c r="M93" i="21"/>
  <c r="N93" i="21" s="1"/>
  <c r="P93" i="21" s="1"/>
  <c r="M94" i="21"/>
  <c r="N94" i="21" s="1"/>
  <c r="P94" i="21" s="1"/>
  <c r="M95" i="21"/>
  <c r="N95" i="21" s="1"/>
  <c r="P95" i="21" s="1"/>
  <c r="M96" i="21"/>
  <c r="N96" i="21" s="1"/>
  <c r="P96" i="21" s="1"/>
  <c r="M97" i="21"/>
  <c r="N97" i="21" s="1"/>
  <c r="P97" i="21" s="1"/>
  <c r="M98" i="21"/>
  <c r="N98" i="21" s="1"/>
  <c r="P98" i="21" s="1"/>
  <c r="M99" i="21"/>
  <c r="N99" i="21" s="1"/>
  <c r="P99" i="21" s="1"/>
  <c r="M100" i="21"/>
  <c r="N100" i="21" s="1"/>
  <c r="P100" i="21" s="1"/>
  <c r="M101" i="21"/>
  <c r="N101" i="21" s="1"/>
  <c r="P101" i="21" s="1"/>
  <c r="M102" i="21"/>
  <c r="N102" i="21" s="1"/>
  <c r="P102" i="21" s="1"/>
  <c r="M103" i="21"/>
  <c r="N103" i="21" s="1"/>
  <c r="P103" i="21" s="1"/>
  <c r="M104" i="21"/>
  <c r="N104" i="21" s="1"/>
  <c r="P104" i="21" s="1"/>
  <c r="M105" i="21"/>
  <c r="N105" i="21" s="1"/>
  <c r="P105" i="21" s="1"/>
  <c r="M106" i="21"/>
  <c r="N106" i="21" s="1"/>
  <c r="P106" i="21" s="1"/>
  <c r="M107" i="21"/>
  <c r="N107" i="21" s="1"/>
  <c r="P107" i="21" s="1"/>
  <c r="M108" i="21"/>
  <c r="N108" i="21" s="1"/>
  <c r="P108" i="21" s="1"/>
  <c r="M109" i="21"/>
  <c r="N109" i="21" s="1"/>
  <c r="P109" i="21" s="1"/>
  <c r="M110" i="21"/>
  <c r="N110" i="21" s="1"/>
  <c r="P110" i="21" s="1"/>
  <c r="M111" i="21"/>
  <c r="N111" i="21" s="1"/>
  <c r="P111" i="21" s="1"/>
  <c r="M112" i="21"/>
  <c r="N112" i="21" s="1"/>
  <c r="P112" i="21" s="1"/>
  <c r="M113" i="21"/>
  <c r="N113" i="21" s="1"/>
  <c r="P113" i="21" s="1"/>
  <c r="M114" i="21"/>
  <c r="N114" i="21" s="1"/>
  <c r="P114" i="21" s="1"/>
  <c r="M115" i="21"/>
  <c r="N115" i="21" s="1"/>
  <c r="P115" i="21" s="1"/>
  <c r="M116" i="21"/>
  <c r="N116" i="21" s="1"/>
  <c r="P116" i="21" s="1"/>
  <c r="M117" i="21"/>
  <c r="N117" i="21" s="1"/>
  <c r="P117" i="21" s="1"/>
  <c r="M118" i="21"/>
  <c r="N118" i="21" s="1"/>
  <c r="P118" i="21" s="1"/>
  <c r="M119" i="21"/>
  <c r="N119" i="21" s="1"/>
  <c r="P119" i="21" s="1"/>
  <c r="M120" i="21"/>
  <c r="N120" i="21" s="1"/>
  <c r="P120" i="21" s="1"/>
  <c r="M121" i="21"/>
  <c r="N121" i="21" s="1"/>
  <c r="P121" i="21" s="1"/>
  <c r="M122" i="21"/>
  <c r="N122" i="21" s="1"/>
  <c r="P122" i="21" s="1"/>
  <c r="M123" i="21"/>
  <c r="N123" i="21" s="1"/>
  <c r="P123" i="21" s="1"/>
  <c r="M124" i="21"/>
  <c r="N124" i="21" s="1"/>
  <c r="P124" i="21" s="1"/>
  <c r="M125" i="21"/>
  <c r="N125" i="21" s="1"/>
  <c r="P125" i="21" s="1"/>
  <c r="M126" i="21"/>
  <c r="N126" i="21" s="1"/>
  <c r="P126" i="21" s="1"/>
  <c r="M127" i="21"/>
  <c r="N127" i="21" s="1"/>
  <c r="P127" i="21" s="1"/>
  <c r="M128" i="21"/>
  <c r="N128" i="21" s="1"/>
  <c r="P128" i="21" s="1"/>
  <c r="M129" i="21"/>
  <c r="N129" i="21" s="1"/>
  <c r="P129" i="21" s="1"/>
  <c r="M130" i="21"/>
  <c r="N130" i="21" s="1"/>
  <c r="P130" i="21" s="1"/>
  <c r="M131" i="21"/>
  <c r="N131" i="21" s="1"/>
  <c r="P131" i="21" s="1"/>
  <c r="M132" i="21"/>
  <c r="N132" i="21" s="1"/>
  <c r="P132" i="21" s="1"/>
  <c r="M133" i="21"/>
  <c r="N133" i="21" s="1"/>
  <c r="P133" i="21" s="1"/>
  <c r="M134" i="21"/>
  <c r="N134" i="21" s="1"/>
  <c r="P134" i="21" s="1"/>
  <c r="M135" i="21"/>
  <c r="N135" i="21" s="1"/>
  <c r="P135" i="21" s="1"/>
  <c r="M136" i="21"/>
  <c r="N136" i="21" s="1"/>
  <c r="P136" i="21" s="1"/>
  <c r="M137" i="21"/>
  <c r="N137" i="21" s="1"/>
  <c r="P137" i="21" s="1"/>
  <c r="M138" i="21"/>
  <c r="N138" i="21" s="1"/>
  <c r="P138" i="21" s="1"/>
  <c r="M139" i="21"/>
  <c r="N139" i="21" s="1"/>
  <c r="P139" i="21" s="1"/>
  <c r="M140" i="21"/>
  <c r="N140" i="21" s="1"/>
  <c r="P140" i="21" s="1"/>
  <c r="M141" i="21"/>
  <c r="N141" i="21" s="1"/>
  <c r="P141" i="21" s="1"/>
  <c r="M142" i="21"/>
  <c r="N142" i="21" s="1"/>
  <c r="P142" i="21" s="1"/>
  <c r="M143" i="21"/>
  <c r="N143" i="21" s="1"/>
  <c r="P143" i="21" s="1"/>
  <c r="M144" i="21"/>
  <c r="N144" i="21" s="1"/>
  <c r="P144" i="21" s="1"/>
  <c r="M145" i="21"/>
  <c r="N145" i="21" s="1"/>
  <c r="P145" i="21" s="1"/>
  <c r="M146" i="21"/>
  <c r="N146" i="21" s="1"/>
  <c r="P146" i="21" s="1"/>
  <c r="M147" i="21"/>
  <c r="N147" i="21" s="1"/>
  <c r="P147" i="21" s="1"/>
  <c r="M148" i="21"/>
  <c r="N148" i="21" s="1"/>
  <c r="P148" i="21" s="1"/>
  <c r="M149" i="21"/>
  <c r="N149" i="21" s="1"/>
  <c r="P149" i="21" s="1"/>
  <c r="M150" i="21"/>
  <c r="N150" i="21" s="1"/>
  <c r="P150" i="21" s="1"/>
  <c r="M151" i="21"/>
  <c r="N151" i="21" s="1"/>
  <c r="P151" i="21" s="1"/>
  <c r="M152" i="21"/>
  <c r="N152" i="21" s="1"/>
  <c r="P152" i="21" s="1"/>
  <c r="M153" i="21"/>
  <c r="N153" i="21" s="1"/>
  <c r="P153" i="21" s="1"/>
  <c r="M154" i="21"/>
  <c r="N154" i="21" s="1"/>
  <c r="P154" i="21" s="1"/>
  <c r="M155" i="21"/>
  <c r="N155" i="21" s="1"/>
  <c r="P155" i="21" s="1"/>
  <c r="M156" i="21"/>
  <c r="N156" i="21" s="1"/>
  <c r="P156" i="21" s="1"/>
  <c r="M157" i="21"/>
  <c r="N157" i="21" s="1"/>
  <c r="P157" i="21" s="1"/>
  <c r="M158" i="21"/>
  <c r="N158" i="21" s="1"/>
  <c r="P158" i="21" s="1"/>
  <c r="M159" i="21"/>
  <c r="N159" i="21" s="1"/>
  <c r="P159" i="21" s="1"/>
  <c r="M160" i="21"/>
  <c r="N160" i="21" s="1"/>
  <c r="P160" i="21" s="1"/>
  <c r="M161" i="21"/>
  <c r="N161" i="21" s="1"/>
  <c r="P161" i="21" s="1"/>
  <c r="M162" i="21"/>
  <c r="N162" i="21" s="1"/>
  <c r="P162" i="21" s="1"/>
  <c r="M163" i="21"/>
  <c r="N163" i="21" s="1"/>
  <c r="P163" i="21" s="1"/>
  <c r="M164" i="21"/>
  <c r="N164" i="21" s="1"/>
  <c r="P164" i="21" s="1"/>
  <c r="M165" i="21"/>
  <c r="N165" i="21" s="1"/>
  <c r="P165" i="21" s="1"/>
  <c r="M166" i="21"/>
  <c r="N166" i="21" s="1"/>
  <c r="P166" i="21" s="1"/>
  <c r="M167" i="21"/>
  <c r="N167" i="21" s="1"/>
  <c r="P167" i="21" s="1"/>
  <c r="M168" i="21"/>
  <c r="N168" i="21" s="1"/>
  <c r="P168" i="21" s="1"/>
  <c r="M169" i="21"/>
  <c r="N169" i="21" s="1"/>
  <c r="P169" i="21" s="1"/>
  <c r="M170" i="21"/>
  <c r="N170" i="21" s="1"/>
  <c r="P170" i="21" s="1"/>
  <c r="M171" i="21"/>
  <c r="N171" i="21" s="1"/>
  <c r="P171" i="21" s="1"/>
  <c r="M172" i="21"/>
  <c r="N172" i="21" s="1"/>
  <c r="P172" i="21" s="1"/>
  <c r="M173" i="21"/>
  <c r="N173" i="21" s="1"/>
  <c r="P173" i="21" s="1"/>
  <c r="M174" i="21"/>
  <c r="N174" i="21" s="1"/>
  <c r="P174" i="21" s="1"/>
  <c r="M175" i="21"/>
  <c r="N175" i="21" s="1"/>
  <c r="P175" i="21" s="1"/>
  <c r="M176" i="21"/>
  <c r="N176" i="21" s="1"/>
  <c r="P176" i="21" s="1"/>
  <c r="M177" i="21"/>
  <c r="N177" i="21" s="1"/>
  <c r="P177" i="21" s="1"/>
  <c r="M178" i="21"/>
  <c r="N178" i="21" s="1"/>
  <c r="P178" i="21" s="1"/>
  <c r="M179" i="21"/>
  <c r="N179" i="21" s="1"/>
  <c r="P179" i="21" s="1"/>
  <c r="M180" i="21"/>
  <c r="N180" i="21" s="1"/>
  <c r="P180" i="21" s="1"/>
  <c r="M181" i="21"/>
  <c r="N181" i="21" s="1"/>
  <c r="P181" i="21" s="1"/>
  <c r="M182" i="21"/>
  <c r="N182" i="21" s="1"/>
  <c r="P182" i="21" s="1"/>
  <c r="M183" i="21"/>
  <c r="N183" i="21" s="1"/>
  <c r="P183" i="21" s="1"/>
  <c r="M184" i="21"/>
  <c r="N184" i="21" s="1"/>
  <c r="P184" i="21" s="1"/>
  <c r="M185" i="21"/>
  <c r="N185" i="21" s="1"/>
  <c r="P185" i="21" s="1"/>
  <c r="M186" i="21"/>
  <c r="N186" i="21" s="1"/>
  <c r="P186" i="21" s="1"/>
  <c r="M187" i="21"/>
  <c r="N187" i="21" s="1"/>
  <c r="P187" i="21" s="1"/>
  <c r="M188" i="21"/>
  <c r="N188" i="21" s="1"/>
  <c r="P188" i="21" s="1"/>
  <c r="M189" i="21"/>
  <c r="N189" i="21" s="1"/>
  <c r="P189" i="21" s="1"/>
  <c r="M190" i="21"/>
  <c r="N190" i="21" s="1"/>
  <c r="P190" i="21" s="1"/>
  <c r="M191" i="21"/>
  <c r="N191" i="21" s="1"/>
  <c r="P191" i="21" s="1"/>
  <c r="M192" i="21"/>
  <c r="N192" i="21" s="1"/>
  <c r="P192" i="21" s="1"/>
  <c r="M193" i="21"/>
  <c r="N193" i="21" s="1"/>
  <c r="P193" i="21" s="1"/>
  <c r="M194" i="21"/>
  <c r="N194" i="21" s="1"/>
  <c r="P194" i="21" s="1"/>
  <c r="M195" i="21"/>
  <c r="N195" i="21" s="1"/>
  <c r="P195" i="21" s="1"/>
  <c r="M196" i="21"/>
  <c r="N196" i="21" s="1"/>
  <c r="P196" i="21" s="1"/>
  <c r="M197" i="21"/>
  <c r="N197" i="21" s="1"/>
  <c r="P197" i="21" s="1"/>
  <c r="M198" i="21"/>
  <c r="N198" i="21" s="1"/>
  <c r="P198" i="21" s="1"/>
  <c r="M199" i="21"/>
  <c r="N199" i="21" s="1"/>
  <c r="P199" i="21" s="1"/>
  <c r="M200" i="21"/>
  <c r="N200" i="21" s="1"/>
  <c r="P200" i="21" s="1"/>
  <c r="M201" i="21"/>
  <c r="N201" i="21" s="1"/>
  <c r="M202" i="21"/>
  <c r="N202" i="21" s="1"/>
  <c r="M203" i="21"/>
  <c r="N203" i="21" s="1"/>
  <c r="M4" i="21"/>
  <c r="N4" i="21" s="1"/>
  <c r="I3" i="21"/>
  <c r="J3" i="21"/>
  <c r="K3" i="21"/>
  <c r="L3" i="21"/>
  <c r="M3" i="21"/>
  <c r="H3" i="21"/>
  <c r="AA12" i="12"/>
  <c r="G1" i="12"/>
  <c r="AA2" i="12"/>
  <c r="E2" i="22"/>
  <c r="D14" i="12" s="1"/>
  <c r="R190" i="21" l="1"/>
  <c r="S190" i="21"/>
  <c r="T190" i="21"/>
  <c r="U190" i="21"/>
  <c r="R130" i="21"/>
  <c r="S130" i="21"/>
  <c r="T130" i="21"/>
  <c r="U130" i="21"/>
  <c r="R46" i="21"/>
  <c r="S46" i="21"/>
  <c r="T46" i="21"/>
  <c r="U46" i="21"/>
  <c r="R177" i="21"/>
  <c r="S177" i="21"/>
  <c r="T177" i="21"/>
  <c r="U177" i="21"/>
  <c r="R129" i="21"/>
  <c r="S129" i="21"/>
  <c r="T129" i="21"/>
  <c r="U129" i="21"/>
  <c r="R81" i="21"/>
  <c r="S81" i="21"/>
  <c r="T81" i="21"/>
  <c r="U81" i="21"/>
  <c r="R45" i="21"/>
  <c r="S45" i="21"/>
  <c r="T45" i="21"/>
  <c r="U45" i="21"/>
  <c r="R151" i="21"/>
  <c r="S151" i="21"/>
  <c r="T151" i="21"/>
  <c r="U151" i="21"/>
  <c r="R103" i="21"/>
  <c r="S103" i="21"/>
  <c r="T103" i="21"/>
  <c r="U103" i="21"/>
  <c r="R55" i="21"/>
  <c r="S55" i="21"/>
  <c r="T55" i="21"/>
  <c r="U55" i="21"/>
  <c r="R198" i="21"/>
  <c r="S198" i="21"/>
  <c r="T198" i="21"/>
  <c r="U198" i="21"/>
  <c r="R150" i="21"/>
  <c r="S150" i="21"/>
  <c r="T150" i="21"/>
  <c r="U150" i="21"/>
  <c r="R102" i="21"/>
  <c r="S102" i="21"/>
  <c r="T102" i="21"/>
  <c r="U102" i="21"/>
  <c r="R42" i="21"/>
  <c r="S42" i="21"/>
  <c r="T42" i="21"/>
  <c r="U42" i="21"/>
  <c r="R197" i="21"/>
  <c r="T197" i="21"/>
  <c r="S197" i="21"/>
  <c r="U197" i="21"/>
  <c r="R161" i="21"/>
  <c r="T161" i="21"/>
  <c r="U161" i="21"/>
  <c r="S161" i="21"/>
  <c r="R172" i="21"/>
  <c r="S172" i="21"/>
  <c r="T172" i="21"/>
  <c r="U172" i="21"/>
  <c r="R148" i="21"/>
  <c r="S148" i="21"/>
  <c r="T148" i="21"/>
  <c r="U148" i="21"/>
  <c r="R136" i="21"/>
  <c r="S136" i="21"/>
  <c r="T136" i="21"/>
  <c r="U136" i="21"/>
  <c r="R124" i="21"/>
  <c r="S124" i="21"/>
  <c r="T124" i="21"/>
  <c r="U124" i="21"/>
  <c r="R112" i="21"/>
  <c r="S112" i="21"/>
  <c r="T112" i="21"/>
  <c r="U112" i="21"/>
  <c r="R100" i="21"/>
  <c r="S100" i="21"/>
  <c r="T100" i="21"/>
  <c r="U100" i="21"/>
  <c r="R88" i="21"/>
  <c r="S88" i="21"/>
  <c r="T88" i="21"/>
  <c r="U88" i="21"/>
  <c r="R76" i="21"/>
  <c r="S76" i="21"/>
  <c r="T76" i="21"/>
  <c r="U76" i="21"/>
  <c r="R64" i="21"/>
  <c r="S64" i="21"/>
  <c r="T64" i="21"/>
  <c r="U64" i="21"/>
  <c r="R52" i="21"/>
  <c r="S52" i="21"/>
  <c r="T52" i="21"/>
  <c r="U52" i="21"/>
  <c r="R40" i="21"/>
  <c r="S40" i="21"/>
  <c r="T40" i="21"/>
  <c r="U40" i="21"/>
  <c r="R28" i="21"/>
  <c r="S28" i="21"/>
  <c r="T28" i="21"/>
  <c r="U28" i="21"/>
  <c r="R16" i="21"/>
  <c r="U16" i="21"/>
  <c r="R195" i="21"/>
  <c r="S195" i="21"/>
  <c r="T195" i="21"/>
  <c r="U195" i="21"/>
  <c r="R183" i="21"/>
  <c r="S183" i="21"/>
  <c r="T183" i="21"/>
  <c r="U183" i="21"/>
  <c r="R171" i="21"/>
  <c r="S171" i="21"/>
  <c r="T171" i="21"/>
  <c r="U171" i="21"/>
  <c r="R159" i="21"/>
  <c r="S159" i="21"/>
  <c r="T159" i="21"/>
  <c r="U159" i="21"/>
  <c r="R147" i="21"/>
  <c r="S147" i="21"/>
  <c r="T147" i="21"/>
  <c r="U147" i="21"/>
  <c r="R135" i="21"/>
  <c r="S135" i="21"/>
  <c r="T135" i="21"/>
  <c r="U135" i="21"/>
  <c r="R123" i="21"/>
  <c r="S123" i="21"/>
  <c r="T123" i="21"/>
  <c r="U123" i="21"/>
  <c r="R111" i="21"/>
  <c r="S111" i="21"/>
  <c r="T111" i="21"/>
  <c r="U111" i="21"/>
  <c r="R99" i="21"/>
  <c r="S99" i="21"/>
  <c r="T99" i="21"/>
  <c r="U99" i="21"/>
  <c r="R87" i="21"/>
  <c r="S87" i="21"/>
  <c r="T87" i="21"/>
  <c r="U87" i="21"/>
  <c r="R75" i="21"/>
  <c r="S75" i="21"/>
  <c r="T75" i="21"/>
  <c r="U75" i="21"/>
  <c r="R63" i="21"/>
  <c r="S63" i="21"/>
  <c r="T63" i="21"/>
  <c r="U63" i="21"/>
  <c r="R51" i="21"/>
  <c r="S51" i="21"/>
  <c r="T51" i="21"/>
  <c r="U51" i="21"/>
  <c r="R39" i="21"/>
  <c r="S39" i="21"/>
  <c r="T39" i="21"/>
  <c r="U39" i="21"/>
  <c r="R27" i="21"/>
  <c r="S27" i="21"/>
  <c r="T27" i="21"/>
  <c r="U27" i="21"/>
  <c r="R15" i="21"/>
  <c r="U15" i="21"/>
  <c r="R178" i="21"/>
  <c r="S178" i="21"/>
  <c r="T178" i="21"/>
  <c r="U178" i="21"/>
  <c r="R118" i="21"/>
  <c r="S118" i="21"/>
  <c r="T118" i="21"/>
  <c r="U118" i="21"/>
  <c r="R58" i="21"/>
  <c r="S58" i="21"/>
  <c r="T58" i="21"/>
  <c r="U58" i="21"/>
  <c r="R153" i="21"/>
  <c r="S153" i="21"/>
  <c r="T153" i="21"/>
  <c r="U153" i="21"/>
  <c r="R117" i="21"/>
  <c r="S117" i="21"/>
  <c r="T117" i="21"/>
  <c r="U117" i="21"/>
  <c r="R69" i="21"/>
  <c r="S69" i="21"/>
  <c r="T69" i="21"/>
  <c r="U69" i="21"/>
  <c r="R33" i="21"/>
  <c r="S33" i="21"/>
  <c r="T33" i="21"/>
  <c r="U33" i="21"/>
  <c r="R188" i="21"/>
  <c r="T188" i="21"/>
  <c r="S188" i="21"/>
  <c r="U188" i="21"/>
  <c r="R164" i="21"/>
  <c r="T164" i="21"/>
  <c r="S164" i="21"/>
  <c r="U164" i="21"/>
  <c r="R116" i="21"/>
  <c r="T116" i="21"/>
  <c r="S116" i="21"/>
  <c r="U116" i="21"/>
  <c r="R80" i="21"/>
  <c r="S80" i="21"/>
  <c r="T80" i="21"/>
  <c r="U80" i="21"/>
  <c r="R44" i="21"/>
  <c r="S44" i="21"/>
  <c r="T44" i="21"/>
  <c r="U44" i="21"/>
  <c r="R199" i="21"/>
  <c r="S199" i="21"/>
  <c r="T199" i="21"/>
  <c r="U199" i="21"/>
  <c r="R163" i="21"/>
  <c r="S163" i="21"/>
  <c r="T163" i="21"/>
  <c r="U163" i="21"/>
  <c r="R115" i="21"/>
  <c r="S115" i="21"/>
  <c r="T115" i="21"/>
  <c r="U115" i="21"/>
  <c r="R67" i="21"/>
  <c r="S67" i="21"/>
  <c r="T67" i="21"/>
  <c r="U67" i="21"/>
  <c r="R19" i="21"/>
  <c r="S19" i="21"/>
  <c r="T19" i="21"/>
  <c r="U19" i="21"/>
  <c r="R174" i="21"/>
  <c r="S174" i="21"/>
  <c r="T174" i="21"/>
  <c r="U174" i="21"/>
  <c r="R138" i="21"/>
  <c r="S138" i="21"/>
  <c r="T138" i="21"/>
  <c r="U138" i="21"/>
  <c r="R90" i="21"/>
  <c r="S90" i="21"/>
  <c r="T90" i="21"/>
  <c r="U90" i="21"/>
  <c r="R54" i="21"/>
  <c r="S54" i="21"/>
  <c r="T54" i="21"/>
  <c r="U54" i="21"/>
  <c r="R196" i="21"/>
  <c r="S196" i="21"/>
  <c r="T196" i="21"/>
  <c r="U196" i="21"/>
  <c r="R160" i="21"/>
  <c r="S160" i="21"/>
  <c r="T160" i="21"/>
  <c r="U160" i="21"/>
  <c r="R182" i="21"/>
  <c r="T182" i="21"/>
  <c r="U182" i="21"/>
  <c r="S182" i="21"/>
  <c r="R134" i="21"/>
  <c r="T134" i="21"/>
  <c r="S134" i="21"/>
  <c r="U134" i="21"/>
  <c r="R166" i="21"/>
  <c r="S166" i="21"/>
  <c r="T166" i="21"/>
  <c r="U166" i="21"/>
  <c r="R94" i="21"/>
  <c r="S94" i="21"/>
  <c r="T94" i="21"/>
  <c r="U94" i="21"/>
  <c r="R165" i="21"/>
  <c r="S165" i="21"/>
  <c r="T165" i="21"/>
  <c r="U165" i="21"/>
  <c r="R105" i="21"/>
  <c r="S105" i="21"/>
  <c r="T105" i="21"/>
  <c r="U105" i="21"/>
  <c r="R57" i="21"/>
  <c r="S57" i="21"/>
  <c r="T57" i="21"/>
  <c r="U57" i="21"/>
  <c r="R200" i="21"/>
  <c r="T200" i="21"/>
  <c r="U200" i="21"/>
  <c r="S200" i="21"/>
  <c r="R152" i="21"/>
  <c r="T152" i="21"/>
  <c r="U152" i="21"/>
  <c r="S152" i="21"/>
  <c r="R92" i="21"/>
  <c r="S92" i="21"/>
  <c r="T92" i="21"/>
  <c r="U92" i="21"/>
  <c r="S56" i="21"/>
  <c r="R56" i="21"/>
  <c r="T56" i="21"/>
  <c r="U56" i="21"/>
  <c r="R187" i="21"/>
  <c r="S187" i="21"/>
  <c r="T187" i="21"/>
  <c r="U187" i="21"/>
  <c r="R139" i="21"/>
  <c r="S139" i="21"/>
  <c r="T139" i="21"/>
  <c r="U139" i="21"/>
  <c r="R79" i="21"/>
  <c r="S79" i="21"/>
  <c r="T79" i="21"/>
  <c r="U79" i="21"/>
  <c r="R31" i="21"/>
  <c r="S31" i="21"/>
  <c r="T31" i="21"/>
  <c r="U31" i="21"/>
  <c r="R186" i="21"/>
  <c r="S186" i="21"/>
  <c r="T186" i="21"/>
  <c r="U186" i="21"/>
  <c r="R126" i="21"/>
  <c r="S126" i="21"/>
  <c r="T126" i="21"/>
  <c r="U126" i="21"/>
  <c r="R78" i="21"/>
  <c r="S78" i="21"/>
  <c r="T78" i="21"/>
  <c r="U78" i="21"/>
  <c r="R30" i="21"/>
  <c r="S30" i="21"/>
  <c r="T30" i="21"/>
  <c r="U30" i="21"/>
  <c r="R185" i="21"/>
  <c r="T185" i="21"/>
  <c r="U185" i="21"/>
  <c r="S185" i="21"/>
  <c r="R184" i="21"/>
  <c r="S184" i="21"/>
  <c r="T184" i="21"/>
  <c r="U184" i="21"/>
  <c r="R194" i="21"/>
  <c r="T194" i="21"/>
  <c r="S194" i="21"/>
  <c r="U194" i="21"/>
  <c r="R170" i="21"/>
  <c r="T170" i="21"/>
  <c r="S170" i="21"/>
  <c r="U170" i="21"/>
  <c r="R158" i="21"/>
  <c r="T158" i="21"/>
  <c r="S158" i="21"/>
  <c r="U158" i="21"/>
  <c r="R146" i="21"/>
  <c r="T146" i="21"/>
  <c r="U146" i="21"/>
  <c r="S146" i="21"/>
  <c r="R122" i="21"/>
  <c r="T122" i="21"/>
  <c r="S122" i="21"/>
  <c r="U122" i="21"/>
  <c r="R110" i="21"/>
  <c r="T110" i="21"/>
  <c r="U110" i="21"/>
  <c r="S110" i="21"/>
  <c r="R98" i="21"/>
  <c r="T98" i="21"/>
  <c r="U98" i="21"/>
  <c r="S98" i="21"/>
  <c r="R86" i="21"/>
  <c r="T86" i="21"/>
  <c r="U86" i="21"/>
  <c r="S86" i="21"/>
  <c r="S74" i="21"/>
  <c r="R74" i="21"/>
  <c r="T74" i="21"/>
  <c r="U74" i="21"/>
  <c r="S62" i="21"/>
  <c r="R62" i="21"/>
  <c r="T62" i="21"/>
  <c r="U62" i="21"/>
  <c r="S50" i="21"/>
  <c r="R50" i="21"/>
  <c r="T50" i="21"/>
  <c r="U50" i="21"/>
  <c r="R38" i="21"/>
  <c r="S38" i="21"/>
  <c r="T38" i="21"/>
  <c r="U38" i="21"/>
  <c r="S26" i="21"/>
  <c r="R26" i="21"/>
  <c r="T26" i="21"/>
  <c r="U26" i="21"/>
  <c r="R193" i="21"/>
  <c r="S193" i="21"/>
  <c r="T193" i="21"/>
  <c r="U193" i="21"/>
  <c r="R181" i="21"/>
  <c r="S181" i="21"/>
  <c r="T181" i="21"/>
  <c r="U181" i="21"/>
  <c r="R169" i="21"/>
  <c r="S169" i="21"/>
  <c r="T169" i="21"/>
  <c r="U169" i="21"/>
  <c r="R157" i="21"/>
  <c r="S157" i="21"/>
  <c r="T157" i="21"/>
  <c r="U157" i="21"/>
  <c r="R145" i="21"/>
  <c r="S145" i="21"/>
  <c r="T145" i="21"/>
  <c r="U145" i="21"/>
  <c r="R133" i="21"/>
  <c r="S133" i="21"/>
  <c r="T133" i="21"/>
  <c r="U133" i="21"/>
  <c r="R121" i="21"/>
  <c r="S121" i="21"/>
  <c r="T121" i="21"/>
  <c r="U121" i="21"/>
  <c r="R109" i="21"/>
  <c r="S109" i="21"/>
  <c r="T109" i="21"/>
  <c r="U109" i="21"/>
  <c r="R97" i="21"/>
  <c r="S97" i="21"/>
  <c r="T97" i="21"/>
  <c r="U97" i="21"/>
  <c r="R85" i="21"/>
  <c r="S85" i="21"/>
  <c r="T85" i="21"/>
  <c r="U85" i="21"/>
  <c r="R73" i="21"/>
  <c r="S73" i="21"/>
  <c r="T73" i="21"/>
  <c r="U73" i="21"/>
  <c r="R61" i="21"/>
  <c r="S61" i="21"/>
  <c r="T61" i="21"/>
  <c r="U61" i="21"/>
  <c r="R49" i="21"/>
  <c r="S49" i="21"/>
  <c r="T49" i="21"/>
  <c r="U49" i="21"/>
  <c r="R37" i="21"/>
  <c r="S37" i="21"/>
  <c r="T37" i="21"/>
  <c r="U37" i="21"/>
  <c r="R25" i="21"/>
  <c r="S25" i="21"/>
  <c r="T25" i="21"/>
  <c r="U25" i="21"/>
  <c r="R82" i="21"/>
  <c r="S82" i="21"/>
  <c r="T82" i="21"/>
  <c r="U82" i="21"/>
  <c r="R142" i="21"/>
  <c r="S142" i="21"/>
  <c r="T142" i="21"/>
  <c r="U142" i="21"/>
  <c r="R22" i="21"/>
  <c r="S22" i="21"/>
  <c r="T22" i="21"/>
  <c r="U22" i="21"/>
  <c r="R141" i="21"/>
  <c r="S141" i="21"/>
  <c r="T141" i="21"/>
  <c r="U141" i="21"/>
  <c r="R93" i="21"/>
  <c r="S93" i="21"/>
  <c r="T93" i="21"/>
  <c r="U93" i="21"/>
  <c r="R21" i="21"/>
  <c r="S21" i="21"/>
  <c r="T21" i="21"/>
  <c r="U21" i="21"/>
  <c r="R128" i="21"/>
  <c r="T128" i="21"/>
  <c r="U128" i="21"/>
  <c r="S128" i="21"/>
  <c r="R20" i="21"/>
  <c r="S20" i="21"/>
  <c r="T20" i="21"/>
  <c r="U20" i="21"/>
  <c r="R192" i="21"/>
  <c r="S192" i="21"/>
  <c r="T192" i="21"/>
  <c r="U192" i="21"/>
  <c r="R180" i="21"/>
  <c r="S180" i="21"/>
  <c r="T180" i="21"/>
  <c r="U180" i="21"/>
  <c r="R168" i="21"/>
  <c r="S168" i="21"/>
  <c r="T168" i="21"/>
  <c r="U168" i="21"/>
  <c r="R156" i="21"/>
  <c r="S156" i="21"/>
  <c r="T156" i="21"/>
  <c r="U156" i="21"/>
  <c r="R144" i="21"/>
  <c r="S144" i="21"/>
  <c r="T144" i="21"/>
  <c r="U144" i="21"/>
  <c r="R132" i="21"/>
  <c r="S132" i="21"/>
  <c r="T132" i="21"/>
  <c r="U132" i="21"/>
  <c r="R120" i="21"/>
  <c r="S120" i="21"/>
  <c r="T120" i="21"/>
  <c r="U120" i="21"/>
  <c r="R108" i="21"/>
  <c r="S108" i="21"/>
  <c r="T108" i="21"/>
  <c r="U108" i="21"/>
  <c r="R96" i="21"/>
  <c r="S96" i="21"/>
  <c r="T96" i="21"/>
  <c r="U96" i="21"/>
  <c r="R84" i="21"/>
  <c r="S84" i="21"/>
  <c r="T84" i="21"/>
  <c r="U84" i="21"/>
  <c r="R72" i="21"/>
  <c r="S72" i="21"/>
  <c r="T72" i="21"/>
  <c r="U72" i="21"/>
  <c r="R60" i="21"/>
  <c r="S60" i="21"/>
  <c r="T60" i="21"/>
  <c r="U60" i="21"/>
  <c r="R48" i="21"/>
  <c r="S48" i="21"/>
  <c r="T48" i="21"/>
  <c r="U48" i="21"/>
  <c r="R36" i="21"/>
  <c r="S36" i="21"/>
  <c r="T36" i="21"/>
  <c r="U36" i="21"/>
  <c r="R24" i="21"/>
  <c r="S24" i="21"/>
  <c r="T24" i="21"/>
  <c r="U24" i="21"/>
  <c r="R191" i="21"/>
  <c r="T191" i="21"/>
  <c r="S191" i="21"/>
  <c r="U191" i="21"/>
  <c r="R179" i="21"/>
  <c r="T179" i="21"/>
  <c r="U179" i="21"/>
  <c r="S179" i="21"/>
  <c r="R167" i="21"/>
  <c r="T167" i="21"/>
  <c r="S167" i="21"/>
  <c r="U167" i="21"/>
  <c r="R155" i="21"/>
  <c r="T155" i="21"/>
  <c r="S155" i="21"/>
  <c r="U155" i="21"/>
  <c r="R143" i="21"/>
  <c r="T143" i="21"/>
  <c r="S143" i="21"/>
  <c r="U143" i="21"/>
  <c r="R131" i="21"/>
  <c r="T131" i="21"/>
  <c r="S131" i="21"/>
  <c r="U131" i="21"/>
  <c r="R119" i="21"/>
  <c r="T119" i="21"/>
  <c r="S119" i="21"/>
  <c r="U119" i="21"/>
  <c r="R107" i="21"/>
  <c r="T107" i="21"/>
  <c r="U107" i="21"/>
  <c r="S107" i="21"/>
  <c r="R95" i="21"/>
  <c r="T95" i="21"/>
  <c r="S95" i="21"/>
  <c r="U95" i="21"/>
  <c r="S83" i="21"/>
  <c r="R83" i="21"/>
  <c r="T83" i="21"/>
  <c r="U83" i="21"/>
  <c r="S71" i="21"/>
  <c r="R71" i="21"/>
  <c r="T71" i="21"/>
  <c r="U71" i="21"/>
  <c r="S59" i="21"/>
  <c r="R59" i="21"/>
  <c r="T59" i="21"/>
  <c r="U59" i="21"/>
  <c r="S47" i="21"/>
  <c r="R47" i="21"/>
  <c r="T47" i="21"/>
  <c r="U47" i="21"/>
  <c r="R35" i="21"/>
  <c r="S35" i="21"/>
  <c r="T35" i="21"/>
  <c r="U35" i="21"/>
  <c r="S23" i="21"/>
  <c r="R23" i="21"/>
  <c r="T23" i="21"/>
  <c r="U23" i="21"/>
  <c r="R34" i="21"/>
  <c r="S34" i="21"/>
  <c r="T34" i="21"/>
  <c r="U34" i="21"/>
  <c r="R70" i="21"/>
  <c r="S70" i="21"/>
  <c r="T70" i="21"/>
  <c r="U70" i="21"/>
  <c r="R154" i="21"/>
  <c r="S154" i="21"/>
  <c r="T154" i="21"/>
  <c r="U154" i="21"/>
  <c r="R106" i="21"/>
  <c r="S106" i="21"/>
  <c r="T106" i="21"/>
  <c r="U106" i="21"/>
  <c r="R189" i="21"/>
  <c r="S189" i="21"/>
  <c r="T189" i="21"/>
  <c r="U189" i="21"/>
  <c r="R176" i="21"/>
  <c r="T176" i="21"/>
  <c r="S176" i="21"/>
  <c r="U176" i="21"/>
  <c r="R140" i="21"/>
  <c r="T140" i="21"/>
  <c r="U140" i="21"/>
  <c r="S140" i="21"/>
  <c r="R104" i="21"/>
  <c r="T104" i="21"/>
  <c r="U104" i="21"/>
  <c r="S104" i="21"/>
  <c r="S68" i="21"/>
  <c r="R68" i="21"/>
  <c r="T68" i="21"/>
  <c r="U68" i="21"/>
  <c r="S32" i="21"/>
  <c r="R32" i="21"/>
  <c r="T32" i="21"/>
  <c r="U32" i="21"/>
  <c r="R175" i="21"/>
  <c r="S175" i="21"/>
  <c r="T175" i="21"/>
  <c r="U175" i="21"/>
  <c r="R127" i="21"/>
  <c r="S127" i="21"/>
  <c r="T127" i="21"/>
  <c r="U127" i="21"/>
  <c r="R91" i="21"/>
  <c r="S91" i="21"/>
  <c r="T91" i="21"/>
  <c r="U91" i="21"/>
  <c r="R43" i="21"/>
  <c r="S43" i="21"/>
  <c r="T43" i="21"/>
  <c r="U43" i="21"/>
  <c r="R162" i="21"/>
  <c r="S162" i="21"/>
  <c r="T162" i="21"/>
  <c r="U162" i="21"/>
  <c r="R114" i="21"/>
  <c r="S114" i="21"/>
  <c r="T114" i="21"/>
  <c r="U114" i="21"/>
  <c r="R66" i="21"/>
  <c r="S66" i="21"/>
  <c r="T66" i="21"/>
  <c r="U66" i="21"/>
  <c r="R18" i="21"/>
  <c r="S18" i="21"/>
  <c r="T18" i="21"/>
  <c r="U18" i="21"/>
  <c r="R173" i="21"/>
  <c r="T173" i="21"/>
  <c r="S173" i="21"/>
  <c r="U173" i="21"/>
  <c r="R149" i="21"/>
  <c r="T149" i="21"/>
  <c r="S149" i="21"/>
  <c r="U149" i="21"/>
  <c r="R137" i="21"/>
  <c r="T137" i="21"/>
  <c r="S137" i="21"/>
  <c r="U137" i="21"/>
  <c r="R125" i="21"/>
  <c r="T125" i="21"/>
  <c r="S125" i="21"/>
  <c r="U125" i="21"/>
  <c r="R113" i="21"/>
  <c r="T113" i="21"/>
  <c r="U113" i="21"/>
  <c r="S113" i="21"/>
  <c r="R101" i="21"/>
  <c r="T101" i="21"/>
  <c r="S101" i="21"/>
  <c r="U101" i="21"/>
  <c r="S89" i="21"/>
  <c r="R89" i="21"/>
  <c r="T89" i="21"/>
  <c r="U89" i="21"/>
  <c r="R77" i="21"/>
  <c r="S77" i="21"/>
  <c r="T77" i="21"/>
  <c r="U77" i="21"/>
  <c r="R65" i="21"/>
  <c r="S65" i="21"/>
  <c r="T65" i="21"/>
  <c r="U65" i="21"/>
  <c r="S53" i="21"/>
  <c r="R53" i="21"/>
  <c r="T53" i="21"/>
  <c r="U53" i="21"/>
  <c r="S41" i="21"/>
  <c r="R41" i="21"/>
  <c r="T41" i="21"/>
  <c r="U41" i="21"/>
  <c r="S29" i="21"/>
  <c r="R29" i="21"/>
  <c r="T29" i="21"/>
  <c r="U29" i="21"/>
  <c r="R17" i="21"/>
  <c r="U17" i="21"/>
  <c r="R14" i="21"/>
  <c r="U14" i="21"/>
  <c r="R13" i="21"/>
  <c r="U13" i="21"/>
  <c r="P8" i="21"/>
  <c r="P4" i="21"/>
  <c r="Q9" i="21" a="1"/>
  <c r="Q9" i="21" s="1"/>
  <c r="Q17" i="21" a="1"/>
  <c r="Q17" i="21" s="1"/>
  <c r="Q25" i="21" a="1"/>
  <c r="Q25" i="21" s="1"/>
  <c r="Q33" i="21" a="1"/>
  <c r="Q33" i="21" s="1"/>
  <c r="Q41" i="21" a="1"/>
  <c r="Q41" i="21" s="1"/>
  <c r="Q49" i="21" a="1"/>
  <c r="Q49" i="21" s="1"/>
  <c r="Q57" i="21" a="1"/>
  <c r="Q57" i="21" s="1"/>
  <c r="Q65" i="21" a="1"/>
  <c r="Q65" i="21" s="1"/>
  <c r="Q73" i="21" a="1"/>
  <c r="Q73" i="21" s="1"/>
  <c r="Q81" i="21" a="1"/>
  <c r="Q81" i="21" s="1"/>
  <c r="Q89" i="21" a="1"/>
  <c r="Q89" i="21" s="1"/>
  <c r="Q97" i="21" a="1"/>
  <c r="Q97" i="21" s="1"/>
  <c r="Q105" i="21" a="1"/>
  <c r="Q105" i="21" s="1"/>
  <c r="Q113" i="21" a="1"/>
  <c r="Q113" i="21" s="1"/>
  <c r="Q121" i="21" a="1"/>
  <c r="Q121" i="21" s="1"/>
  <c r="Q5" i="21" a="1"/>
  <c r="Q5" i="21" s="1"/>
  <c r="Q13" i="21" a="1"/>
  <c r="Q13" i="21" s="1"/>
  <c r="Q21" i="21" a="1"/>
  <c r="Q21" i="21" s="1"/>
  <c r="Q29" i="21" a="1"/>
  <c r="Q29" i="21" s="1"/>
  <c r="Q37" i="21" a="1"/>
  <c r="Q37" i="21" s="1"/>
  <c r="Q45" i="21" a="1"/>
  <c r="Q45" i="21" s="1"/>
  <c r="Q53" i="21" a="1"/>
  <c r="Q53" i="21" s="1"/>
  <c r="Q61" i="21" a="1"/>
  <c r="Q61" i="21" s="1"/>
  <c r="Q69" i="21" a="1"/>
  <c r="Q69" i="21" s="1"/>
  <c r="Q77" i="21" a="1"/>
  <c r="Q77" i="21" s="1"/>
  <c r="Q85" i="21" a="1"/>
  <c r="Q85" i="21" s="1"/>
  <c r="Q93" i="21" a="1"/>
  <c r="Q93" i="21" s="1"/>
  <c r="Q101" i="21" a="1"/>
  <c r="Q101" i="21" s="1"/>
  <c r="Q109" i="21" a="1"/>
  <c r="Q109" i="21" s="1"/>
  <c r="Q117" i="21" a="1"/>
  <c r="Q117" i="21" s="1"/>
  <c r="Q14" i="21" a="1"/>
  <c r="Q14" i="21" s="1"/>
  <c r="Q26" i="21" a="1"/>
  <c r="Q26" i="21" s="1"/>
  <c r="Q38" i="21" a="1"/>
  <c r="Q38" i="21" s="1"/>
  <c r="Q50" i="21" a="1"/>
  <c r="Q50" i="21" s="1"/>
  <c r="Q62" i="21" a="1"/>
  <c r="Q62" i="21" s="1"/>
  <c r="Q74" i="21" a="1"/>
  <c r="Q74" i="21" s="1"/>
  <c r="Q86" i="21" a="1"/>
  <c r="Q86" i="21" s="1"/>
  <c r="Q94" i="21" a="1"/>
  <c r="Q94" i="21" s="1"/>
  <c r="Q106" i="21" a="1"/>
  <c r="Q106" i="21" s="1"/>
  <c r="Q114" i="21" a="1"/>
  <c r="Q114" i="21" s="1"/>
  <c r="Q126" i="21" a="1"/>
  <c r="Q126" i="21" s="1"/>
  <c r="Q138" i="21" a="1"/>
  <c r="Q138" i="21" s="1"/>
  <c r="Q150" i="21" a="1"/>
  <c r="Q150" i="21" s="1"/>
  <c r="Q162" i="21" a="1"/>
  <c r="Q162" i="21" s="1"/>
  <c r="Q174" i="21" a="1"/>
  <c r="Q174" i="21" s="1"/>
  <c r="Q10" i="21" a="1"/>
  <c r="Q10" i="21" s="1"/>
  <c r="Q22" i="21" a="1"/>
  <c r="Q22" i="21" s="1"/>
  <c r="Q34" i="21" a="1"/>
  <c r="Q34" i="21" s="1"/>
  <c r="Q46" i="21" a="1"/>
  <c r="Q46" i="21" s="1"/>
  <c r="Q58" i="21" a="1"/>
  <c r="Q58" i="21" s="1"/>
  <c r="Q70" i="21" a="1"/>
  <c r="Q70" i="21" s="1"/>
  <c r="Q82" i="21" a="1"/>
  <c r="Q82" i="21" s="1"/>
  <c r="Q98" i="21" a="1"/>
  <c r="Q98" i="21" s="1"/>
  <c r="Q110" i="21" a="1"/>
  <c r="Q110" i="21" s="1"/>
  <c r="Q122" i="21" a="1"/>
  <c r="Q122" i="21" s="1"/>
  <c r="Q134" i="21" a="1"/>
  <c r="Q134" i="21" s="1"/>
  <c r="Q146" i="21" a="1"/>
  <c r="Q146" i="21" s="1"/>
  <c r="Q158" i="21" a="1"/>
  <c r="Q158" i="21" s="1"/>
  <c r="Q170" i="21" a="1"/>
  <c r="Q170" i="21" s="1"/>
  <c r="Q182" i="21" a="1"/>
  <c r="Q182" i="21" s="1"/>
  <c r="Q6" i="21" a="1"/>
  <c r="Q6" i="21" s="1"/>
  <c r="Q18" i="21" a="1"/>
  <c r="Q18" i="21" s="1"/>
  <c r="Q30" i="21" a="1"/>
  <c r="Q30" i="21" s="1"/>
  <c r="Q42" i="21" a="1"/>
  <c r="Q42" i="21" s="1"/>
  <c r="Q54" i="21" a="1"/>
  <c r="Q54" i="21" s="1"/>
  <c r="Q66" i="21" a="1"/>
  <c r="Q66" i="21" s="1"/>
  <c r="Q78" i="21" a="1"/>
  <c r="Q78" i="21" s="1"/>
  <c r="Q90" i="21" a="1"/>
  <c r="Q90" i="21" s="1"/>
  <c r="Q102" i="21" a="1"/>
  <c r="Q102" i="21" s="1"/>
  <c r="Q118" i="21" a="1"/>
  <c r="Q118" i="21" s="1"/>
  <c r="Q130" i="21" a="1"/>
  <c r="Q130" i="21" s="1"/>
  <c r="Q142" i="21" a="1"/>
  <c r="Q142" i="21" s="1"/>
  <c r="Q154" i="21" a="1"/>
  <c r="Q154" i="21" s="1"/>
  <c r="Q166" i="21" a="1"/>
  <c r="Q166" i="21" s="1"/>
  <c r="Q178" i="21" a="1"/>
  <c r="Q178" i="21" s="1"/>
  <c r="Q15" i="21" a="1"/>
  <c r="Q15" i="21" s="1"/>
  <c r="Q19" i="21" a="1"/>
  <c r="Q19" i="21" s="1"/>
  <c r="Q31" i="21" a="1"/>
  <c r="Q31" i="21" s="1"/>
  <c r="Q43" i="21" a="1"/>
  <c r="Q43" i="21" s="1"/>
  <c r="Q55" i="21" a="1"/>
  <c r="Q55" i="21" s="1"/>
  <c r="Q67" i="21" a="1"/>
  <c r="Q67" i="21" s="1"/>
  <c r="Q75" i="21" a="1"/>
  <c r="Q75" i="21" s="1"/>
  <c r="Q87" i="21" a="1"/>
  <c r="Q87" i="21" s="1"/>
  <c r="Q95" i="21" a="1"/>
  <c r="Q95" i="21" s="1"/>
  <c r="Q107" i="21" a="1"/>
  <c r="Q107" i="21" s="1"/>
  <c r="Q119" i="21" a="1"/>
  <c r="Q119" i="21" s="1"/>
  <c r="Q127" i="21" a="1"/>
  <c r="Q127" i="21" s="1"/>
  <c r="Q139" i="21" a="1"/>
  <c r="Q139" i="21" s="1"/>
  <c r="Q147" i="21" a="1"/>
  <c r="Q147" i="21" s="1"/>
  <c r="Q159" i="21" a="1"/>
  <c r="Q159" i="21" s="1"/>
  <c r="Q171" i="21" a="1"/>
  <c r="Q171" i="21" s="1"/>
  <c r="Q179" i="21" a="1"/>
  <c r="Q179" i="21" s="1"/>
  <c r="Q191" i="21" a="1"/>
  <c r="Q191" i="21" s="1"/>
  <c r="Q11" i="21" a="1"/>
  <c r="Q11" i="21" s="1"/>
  <c r="Q27" i="21" a="1"/>
  <c r="Q27" i="21" s="1"/>
  <c r="Q39" i="21" a="1"/>
  <c r="Q39" i="21" s="1"/>
  <c r="Q51" i="21" a="1"/>
  <c r="Q51" i="21" s="1"/>
  <c r="Q63" i="21" a="1"/>
  <c r="Q63" i="21" s="1"/>
  <c r="Q79" i="21" a="1"/>
  <c r="Q79" i="21" s="1"/>
  <c r="Q91" i="21" a="1"/>
  <c r="Q91" i="21" s="1"/>
  <c r="Q103" i="21" a="1"/>
  <c r="Q103" i="21" s="1"/>
  <c r="Q115" i="21" a="1"/>
  <c r="Q115" i="21" s="1"/>
  <c r="Q131" i="21" a="1"/>
  <c r="Q131" i="21" s="1"/>
  <c r="Q143" i="21" a="1"/>
  <c r="Q143" i="21" s="1"/>
  <c r="Q155" i="21" a="1"/>
  <c r="Q155" i="21" s="1"/>
  <c r="Q167" i="21" a="1"/>
  <c r="Q167" i="21" s="1"/>
  <c r="Q183" i="21" a="1"/>
  <c r="Q183" i="21" s="1"/>
  <c r="Q195" i="21" a="1"/>
  <c r="Q195" i="21" s="1"/>
  <c r="Q7" i="21" a="1"/>
  <c r="Q7" i="21" s="1"/>
  <c r="Q23" i="21" a="1"/>
  <c r="Q23" i="21" s="1"/>
  <c r="Q35" i="21" a="1"/>
  <c r="Q35" i="21" s="1"/>
  <c r="Q47" i="21" a="1"/>
  <c r="Q47" i="21" s="1"/>
  <c r="Q59" i="21" a="1"/>
  <c r="Q59" i="21" s="1"/>
  <c r="Q71" i="21" a="1"/>
  <c r="Q71" i="21" s="1"/>
  <c r="Q83" i="21" a="1"/>
  <c r="Q83" i="21" s="1"/>
  <c r="Q99" i="21" a="1"/>
  <c r="Q99" i="21" s="1"/>
  <c r="Q111" i="21" a="1"/>
  <c r="Q111" i="21" s="1"/>
  <c r="Q123" i="21" a="1"/>
  <c r="Q123" i="21" s="1"/>
  <c r="Q135" i="21" a="1"/>
  <c r="Q135" i="21" s="1"/>
  <c r="Q151" i="21" a="1"/>
  <c r="Q151" i="21" s="1"/>
  <c r="Q163" i="21" a="1"/>
  <c r="Q163" i="21" s="1"/>
  <c r="Q175" i="21" a="1"/>
  <c r="Q175" i="21" s="1"/>
  <c r="Q187" i="21" a="1"/>
  <c r="Q187" i="21" s="1"/>
  <c r="Q8" i="21" a="1"/>
  <c r="Q8" i="21" s="1"/>
  <c r="Q20" i="21" a="1"/>
  <c r="Q20" i="21" s="1"/>
  <c r="Q36" i="21" a="1"/>
  <c r="Q36" i="21" s="1"/>
  <c r="Q52" i="21" a="1"/>
  <c r="Q52" i="21" s="1"/>
  <c r="Q64" i="21" a="1"/>
  <c r="Q64" i="21" s="1"/>
  <c r="Q80" i="21" a="1"/>
  <c r="Q80" i="21" s="1"/>
  <c r="Q92" i="21" a="1"/>
  <c r="Q92" i="21" s="1"/>
  <c r="Q108" i="21" a="1"/>
  <c r="Q108" i="21" s="1"/>
  <c r="Q120" i="21" a="1"/>
  <c r="Q120" i="21" s="1"/>
  <c r="Q132" i="21" a="1"/>
  <c r="Q132" i="21" s="1"/>
  <c r="Q148" i="21" a="1"/>
  <c r="Q148" i="21" s="1"/>
  <c r="Q164" i="21" a="1"/>
  <c r="Q164" i="21" s="1"/>
  <c r="Q176" i="21" a="1"/>
  <c r="Q176" i="21" s="1"/>
  <c r="Q188" i="21" a="1"/>
  <c r="Q188" i="21" s="1"/>
  <c r="Q12" i="21" a="1"/>
  <c r="Q12" i="21" s="1"/>
  <c r="Q28" i="21" a="1"/>
  <c r="Q28" i="21" s="1"/>
  <c r="Q40" i="21" a="1"/>
  <c r="Q40" i="21" s="1"/>
  <c r="Q48" i="21" a="1"/>
  <c r="Q48" i="21" s="1"/>
  <c r="Q60" i="21" a="1"/>
  <c r="Q60" i="21" s="1"/>
  <c r="Q72" i="21" a="1"/>
  <c r="Q72" i="21" s="1"/>
  <c r="Q84" i="21" a="1"/>
  <c r="Q84" i="21" s="1"/>
  <c r="Q96" i="21" a="1"/>
  <c r="Q96" i="21" s="1"/>
  <c r="Q104" i="21" a="1"/>
  <c r="Q104" i="21" s="1"/>
  <c r="Q116" i="21" a="1"/>
  <c r="Q116" i="21" s="1"/>
  <c r="Q128" i="21" a="1"/>
  <c r="Q128" i="21" s="1"/>
  <c r="Q140" i="21" a="1"/>
  <c r="Q140" i="21" s="1"/>
  <c r="Q144" i="21" a="1"/>
  <c r="Q144" i="21" s="1"/>
  <c r="Q156" i="21" a="1"/>
  <c r="Q156" i="21" s="1"/>
  <c r="Q168" i="21" a="1"/>
  <c r="Q168" i="21" s="1"/>
  <c r="Q180" i="21" a="1"/>
  <c r="Q180" i="21" s="1"/>
  <c r="Q192" i="21" a="1"/>
  <c r="Q192" i="21" s="1"/>
  <c r="Q200" i="21" a="1"/>
  <c r="Q200" i="21" s="1"/>
  <c r="Q16" i="21" a="1"/>
  <c r="Q16" i="21" s="1"/>
  <c r="Q24" i="21" a="1"/>
  <c r="Q24" i="21" s="1"/>
  <c r="Q32" i="21" a="1"/>
  <c r="Q32" i="21" s="1"/>
  <c r="Q44" i="21" a="1"/>
  <c r="Q44" i="21" s="1"/>
  <c r="Q56" i="21" a="1"/>
  <c r="Q56" i="21" s="1"/>
  <c r="Q68" i="21" a="1"/>
  <c r="Q68" i="21" s="1"/>
  <c r="Q76" i="21" a="1"/>
  <c r="Q76" i="21" s="1"/>
  <c r="Q88" i="21" a="1"/>
  <c r="Q88" i="21" s="1"/>
  <c r="Q100" i="21" a="1"/>
  <c r="Q100" i="21" s="1"/>
  <c r="Q112" i="21" a="1"/>
  <c r="Q112" i="21" s="1"/>
  <c r="Q124" i="21" a="1"/>
  <c r="Q124" i="21" s="1"/>
  <c r="Q136" i="21" a="1"/>
  <c r="Q136" i="21" s="1"/>
  <c r="Q152" i="21" a="1"/>
  <c r="Q152" i="21" s="1"/>
  <c r="Q160" i="21" a="1"/>
  <c r="Q160" i="21" s="1"/>
  <c r="Q172" i="21" a="1"/>
  <c r="Q172" i="21" s="1"/>
  <c r="Q184" i="21" a="1"/>
  <c r="Q184" i="21" s="1"/>
  <c r="Q196" i="21" a="1"/>
  <c r="Q196" i="21" s="1"/>
  <c r="Q190" i="21" a="1"/>
  <c r="Q190" i="21" s="1"/>
  <c r="Q137" i="21" a="1"/>
  <c r="Q137" i="21" s="1"/>
  <c r="Q161" i="21" a="1"/>
  <c r="Q161" i="21" s="1"/>
  <c r="Q198" i="21" a="1"/>
  <c r="Q198" i="21" s="1"/>
  <c r="Q145" i="21" a="1"/>
  <c r="Q145" i="21" s="1"/>
  <c r="Q169" i="21" a="1"/>
  <c r="Q169" i="21" s="1"/>
  <c r="Q129" i="21" a="1"/>
  <c r="Q129" i="21" s="1"/>
  <c r="Q153" i="21" a="1"/>
  <c r="Q153" i="21" s="1"/>
  <c r="Q199" i="21" a="1"/>
  <c r="Q199" i="21" s="1"/>
  <c r="Q165" i="21" a="1"/>
  <c r="Q165" i="21" s="1"/>
  <c r="Q186" i="21" a="1"/>
  <c r="Q186" i="21" s="1"/>
  <c r="Q193" i="21" a="1"/>
  <c r="Q193" i="21" s="1"/>
  <c r="Q149" i="21" a="1"/>
  <c r="Q149" i="21" s="1"/>
  <c r="Q181" i="21" a="1"/>
  <c r="Q181" i="21" s="1"/>
  <c r="Q194" i="21" a="1"/>
  <c r="Q194" i="21" s="1"/>
  <c r="Q173" i="21" a="1"/>
  <c r="Q173" i="21" s="1"/>
  <c r="Q157" i="21" a="1"/>
  <c r="Q157" i="21" s="1"/>
  <c r="Q125" i="21" a="1"/>
  <c r="Q125" i="21" s="1"/>
  <c r="Q133" i="21" a="1"/>
  <c r="Q133" i="21" s="1"/>
  <c r="Q141" i="21" a="1"/>
  <c r="Q141" i="21" s="1"/>
  <c r="Q177" i="21" a="1"/>
  <c r="Q177" i="21" s="1"/>
  <c r="Q189" i="21" a="1"/>
  <c r="Q189" i="21" s="1"/>
  <c r="Q197" i="21" a="1"/>
  <c r="Q197" i="21" s="1"/>
  <c r="Q185" i="21" a="1"/>
  <c r="Q185" i="21" s="1"/>
  <c r="Q4" i="21" a="1"/>
  <c r="Q4" i="21" s="1"/>
  <c r="C3" i="17"/>
  <c r="C4" i="17" s="1"/>
  <c r="C5" i="17" s="1"/>
  <c r="C6" i="17" s="1"/>
  <c r="C7" i="17" s="1"/>
  <c r="C8" i="17" s="1"/>
  <c r="C9" i="17" s="1"/>
  <c r="C10" i="17" s="1"/>
  <c r="C11" i="17" s="1"/>
  <c r="C12" i="17" s="1"/>
  <c r="C13" i="17" s="1"/>
  <c r="C14" i="17" s="1"/>
  <c r="C15" i="17" s="1"/>
  <c r="C16" i="17" s="1"/>
  <c r="C17" i="17" s="1"/>
  <c r="C18" i="17" s="1"/>
  <c r="C19" i="17" s="1"/>
  <c r="C20" i="17" s="1"/>
  <c r="C21" i="17" s="1"/>
  <c r="C22" i="17" s="1"/>
  <c r="C23" i="17" s="1"/>
  <c r="C24" i="17" s="1"/>
  <c r="C25" i="17" s="1"/>
  <c r="C26" i="17" s="1"/>
  <c r="C27" i="17" s="1"/>
  <c r="C28" i="17" s="1"/>
  <c r="C29" i="17" s="1"/>
  <c r="C30" i="17" s="1"/>
  <c r="C31" i="17" s="1"/>
  <c r="C32" i="17" s="1"/>
  <c r="C33" i="17" s="1"/>
  <c r="C34" i="17" s="1"/>
  <c r="C35" i="17" s="1"/>
  <c r="C36" i="17" s="1"/>
  <c r="C37" i="17" s="1"/>
  <c r="C38" i="17" s="1"/>
  <c r="C39" i="17" s="1"/>
  <c r="C40" i="17" s="1"/>
  <c r="C41" i="17" s="1"/>
  <c r="C42" i="17" s="1"/>
  <c r="C43" i="17" s="1"/>
  <c r="C44" i="17" s="1"/>
  <c r="C45" i="17" s="1"/>
  <c r="C46" i="17" s="1"/>
  <c r="C47" i="17" s="1"/>
  <c r="C48" i="17" s="1"/>
  <c r="C49" i="17" s="1"/>
  <c r="C50" i="17" s="1"/>
  <c r="C51" i="17" s="1"/>
  <c r="C52" i="17" s="1"/>
  <c r="C53" i="17" s="1"/>
  <c r="C54" i="17" s="1"/>
  <c r="C55" i="17" s="1"/>
  <c r="C56" i="17" s="1"/>
  <c r="C57" i="17" s="1"/>
  <c r="C58" i="17" s="1"/>
  <c r="C59" i="17" s="1"/>
  <c r="C60" i="17" s="1"/>
  <c r="C61" i="17" s="1"/>
  <c r="C62" i="17" s="1"/>
  <c r="C63" i="17" s="1"/>
  <c r="C64" i="17" s="1"/>
  <c r="C65" i="17" s="1"/>
  <c r="C66" i="17" s="1"/>
  <c r="C67" i="17" s="1"/>
  <c r="C68" i="17" s="1"/>
  <c r="C69" i="17" s="1"/>
  <c r="C70" i="17" s="1"/>
  <c r="C71" i="17" s="1"/>
  <c r="C72" i="17" s="1"/>
  <c r="C73" i="17" s="1"/>
  <c r="C74" i="17" s="1"/>
  <c r="C75" i="17" s="1"/>
  <c r="C76" i="17" s="1"/>
  <c r="C77" i="17" s="1"/>
  <c r="C78" i="17" s="1"/>
  <c r="C79" i="17" s="1"/>
  <c r="C80" i="17" s="1"/>
  <c r="C81" i="17" s="1"/>
  <c r="C82" i="17" s="1"/>
  <c r="C83" i="17" s="1"/>
  <c r="C84" i="17" s="1"/>
  <c r="C85" i="17" s="1"/>
  <c r="C86" i="17" s="1"/>
  <c r="C87" i="17" s="1"/>
  <c r="C88" i="17" s="1"/>
  <c r="C89" i="17" s="1"/>
  <c r="C90" i="17" s="1"/>
  <c r="C91" i="17" s="1"/>
  <c r="C92" i="17" s="1"/>
  <c r="C93" i="17" s="1"/>
  <c r="C94" i="17" s="1"/>
  <c r="C95" i="17" s="1"/>
  <c r="C96" i="17" s="1"/>
  <c r="C97" i="17" s="1"/>
  <c r="C98" i="17" s="1"/>
  <c r="C99" i="17" s="1"/>
  <c r="C100" i="17" s="1"/>
  <c r="C101" i="17" s="1"/>
  <c r="C102" i="17" s="1"/>
  <c r="C103" i="17" s="1"/>
  <c r="C104" i="17" s="1"/>
  <c r="C105" i="17" s="1"/>
  <c r="C106" i="17" s="1"/>
  <c r="C107" i="17" s="1"/>
  <c r="C108" i="17" s="1"/>
  <c r="C109" i="17" s="1"/>
  <c r="C110" i="17" s="1"/>
  <c r="C111" i="17" s="1"/>
  <c r="C112" i="17" s="1"/>
  <c r="C113" i="17" s="1"/>
  <c r="C114" i="17" s="1"/>
  <c r="C115" i="17" s="1"/>
  <c r="C116" i="17" s="1"/>
  <c r="C117" i="17" s="1"/>
  <c r="C118" i="17" s="1"/>
  <c r="C119" i="17" s="1"/>
  <c r="C120" i="17" s="1"/>
  <c r="C121" i="17" s="1"/>
  <c r="C122" i="17" s="1"/>
  <c r="C123" i="17" s="1"/>
  <c r="C124" i="17" s="1"/>
  <c r="C125" i="17" s="1"/>
  <c r="C126" i="17" s="1"/>
  <c r="C127" i="17" s="1"/>
  <c r="C128" i="17" s="1"/>
  <c r="C129" i="17" s="1"/>
  <c r="C130" i="17" s="1"/>
  <c r="C131" i="17" s="1"/>
  <c r="C132" i="17" s="1"/>
  <c r="C133" i="17" s="1"/>
  <c r="C134" i="17" s="1"/>
  <c r="C135" i="17" s="1"/>
  <c r="C136" i="17" s="1"/>
  <c r="C137" i="17" s="1"/>
  <c r="C138" i="17" s="1"/>
  <c r="C139" i="17" s="1"/>
  <c r="C140" i="17" s="1"/>
  <c r="C141" i="17" s="1"/>
  <c r="C142" i="17" s="1"/>
  <c r="C143" i="17" s="1"/>
  <c r="C144" i="17" s="1"/>
  <c r="C145" i="17" s="1"/>
  <c r="C146" i="17" s="1"/>
  <c r="C147" i="17" s="1"/>
  <c r="C148" i="17" s="1"/>
  <c r="C149" i="17" s="1"/>
  <c r="C150" i="17" s="1"/>
  <c r="C151" i="17" s="1"/>
  <c r="C152" i="17" s="1"/>
  <c r="C153" i="17" s="1"/>
  <c r="C154" i="17" s="1"/>
  <c r="C155" i="17" s="1"/>
  <c r="C156" i="17" s="1"/>
  <c r="C157" i="17" s="1"/>
  <c r="C158" i="17" s="1"/>
  <c r="C159" i="17" s="1"/>
  <c r="C160" i="17" s="1"/>
  <c r="C161" i="17" s="1"/>
  <c r="C162" i="17" s="1"/>
  <c r="C163" i="17" s="1"/>
  <c r="C164" i="17" s="1"/>
  <c r="C165" i="17" s="1"/>
  <c r="C166" i="17" s="1"/>
  <c r="C167" i="17" s="1"/>
  <c r="C168" i="17" s="1"/>
  <c r="C169" i="17" s="1"/>
  <c r="C170" i="17" s="1"/>
  <c r="C171" i="17" s="1"/>
  <c r="C172" i="17" s="1"/>
  <c r="C173" i="17" s="1"/>
  <c r="C174" i="17" s="1"/>
  <c r="C175" i="17" s="1"/>
  <c r="C176" i="17" s="1"/>
  <c r="C177" i="17" s="1"/>
  <c r="C178" i="17" s="1"/>
  <c r="C179" i="17" s="1"/>
  <c r="C180" i="17" s="1"/>
  <c r="C181" i="17" s="1"/>
  <c r="C182" i="17" s="1"/>
  <c r="C183" i="17" s="1"/>
  <c r="C184" i="17" s="1"/>
  <c r="C185" i="17" s="1"/>
  <c r="C186" i="17" s="1"/>
  <c r="C187" i="17" s="1"/>
  <c r="C188" i="17" s="1"/>
  <c r="C189" i="17" s="1"/>
  <c r="C190" i="17" s="1"/>
  <c r="C191" i="17" s="1"/>
  <c r="C192" i="17" s="1"/>
  <c r="C193" i="17" s="1"/>
  <c r="C194" i="17" s="1"/>
  <c r="C195" i="17" s="1"/>
  <c r="C196" i="17" s="1"/>
  <c r="C197" i="17" s="1"/>
  <c r="C198" i="17" s="1"/>
  <c r="C199" i="17" s="1"/>
  <c r="C200" i="17" s="1"/>
  <c r="C201" i="17" s="1"/>
  <c r="C202" i="17" s="1"/>
  <c r="C203" i="17" s="1"/>
  <c r="C204" i="17" s="1"/>
  <c r="E1" i="17"/>
  <c r="F1" i="17" s="1"/>
  <c r="G1" i="17" s="1"/>
  <c r="H1" i="17" s="1"/>
  <c r="I1" i="17" s="1"/>
  <c r="J1" i="17" s="1"/>
  <c r="K1" i="17" s="1"/>
  <c r="L1" i="17" s="1"/>
  <c r="M1" i="17" s="1"/>
  <c r="N1" i="17" s="1"/>
  <c r="O1" i="17" s="1"/>
  <c r="P1" i="17" s="1"/>
  <c r="Q1" i="17" s="1"/>
  <c r="R1" i="17" s="1"/>
  <c r="S1" i="17" s="1"/>
  <c r="T1" i="17" s="1"/>
  <c r="U1" i="17" s="1"/>
  <c r="V1" i="17" s="1"/>
  <c r="W1" i="17" s="1"/>
  <c r="X1" i="17" s="1"/>
  <c r="Y1" i="17" s="1"/>
  <c r="A3" i="17"/>
  <c r="C205" i="17" l="1"/>
  <c r="Z1" i="17"/>
  <c r="C210" i="12" l="1"/>
  <c r="H197" i="21" s="1"/>
  <c r="C207" i="12"/>
  <c r="H194" i="21" s="1"/>
  <c r="C200" i="12"/>
  <c r="H187" i="21" s="1"/>
  <c r="C205" i="12"/>
  <c r="H192" i="21" s="1"/>
  <c r="C201" i="12"/>
  <c r="H188" i="21" s="1"/>
  <c r="C209" i="12"/>
  <c r="H196" i="21" s="1"/>
  <c r="C204" i="12"/>
  <c r="H191" i="21" s="1"/>
  <c r="C215" i="12"/>
  <c r="H202" i="21" s="1"/>
  <c r="C199" i="12"/>
  <c r="H186" i="21" s="1"/>
  <c r="C202" i="12"/>
  <c r="H189" i="21" s="1"/>
  <c r="C216" i="12"/>
  <c r="H203" i="21" s="1"/>
  <c r="C211" i="12"/>
  <c r="H198" i="21" s="1"/>
  <c r="C206" i="12"/>
  <c r="H193" i="21" s="1"/>
  <c r="C203" i="12"/>
  <c r="H190" i="21" s="1"/>
  <c r="C197" i="12"/>
  <c r="H184" i="21" s="1"/>
  <c r="C208" i="12"/>
  <c r="H195" i="21" s="1"/>
  <c r="C212" i="12"/>
  <c r="H199" i="21" s="1"/>
  <c r="C198" i="12"/>
  <c r="H185" i="21" s="1"/>
  <c r="C214" i="12"/>
  <c r="H201" i="21" s="1"/>
  <c r="C213" i="12"/>
  <c r="H200" i="21" s="1"/>
  <c r="C206" i="17"/>
  <c r="AA1" i="17"/>
  <c r="F202" i="12" l="1"/>
  <c r="F205" i="12"/>
  <c r="F197" i="12"/>
  <c r="F213" i="12"/>
  <c r="F203" i="12"/>
  <c r="F200" i="12"/>
  <c r="F198" i="12"/>
  <c r="F215" i="12"/>
  <c r="F207" i="12"/>
  <c r="F204" i="12"/>
  <c r="F210" i="12"/>
  <c r="F209" i="12"/>
  <c r="F206" i="12"/>
  <c r="F214" i="12"/>
  <c r="F211" i="12"/>
  <c r="F212" i="12"/>
  <c r="F216" i="12"/>
  <c r="F208" i="12"/>
  <c r="F201" i="12"/>
  <c r="F199" i="12"/>
  <c r="C207" i="17"/>
  <c r="AB1" i="17"/>
  <c r="BU137" i="21" l="1"/>
  <c r="DB137" i="21" s="1"/>
  <c r="BU139" i="21"/>
  <c r="DB139" i="21" s="1"/>
  <c r="BU29" i="21"/>
  <c r="DB29" i="21" s="1"/>
  <c r="BU26" i="21"/>
  <c r="DB26" i="21" s="1"/>
  <c r="BU82" i="21"/>
  <c r="DB82" i="21" s="1"/>
  <c r="BU41" i="21"/>
  <c r="DB41" i="21" s="1"/>
  <c r="BU184" i="21"/>
  <c r="DB184" i="21" s="1"/>
  <c r="BU133" i="21"/>
  <c r="DB133" i="21" s="1"/>
  <c r="BU43" i="21"/>
  <c r="DB43" i="21" s="1"/>
  <c r="BU150" i="21"/>
  <c r="DB150" i="21" s="1"/>
  <c r="DB202" i="21"/>
  <c r="BU194" i="21"/>
  <c r="DB194" i="21" s="1"/>
  <c r="BU14" i="21"/>
  <c r="DB14" i="21" s="1"/>
  <c r="BU16" i="21"/>
  <c r="DB16" i="21" s="1"/>
  <c r="BU195" i="21"/>
  <c r="DB195" i="21" s="1"/>
  <c r="BU107" i="21"/>
  <c r="DB107" i="21" s="1"/>
  <c r="BU132" i="21"/>
  <c r="DB132" i="21" s="1"/>
  <c r="BU45" i="21"/>
  <c r="DB45" i="21" s="1"/>
  <c r="BU163" i="21"/>
  <c r="DB163" i="21" s="1"/>
  <c r="BU95" i="21"/>
  <c r="DB95" i="21" s="1"/>
  <c r="BU63" i="21"/>
  <c r="DB63" i="21" s="1"/>
  <c r="BU37" i="21"/>
  <c r="DB37" i="21" s="1"/>
  <c r="BU53" i="21"/>
  <c r="DB53" i="21" s="1"/>
  <c r="BU131" i="21"/>
  <c r="DB131" i="21" s="1"/>
  <c r="BU8" i="21"/>
  <c r="DB8" i="21" s="1"/>
  <c r="BU30" i="21"/>
  <c r="DB30" i="21" s="1"/>
  <c r="BU149" i="21"/>
  <c r="DB149" i="21" s="1"/>
  <c r="BU177" i="21"/>
  <c r="DB177" i="21" s="1"/>
  <c r="BU38" i="21"/>
  <c r="DB38" i="21" s="1"/>
  <c r="BU120" i="21"/>
  <c r="DB120" i="21" s="1"/>
  <c r="BU102" i="21"/>
  <c r="DB102" i="21" s="1"/>
  <c r="BU27" i="21"/>
  <c r="DB27" i="21" s="1"/>
  <c r="BU173" i="21"/>
  <c r="DB173" i="21" s="1"/>
  <c r="BU67" i="21"/>
  <c r="DB67" i="21" s="1"/>
  <c r="BU19" i="21"/>
  <c r="DB19" i="21" s="1"/>
  <c r="BU168" i="21"/>
  <c r="DB168" i="21" s="1"/>
  <c r="BU85" i="21"/>
  <c r="DB85" i="21" s="1"/>
  <c r="BU190" i="21"/>
  <c r="DB190" i="21" s="1"/>
  <c r="BU183" i="21"/>
  <c r="DB183" i="21" s="1"/>
  <c r="BU145" i="21"/>
  <c r="DB145" i="21" s="1"/>
  <c r="BU114" i="21"/>
  <c r="DB114" i="21" s="1"/>
  <c r="BU135" i="21"/>
  <c r="DB135" i="21" s="1"/>
  <c r="BU83" i="21"/>
  <c r="BU113" i="21"/>
  <c r="DB113" i="21" s="1"/>
  <c r="BU170" i="21"/>
  <c r="DB170" i="21" s="1"/>
  <c r="BU142" i="21"/>
  <c r="DB142" i="21" s="1"/>
  <c r="BU28" i="21"/>
  <c r="DB28" i="21" s="1"/>
  <c r="BU59" i="21"/>
  <c r="DB59" i="21" s="1"/>
  <c r="BU191" i="21"/>
  <c r="DB191" i="21" s="1"/>
  <c r="BU105" i="21"/>
  <c r="DB105" i="21" s="1"/>
  <c r="BU94" i="21"/>
  <c r="DB94" i="21" s="1"/>
  <c r="BU74" i="21"/>
  <c r="DB74" i="21" s="1"/>
  <c r="BU88" i="21"/>
  <c r="DB88" i="21" s="1"/>
  <c r="BU111" i="21"/>
  <c r="DB111" i="21" s="1"/>
  <c r="BU18" i="21"/>
  <c r="DB18" i="21" s="1"/>
  <c r="BU55" i="21"/>
  <c r="DB55" i="21" s="1"/>
  <c r="BU56" i="21"/>
  <c r="DB56" i="21" s="1"/>
  <c r="BU172" i="21"/>
  <c r="DB172" i="21" s="1"/>
  <c r="BU11" i="21"/>
  <c r="DB11" i="21" s="1"/>
  <c r="BU196" i="21"/>
  <c r="DB196" i="21" s="1"/>
  <c r="BU9" i="21"/>
  <c r="DB9" i="21" s="1"/>
  <c r="BU143" i="21"/>
  <c r="DB143" i="21" s="1"/>
  <c r="BU96" i="21"/>
  <c r="DB96" i="21" s="1"/>
  <c r="DB201" i="21"/>
  <c r="BU92" i="21"/>
  <c r="DB92" i="21" s="1"/>
  <c r="BU75" i="21"/>
  <c r="DB75" i="21" s="1"/>
  <c r="BU70" i="21"/>
  <c r="DB70" i="21" s="1"/>
  <c r="BU44" i="21"/>
  <c r="DB44" i="21" s="1"/>
  <c r="BU117" i="21"/>
  <c r="DB117" i="21" s="1"/>
  <c r="BU87" i="21"/>
  <c r="DB87" i="21" s="1"/>
  <c r="BU169" i="21"/>
  <c r="DB169" i="21" s="1"/>
  <c r="BU62" i="21"/>
  <c r="DB62" i="21" s="1"/>
  <c r="BU97" i="21"/>
  <c r="DB97" i="21" s="1"/>
  <c r="BU76" i="21"/>
  <c r="DB76" i="21" s="1"/>
  <c r="BU141" i="21"/>
  <c r="DB141" i="21" s="1"/>
  <c r="BU100" i="21"/>
  <c r="DB100" i="21" s="1"/>
  <c r="BU17" i="21"/>
  <c r="DB17" i="21" s="1"/>
  <c r="BU140" i="21"/>
  <c r="DB140" i="21" s="1"/>
  <c r="BU68" i="21"/>
  <c r="DB68" i="21" s="1"/>
  <c r="BU134" i="21"/>
  <c r="DB134" i="21" s="1"/>
  <c r="BU90" i="21"/>
  <c r="DB90" i="21" s="1"/>
  <c r="BU91" i="21"/>
  <c r="DB91" i="21" s="1"/>
  <c r="BU123" i="21"/>
  <c r="DB123" i="21" s="1"/>
  <c r="BU152" i="21"/>
  <c r="DB152" i="21" s="1"/>
  <c r="BU39" i="21"/>
  <c r="DB39" i="21" s="1"/>
  <c r="BU77" i="21"/>
  <c r="DB77" i="21" s="1"/>
  <c r="BU50" i="21"/>
  <c r="DB50" i="21" s="1"/>
  <c r="BU148" i="21"/>
  <c r="DB148" i="21" s="1"/>
  <c r="BU103" i="21"/>
  <c r="DB103" i="21" s="1"/>
  <c r="BU108" i="21"/>
  <c r="DB108" i="21" s="1"/>
  <c r="BU23" i="21"/>
  <c r="DB23" i="21" s="1"/>
  <c r="BU164" i="21"/>
  <c r="DB164" i="21" s="1"/>
  <c r="BU193" i="21"/>
  <c r="DB193" i="21" s="1"/>
  <c r="BU175" i="21"/>
  <c r="DB175" i="21" s="1"/>
  <c r="BU73" i="21"/>
  <c r="DB73" i="21" s="1"/>
  <c r="BU151" i="21"/>
  <c r="DB151" i="21" s="1"/>
  <c r="BU58" i="21"/>
  <c r="DB58" i="21" s="1"/>
  <c r="BU130" i="21"/>
  <c r="DB130" i="21" s="1"/>
  <c r="BU69" i="21"/>
  <c r="DB69" i="21" s="1"/>
  <c r="BU127" i="21"/>
  <c r="DB127" i="21" s="1"/>
  <c r="BU118" i="21"/>
  <c r="DB118" i="21" s="1"/>
  <c r="BU93" i="21"/>
  <c r="DB93" i="21" s="1"/>
  <c r="BU52" i="21"/>
  <c r="DB52" i="21" s="1"/>
  <c r="BU129" i="21"/>
  <c r="DB129" i="21" s="1"/>
  <c r="BU146" i="21"/>
  <c r="DB146" i="21" s="1"/>
  <c r="BU109" i="21"/>
  <c r="DB109" i="21" s="1"/>
  <c r="BU21" i="21"/>
  <c r="DB21" i="21" s="1"/>
  <c r="BU166" i="21"/>
  <c r="DB166" i="21" s="1"/>
  <c r="BU199" i="21"/>
  <c r="DB199" i="21" s="1"/>
  <c r="BU167" i="21"/>
  <c r="DB167" i="21" s="1"/>
  <c r="BU48" i="21"/>
  <c r="DB48" i="21" s="1"/>
  <c r="BU198" i="21"/>
  <c r="DB198" i="21" s="1"/>
  <c r="BU124" i="21"/>
  <c r="DB124" i="21" s="1"/>
  <c r="BU65" i="21"/>
  <c r="DB65" i="21" s="1"/>
  <c r="BU171" i="21"/>
  <c r="DB171" i="21" s="1"/>
  <c r="BU186" i="21"/>
  <c r="DB186" i="21" s="1"/>
  <c r="BU144" i="21"/>
  <c r="DB144" i="21" s="1"/>
  <c r="BU86" i="21"/>
  <c r="DB86" i="21" s="1"/>
  <c r="BU20" i="21"/>
  <c r="DB20" i="21" s="1"/>
  <c r="BU64" i="21"/>
  <c r="DB64" i="21" s="1"/>
  <c r="BU46" i="21"/>
  <c r="DB46" i="21" s="1"/>
  <c r="BU40" i="21"/>
  <c r="DB40" i="21" s="1"/>
  <c r="BU116" i="21"/>
  <c r="DB116" i="21" s="1"/>
  <c r="BU178" i="21"/>
  <c r="DB178" i="21" s="1"/>
  <c r="BU126" i="21"/>
  <c r="DB126" i="21" s="1"/>
  <c r="BU155" i="21"/>
  <c r="DB155" i="21" s="1"/>
  <c r="DB203" i="21"/>
  <c r="BU165" i="21"/>
  <c r="DB165" i="21" s="1"/>
  <c r="BU5" i="21"/>
  <c r="DB5" i="21" s="1"/>
  <c r="BU72" i="21"/>
  <c r="DB72" i="21" s="1"/>
  <c r="BU84" i="21"/>
  <c r="DB84" i="21" s="1"/>
  <c r="BU24" i="21"/>
  <c r="DB24" i="21" s="1"/>
  <c r="BU89" i="21"/>
  <c r="DB89" i="21" s="1"/>
  <c r="BU161" i="21"/>
  <c r="DB161" i="21" s="1"/>
  <c r="BU136" i="21"/>
  <c r="DB136" i="21" s="1"/>
  <c r="BU98" i="21"/>
  <c r="DB98" i="21" s="1"/>
  <c r="BU192" i="21"/>
  <c r="DB192" i="21" s="1"/>
  <c r="BU189" i="21"/>
  <c r="DB189" i="21" s="1"/>
  <c r="BU157" i="21"/>
  <c r="DB157" i="21" s="1"/>
  <c r="BU182" i="21"/>
  <c r="DB182" i="21" s="1"/>
  <c r="BU34" i="21"/>
  <c r="DB34" i="21" s="1"/>
  <c r="BU99" i="21"/>
  <c r="DB99" i="21" s="1"/>
  <c r="BU80" i="21"/>
  <c r="DB80" i="21" s="1"/>
  <c r="BU81" i="21"/>
  <c r="DB81" i="21" s="1"/>
  <c r="BU119" i="21"/>
  <c r="DB119" i="21" s="1"/>
  <c r="BU61" i="21"/>
  <c r="DB61" i="21" s="1"/>
  <c r="BU122" i="21"/>
  <c r="DB122" i="21" s="1"/>
  <c r="BU112" i="21"/>
  <c r="DB112" i="21" s="1"/>
  <c r="BU79" i="21"/>
  <c r="DB79" i="21" s="1"/>
  <c r="BU54" i="21"/>
  <c r="DB54" i="21" s="1"/>
  <c r="BU31" i="21"/>
  <c r="DB31" i="21" s="1"/>
  <c r="BU6" i="21"/>
  <c r="DB6" i="21" s="1"/>
  <c r="BU25" i="21"/>
  <c r="DB25" i="21" s="1"/>
  <c r="BU154" i="21"/>
  <c r="DB154" i="21" s="1"/>
  <c r="BU158" i="21"/>
  <c r="DB158" i="21" s="1"/>
  <c r="BU180" i="21"/>
  <c r="DB180" i="21" s="1"/>
  <c r="BU12" i="21"/>
  <c r="DB12" i="21" s="1"/>
  <c r="BU33" i="21"/>
  <c r="DB33" i="21" s="1"/>
  <c r="BU197" i="21"/>
  <c r="DB197" i="21" s="1"/>
  <c r="BU51" i="21"/>
  <c r="DB51" i="21" s="1"/>
  <c r="BU35" i="21"/>
  <c r="DB35" i="21" s="1"/>
  <c r="BU106" i="21"/>
  <c r="DB106" i="21" s="1"/>
  <c r="BU78" i="21"/>
  <c r="DB78" i="21" s="1"/>
  <c r="BU153" i="21"/>
  <c r="DB153" i="21" s="1"/>
  <c r="BU13" i="21"/>
  <c r="DB13" i="21" s="1"/>
  <c r="BU187" i="21"/>
  <c r="DB187" i="21" s="1"/>
  <c r="BU57" i="21"/>
  <c r="DB57" i="21" s="1"/>
  <c r="BU174" i="21"/>
  <c r="DB174" i="21" s="1"/>
  <c r="BU159" i="21"/>
  <c r="DB159" i="21" s="1"/>
  <c r="BU15" i="21"/>
  <c r="DB15" i="21" s="1"/>
  <c r="BU121" i="21"/>
  <c r="DB121" i="21" s="1"/>
  <c r="BU110" i="21"/>
  <c r="DB110" i="21" s="1"/>
  <c r="BU66" i="21"/>
  <c r="DB66" i="21" s="1"/>
  <c r="BU7" i="21"/>
  <c r="DB7" i="21" s="1"/>
  <c r="BU104" i="21"/>
  <c r="DB104" i="21" s="1"/>
  <c r="BU138" i="21"/>
  <c r="DB138" i="21" s="1"/>
  <c r="BU200" i="21"/>
  <c r="DB200" i="21" s="1"/>
  <c r="BU181" i="21"/>
  <c r="DB181" i="21" s="1"/>
  <c r="BU101" i="21"/>
  <c r="DB101" i="21" s="1"/>
  <c r="BU32" i="21"/>
  <c r="DB32" i="21" s="1"/>
  <c r="BU156" i="21"/>
  <c r="DB156" i="21" s="1"/>
  <c r="BU125" i="21"/>
  <c r="DB125" i="21" s="1"/>
  <c r="BU185" i="21"/>
  <c r="DB185" i="21" s="1"/>
  <c r="BU47" i="21"/>
  <c r="DB47" i="21" s="1"/>
  <c r="BU115" i="21"/>
  <c r="DB115" i="21" s="1"/>
  <c r="BU4" i="21"/>
  <c r="DB4" i="21" s="1"/>
  <c r="DB83" i="21"/>
  <c r="DA5" i="21"/>
  <c r="DC5" i="21"/>
  <c r="DD5" i="21" s="1"/>
  <c r="DE5" i="21"/>
  <c r="DA7" i="21"/>
  <c r="DE7" i="21"/>
  <c r="DC7" i="21"/>
  <c r="DD7" i="21" s="1"/>
  <c r="DA4" i="21"/>
  <c r="DC4" i="21"/>
  <c r="DD4" i="21" s="1"/>
  <c r="DE4" i="21"/>
  <c r="DC8" i="21"/>
  <c r="DD8" i="21" s="1"/>
  <c r="DE8" i="21"/>
  <c r="DA8" i="21"/>
  <c r="DA11" i="21"/>
  <c r="DE11" i="21"/>
  <c r="DC11" i="21"/>
  <c r="DD11" i="21" s="1"/>
  <c r="DA9" i="21"/>
  <c r="DC9" i="21"/>
  <c r="DD9" i="21" s="1"/>
  <c r="DE9" i="21"/>
  <c r="DE12" i="21"/>
  <c r="DA12" i="21"/>
  <c r="DC12" i="21"/>
  <c r="DD12" i="21" s="1"/>
  <c r="DE6" i="21"/>
  <c r="DA6" i="21"/>
  <c r="DC6" i="21"/>
  <c r="DD6" i="21" s="1"/>
  <c r="DE178" i="21"/>
  <c r="DE158" i="21"/>
  <c r="DE180" i="21"/>
  <c r="DE33" i="21"/>
  <c r="DE197" i="21"/>
  <c r="DE51" i="21"/>
  <c r="DE35" i="21"/>
  <c r="DE106" i="21"/>
  <c r="DE78" i="21"/>
  <c r="DE153" i="21"/>
  <c r="DE13" i="21"/>
  <c r="DE187" i="21"/>
  <c r="DE57" i="21"/>
  <c r="DE174" i="21"/>
  <c r="DE159" i="21"/>
  <c r="DE135" i="21"/>
  <c r="DE203" i="21"/>
  <c r="DE137" i="21"/>
  <c r="DE184" i="21"/>
  <c r="DE121" i="21"/>
  <c r="DE110" i="21"/>
  <c r="DE66" i="21"/>
  <c r="DE104" i="21"/>
  <c r="DE138" i="21"/>
  <c r="DE200" i="21"/>
  <c r="DE181" i="21"/>
  <c r="DE101" i="21"/>
  <c r="DE32" i="21"/>
  <c r="DE156" i="21"/>
  <c r="DE125" i="21"/>
  <c r="DE185" i="21"/>
  <c r="DE15" i="21"/>
  <c r="DE89" i="21"/>
  <c r="DE64" i="21"/>
  <c r="DE53" i="21"/>
  <c r="DE127" i="21"/>
  <c r="DE83" i="21"/>
  <c r="DE157" i="21"/>
  <c r="DE46" i="21"/>
  <c r="DE91" i="21"/>
  <c r="DE131" i="21"/>
  <c r="DE139" i="21"/>
  <c r="DE133" i="21"/>
  <c r="DE29" i="21"/>
  <c r="DE26" i="21"/>
  <c r="DE82" i="21"/>
  <c r="DE155" i="21"/>
  <c r="DE43" i="21"/>
  <c r="DE30" i="21"/>
  <c r="DE150" i="21"/>
  <c r="DE202" i="21"/>
  <c r="DE194" i="21"/>
  <c r="DE14" i="21"/>
  <c r="DE16" i="21"/>
  <c r="DE195" i="21"/>
  <c r="DE107" i="21"/>
  <c r="DE132" i="21"/>
  <c r="DE45" i="21"/>
  <c r="DE163" i="21"/>
  <c r="DE95" i="21"/>
  <c r="DE63" i="21"/>
  <c r="DE47" i="21"/>
  <c r="DE126" i="21"/>
  <c r="DE149" i="21"/>
  <c r="DE177" i="21"/>
  <c r="DE38" i="21"/>
  <c r="DE120" i="21"/>
  <c r="DE102" i="21"/>
  <c r="DE27" i="21"/>
  <c r="DE173" i="21"/>
  <c r="DE67" i="21"/>
  <c r="DE19" i="21"/>
  <c r="DE168" i="21"/>
  <c r="DE85" i="21"/>
  <c r="DE190" i="21"/>
  <c r="DE183" i="21"/>
  <c r="DE145" i="21"/>
  <c r="DE114" i="21"/>
  <c r="DE118" i="21"/>
  <c r="DE74" i="21"/>
  <c r="DE40" i="21"/>
  <c r="DE123" i="21"/>
  <c r="DE93" i="21"/>
  <c r="DE88" i="21"/>
  <c r="DE113" i="21"/>
  <c r="DE111" i="21"/>
  <c r="DE170" i="21"/>
  <c r="DE142" i="21"/>
  <c r="DE28" i="21"/>
  <c r="DE59" i="21"/>
  <c r="DE191" i="21"/>
  <c r="DE105" i="21"/>
  <c r="DE94" i="21"/>
  <c r="DE18" i="21"/>
  <c r="DE55" i="21"/>
  <c r="DE56" i="21"/>
  <c r="DE172" i="21"/>
  <c r="DE196" i="21"/>
  <c r="DE143" i="21"/>
  <c r="DE96" i="21"/>
  <c r="DE201" i="21"/>
  <c r="DE92" i="21"/>
  <c r="DE75" i="21"/>
  <c r="DE70" i="21"/>
  <c r="DE44" i="21"/>
  <c r="DE117" i="21"/>
  <c r="DE41" i="21"/>
  <c r="DE90" i="21"/>
  <c r="DE116" i="21"/>
  <c r="DE152" i="21"/>
  <c r="DE52" i="21"/>
  <c r="DE169" i="21"/>
  <c r="DE39" i="21"/>
  <c r="DE62" i="21"/>
  <c r="DE97" i="21"/>
  <c r="DE76" i="21"/>
  <c r="DE141" i="21"/>
  <c r="DE100" i="21"/>
  <c r="DE17" i="21"/>
  <c r="DE140" i="21"/>
  <c r="DE68" i="21"/>
  <c r="DE134" i="21"/>
  <c r="DE37" i="21"/>
  <c r="DE24" i="21"/>
  <c r="DE129" i="21"/>
  <c r="DE77" i="21"/>
  <c r="DE50" i="21"/>
  <c r="DE148" i="21"/>
  <c r="DE103" i="21"/>
  <c r="DE108" i="21"/>
  <c r="DE23" i="21"/>
  <c r="DE164" i="21"/>
  <c r="DE193" i="21"/>
  <c r="DE175" i="21"/>
  <c r="DE73" i="21"/>
  <c r="DE151" i="21"/>
  <c r="DE58" i="21"/>
  <c r="DE130" i="21"/>
  <c r="DE69" i="21"/>
  <c r="DE72" i="21"/>
  <c r="DE87" i="21"/>
  <c r="DE146" i="21"/>
  <c r="DE109" i="21"/>
  <c r="DE21" i="21"/>
  <c r="DE166" i="21"/>
  <c r="DE199" i="21"/>
  <c r="DE167" i="21"/>
  <c r="DE48" i="21"/>
  <c r="DE198" i="21"/>
  <c r="DE124" i="21"/>
  <c r="DE65" i="21"/>
  <c r="DE171" i="21"/>
  <c r="DE186" i="21"/>
  <c r="DE144" i="21"/>
  <c r="DE86" i="21"/>
  <c r="DE20" i="21"/>
  <c r="DE115" i="21"/>
  <c r="DE84" i="21"/>
  <c r="DE136" i="21"/>
  <c r="DE98" i="21"/>
  <c r="DE192" i="21"/>
  <c r="DE189" i="21"/>
  <c r="DE165" i="21"/>
  <c r="DE161" i="21"/>
  <c r="DE182" i="21"/>
  <c r="DE34" i="21"/>
  <c r="DE99" i="21"/>
  <c r="DE80" i="21"/>
  <c r="DE81" i="21"/>
  <c r="DE119" i="21"/>
  <c r="DE61" i="21"/>
  <c r="DE122" i="21"/>
  <c r="DE112" i="21"/>
  <c r="DE79" i="21"/>
  <c r="DE54" i="21"/>
  <c r="DE31" i="21"/>
  <c r="DE25" i="21"/>
  <c r="DE154" i="21"/>
  <c r="DC27" i="21"/>
  <c r="DD27" i="21" s="1"/>
  <c r="DD118" i="21"/>
  <c r="DC118" i="21"/>
  <c r="DD74" i="21"/>
  <c r="DC74" i="21"/>
  <c r="DD40" i="21"/>
  <c r="DC40" i="21"/>
  <c r="DD123" i="21"/>
  <c r="DC123" i="21"/>
  <c r="DD93" i="21"/>
  <c r="DC93" i="21"/>
  <c r="DD88" i="21"/>
  <c r="DC88" i="21"/>
  <c r="DD113" i="21"/>
  <c r="DC113" i="21"/>
  <c r="DD111" i="21"/>
  <c r="DC111" i="21"/>
  <c r="DD170" i="21"/>
  <c r="DC170" i="21"/>
  <c r="DD142" i="21"/>
  <c r="DC142" i="21"/>
  <c r="DD28" i="21"/>
  <c r="DC28" i="21"/>
  <c r="DD59" i="21"/>
  <c r="DC59" i="21"/>
  <c r="DD191" i="21"/>
  <c r="DC191" i="21"/>
  <c r="DD105" i="21"/>
  <c r="DC105" i="21"/>
  <c r="DD94" i="21"/>
  <c r="DC94" i="21"/>
  <c r="DD149" i="21"/>
  <c r="DC149" i="21"/>
  <c r="DD168" i="21"/>
  <c r="DC168" i="21"/>
  <c r="DD145" i="21"/>
  <c r="DC145" i="21"/>
  <c r="DD55" i="21"/>
  <c r="DC55" i="21"/>
  <c r="DD56" i="21"/>
  <c r="DC56" i="21"/>
  <c r="DD172" i="21"/>
  <c r="DC172" i="21"/>
  <c r="DD196" i="21"/>
  <c r="DC196" i="21"/>
  <c r="DD143" i="21"/>
  <c r="DC143" i="21"/>
  <c r="DD96" i="21"/>
  <c r="DC96" i="21"/>
  <c r="DD201" i="21"/>
  <c r="DC201" i="21"/>
  <c r="DD92" i="21"/>
  <c r="DC92" i="21"/>
  <c r="DD75" i="21"/>
  <c r="DC75" i="21"/>
  <c r="DD70" i="21"/>
  <c r="DC70" i="21"/>
  <c r="DD44" i="21"/>
  <c r="DC44" i="21"/>
  <c r="DD117" i="21"/>
  <c r="DC117" i="21"/>
  <c r="DD41" i="21"/>
  <c r="DC41" i="21"/>
  <c r="DD120" i="21"/>
  <c r="DC120" i="21"/>
  <c r="DD183" i="21"/>
  <c r="DC183" i="21"/>
  <c r="DD87" i="21"/>
  <c r="DC87" i="21"/>
  <c r="DD116" i="21"/>
  <c r="DC116" i="21"/>
  <c r="DD152" i="21"/>
  <c r="DC152" i="21"/>
  <c r="DD52" i="21"/>
  <c r="DC52" i="21"/>
  <c r="DD169" i="21"/>
  <c r="DC169" i="21"/>
  <c r="DD39" i="21"/>
  <c r="DC39" i="21"/>
  <c r="DD62" i="21"/>
  <c r="DC62" i="21"/>
  <c r="DD97" i="21"/>
  <c r="DC97" i="21"/>
  <c r="DD76" i="21"/>
  <c r="DC76" i="21"/>
  <c r="DD141" i="21"/>
  <c r="DC141" i="21"/>
  <c r="DD100" i="21"/>
  <c r="DC100" i="21"/>
  <c r="DC17" i="21"/>
  <c r="DD17" i="21" s="1"/>
  <c r="DD140" i="21"/>
  <c r="DC140" i="21"/>
  <c r="DD68" i="21"/>
  <c r="DC68" i="21"/>
  <c r="DD134" i="21"/>
  <c r="DC134" i="21"/>
  <c r="DD37" i="21"/>
  <c r="DC37" i="21"/>
  <c r="DD102" i="21"/>
  <c r="DC102" i="21"/>
  <c r="DC18" i="21"/>
  <c r="DD18" i="21" s="1"/>
  <c r="DD148" i="21"/>
  <c r="DC148" i="21"/>
  <c r="DD103" i="21"/>
  <c r="DC103" i="21"/>
  <c r="DD108" i="21"/>
  <c r="DC108" i="21"/>
  <c r="DD23" i="21"/>
  <c r="DC23" i="21"/>
  <c r="DD164" i="21"/>
  <c r="DC164" i="21"/>
  <c r="DD193" i="21"/>
  <c r="DC193" i="21"/>
  <c r="DD175" i="21"/>
  <c r="DC175" i="21"/>
  <c r="DD73" i="21"/>
  <c r="DC73" i="21"/>
  <c r="DD151" i="21"/>
  <c r="DC151" i="21"/>
  <c r="DD58" i="21"/>
  <c r="DC58" i="21"/>
  <c r="DD130" i="21"/>
  <c r="DC130" i="21"/>
  <c r="DD69" i="21"/>
  <c r="DC69" i="21"/>
  <c r="DD38" i="21"/>
  <c r="DC38" i="21"/>
  <c r="DD190" i="21"/>
  <c r="DC190" i="21"/>
  <c r="DD129" i="21"/>
  <c r="DC129" i="21"/>
  <c r="DD146" i="21"/>
  <c r="DC146" i="21"/>
  <c r="DD109" i="21"/>
  <c r="DC109" i="21"/>
  <c r="DC21" i="21"/>
  <c r="DD21" i="21" s="1"/>
  <c r="DD166" i="21"/>
  <c r="DC166" i="21"/>
  <c r="DD199" i="21"/>
  <c r="DC199" i="21"/>
  <c r="DD167" i="21"/>
  <c r="DC167" i="21"/>
  <c r="DD48" i="21"/>
  <c r="DC48" i="21"/>
  <c r="DD198" i="21"/>
  <c r="DC198" i="21"/>
  <c r="DD124" i="21"/>
  <c r="DC124" i="21"/>
  <c r="DD65" i="21"/>
  <c r="DC65" i="21"/>
  <c r="DD171" i="21"/>
  <c r="DC171" i="21"/>
  <c r="DD186" i="21"/>
  <c r="DC186" i="21"/>
  <c r="DD144" i="21"/>
  <c r="DC144" i="21"/>
  <c r="DD86" i="21"/>
  <c r="DC86" i="21"/>
  <c r="DC20" i="21"/>
  <c r="DD20" i="21" s="1"/>
  <c r="DD115" i="21"/>
  <c r="DC115" i="21"/>
  <c r="DC19" i="21"/>
  <c r="DD19" i="21" s="1"/>
  <c r="DD50" i="21"/>
  <c r="DC50" i="21"/>
  <c r="DD178" i="21"/>
  <c r="DC178" i="21"/>
  <c r="DD126" i="21"/>
  <c r="DC126" i="21"/>
  <c r="DD155" i="21"/>
  <c r="DC155" i="21"/>
  <c r="DD203" i="21"/>
  <c r="DC203" i="21"/>
  <c r="DD165" i="21"/>
  <c r="DC165" i="21"/>
  <c r="DD72" i="21"/>
  <c r="DC72" i="21"/>
  <c r="DD84" i="21"/>
  <c r="DC84" i="21"/>
  <c r="DC24" i="21"/>
  <c r="DD24" i="21" s="1"/>
  <c r="DD89" i="21"/>
  <c r="DC89" i="21"/>
  <c r="DD161" i="21"/>
  <c r="DC161" i="21"/>
  <c r="DD136" i="21"/>
  <c r="DC136" i="21"/>
  <c r="DD98" i="21"/>
  <c r="DC98" i="21"/>
  <c r="DD192" i="21"/>
  <c r="DC192" i="21"/>
  <c r="DD189" i="21"/>
  <c r="DC189" i="21"/>
  <c r="DD173" i="21"/>
  <c r="DC173" i="21"/>
  <c r="DD114" i="21"/>
  <c r="DC114" i="21"/>
  <c r="DD77" i="21"/>
  <c r="DC77" i="21"/>
  <c r="DD182" i="21"/>
  <c r="DC182" i="21"/>
  <c r="DD34" i="21"/>
  <c r="DC34" i="21"/>
  <c r="DD99" i="21"/>
  <c r="DC99" i="21"/>
  <c r="DD80" i="21"/>
  <c r="DC80" i="21"/>
  <c r="DD81" i="21"/>
  <c r="DC81" i="21"/>
  <c r="DD119" i="21"/>
  <c r="DC119" i="21"/>
  <c r="DD61" i="21"/>
  <c r="DC61" i="21"/>
  <c r="DD122" i="21"/>
  <c r="DC122" i="21"/>
  <c r="DD112" i="21"/>
  <c r="DC112" i="21"/>
  <c r="DD79" i="21"/>
  <c r="DC79" i="21"/>
  <c r="DD54" i="21"/>
  <c r="DC54" i="21"/>
  <c r="DD31" i="21"/>
  <c r="DC31" i="21"/>
  <c r="DD25" i="21"/>
  <c r="DC25" i="21"/>
  <c r="DD154" i="21"/>
  <c r="DC154" i="21"/>
  <c r="DD177" i="21"/>
  <c r="DC177" i="21"/>
  <c r="DD85" i="21"/>
  <c r="DC85" i="21"/>
  <c r="DD158" i="21"/>
  <c r="DC158" i="21"/>
  <c r="DD180" i="21"/>
  <c r="DC180" i="21"/>
  <c r="DD33" i="21"/>
  <c r="DC33" i="21"/>
  <c r="DD197" i="21"/>
  <c r="DC197" i="21"/>
  <c r="DD51" i="21"/>
  <c r="DC51" i="21"/>
  <c r="DD35" i="21"/>
  <c r="DC35" i="21"/>
  <c r="DD106" i="21"/>
  <c r="DC106" i="21"/>
  <c r="DD78" i="21"/>
  <c r="DC78" i="21"/>
  <c r="DD153" i="21"/>
  <c r="DC153" i="21"/>
  <c r="DC13" i="21"/>
  <c r="DD13" i="21" s="1"/>
  <c r="DD187" i="21"/>
  <c r="DC187" i="21"/>
  <c r="DD57" i="21"/>
  <c r="DC57" i="21"/>
  <c r="DD174" i="21"/>
  <c r="DC174" i="21"/>
  <c r="DD159" i="21"/>
  <c r="DC159" i="21"/>
  <c r="DD135" i="21"/>
  <c r="DC135" i="21"/>
  <c r="DD67" i="21"/>
  <c r="DC67" i="21"/>
  <c r="DD137" i="21"/>
  <c r="DC137" i="21"/>
  <c r="DD184" i="21"/>
  <c r="DC184" i="21"/>
  <c r="DD121" i="21"/>
  <c r="DC121" i="21"/>
  <c r="DD110" i="21"/>
  <c r="DC110" i="21"/>
  <c r="DD66" i="21"/>
  <c r="DC66" i="21"/>
  <c r="DD104" i="21"/>
  <c r="DC104" i="21"/>
  <c r="DD138" i="21"/>
  <c r="DC138" i="21"/>
  <c r="DD200" i="21"/>
  <c r="DC200" i="21"/>
  <c r="DD181" i="21"/>
  <c r="DC181" i="21"/>
  <c r="DD101" i="21"/>
  <c r="DC101" i="21"/>
  <c r="DD32" i="21"/>
  <c r="DC32" i="21"/>
  <c r="DD156" i="21"/>
  <c r="DC156" i="21"/>
  <c r="DD125" i="21"/>
  <c r="DC125" i="21"/>
  <c r="DD185" i="21"/>
  <c r="DC185" i="21"/>
  <c r="DC15" i="21"/>
  <c r="DD15" i="21" s="1"/>
  <c r="DD64" i="21"/>
  <c r="DC64" i="21"/>
  <c r="DD127" i="21"/>
  <c r="DC127" i="21"/>
  <c r="DD83" i="21"/>
  <c r="DC83" i="21"/>
  <c r="DD157" i="21"/>
  <c r="DC157" i="21"/>
  <c r="DD46" i="21"/>
  <c r="DC46" i="21"/>
  <c r="DD91" i="21"/>
  <c r="DC91" i="21"/>
  <c r="DD131" i="21"/>
  <c r="DC131" i="21"/>
  <c r="DD139" i="21"/>
  <c r="DC139" i="21"/>
  <c r="DD133" i="21"/>
  <c r="DC133" i="21"/>
  <c r="DD29" i="21"/>
  <c r="DC29" i="21"/>
  <c r="DC26" i="21"/>
  <c r="DD26" i="21" s="1"/>
  <c r="DD82" i="21"/>
  <c r="DC82" i="21"/>
  <c r="DD90" i="21"/>
  <c r="DC90" i="21"/>
  <c r="DD53" i="21"/>
  <c r="DC53" i="21"/>
  <c r="DD43" i="21"/>
  <c r="DC43" i="21"/>
  <c r="DD30" i="21"/>
  <c r="DC30" i="21"/>
  <c r="DD150" i="21"/>
  <c r="DC150" i="21"/>
  <c r="DD202" i="21"/>
  <c r="DC202" i="21"/>
  <c r="DD194" i="21"/>
  <c r="DC194" i="21"/>
  <c r="DC14" i="21"/>
  <c r="DD14" i="21" s="1"/>
  <c r="DC16" i="21"/>
  <c r="DD16" i="21" s="1"/>
  <c r="DD195" i="21"/>
  <c r="DC195" i="21"/>
  <c r="DD107" i="21"/>
  <c r="DC107" i="21"/>
  <c r="DD132" i="21"/>
  <c r="DC132" i="21"/>
  <c r="DD45" i="21"/>
  <c r="DC45" i="21"/>
  <c r="DD163" i="21"/>
  <c r="DC163" i="21"/>
  <c r="DD95" i="21"/>
  <c r="DC95" i="21"/>
  <c r="DD63" i="21"/>
  <c r="DC63" i="21"/>
  <c r="DD47" i="21"/>
  <c r="DC47" i="21"/>
  <c r="DA27" i="21"/>
  <c r="DA114" i="21"/>
  <c r="DA118" i="21"/>
  <c r="DA74" i="21"/>
  <c r="DA40" i="21"/>
  <c r="DA123" i="21"/>
  <c r="DA93" i="21"/>
  <c r="DA88" i="21"/>
  <c r="DA113" i="21"/>
  <c r="DA111" i="21"/>
  <c r="DA170" i="21"/>
  <c r="DA142" i="21"/>
  <c r="DA28" i="21"/>
  <c r="DA59" i="21"/>
  <c r="DA191" i="21"/>
  <c r="DA105" i="21"/>
  <c r="DA94" i="21"/>
  <c r="DA173" i="21"/>
  <c r="DA55" i="21"/>
  <c r="DA56" i="21"/>
  <c r="DA172" i="21"/>
  <c r="DA196" i="21"/>
  <c r="DA143" i="21"/>
  <c r="DA96" i="21"/>
  <c r="DA201" i="21"/>
  <c r="DA92" i="21"/>
  <c r="DA75" i="21"/>
  <c r="DA70" i="21"/>
  <c r="DA44" i="21"/>
  <c r="DA117" i="21"/>
  <c r="DA41" i="21"/>
  <c r="DA177" i="21"/>
  <c r="DA183" i="21"/>
  <c r="DA87" i="21"/>
  <c r="DA116" i="21"/>
  <c r="DA152" i="21"/>
  <c r="DA52" i="21"/>
  <c r="DA169" i="21"/>
  <c r="DA39" i="21"/>
  <c r="DA62" i="21"/>
  <c r="DA97" i="21"/>
  <c r="DA76" i="21"/>
  <c r="DA141" i="21"/>
  <c r="DA100" i="21"/>
  <c r="DA17" i="21"/>
  <c r="DA140" i="21"/>
  <c r="DA68" i="21"/>
  <c r="DA134" i="21"/>
  <c r="DA37" i="21"/>
  <c r="DA168" i="21"/>
  <c r="DA18" i="21"/>
  <c r="DA129" i="21"/>
  <c r="DA77" i="21"/>
  <c r="DA50" i="21"/>
  <c r="DA148" i="21"/>
  <c r="DA103" i="21"/>
  <c r="DA108" i="21"/>
  <c r="DA23" i="21"/>
  <c r="DA164" i="21"/>
  <c r="DA193" i="21"/>
  <c r="DA175" i="21"/>
  <c r="DA73" i="21"/>
  <c r="DA151" i="21"/>
  <c r="DA58" i="21"/>
  <c r="DA130" i="21"/>
  <c r="DA69" i="21"/>
  <c r="DA85" i="21"/>
  <c r="DA146" i="21"/>
  <c r="DA166" i="21"/>
  <c r="DA199" i="21"/>
  <c r="DA167" i="21"/>
  <c r="DA48" i="21"/>
  <c r="DA198" i="21"/>
  <c r="DA124" i="21"/>
  <c r="DA65" i="21"/>
  <c r="DA171" i="21"/>
  <c r="DA186" i="21"/>
  <c r="DA144" i="21"/>
  <c r="DA86" i="21"/>
  <c r="DA20" i="21"/>
  <c r="DA115" i="21"/>
  <c r="DA120" i="21"/>
  <c r="DA145" i="21"/>
  <c r="DA109" i="21"/>
  <c r="DA178" i="21"/>
  <c r="DA126" i="21"/>
  <c r="DA155" i="21"/>
  <c r="DA203" i="21"/>
  <c r="DA165" i="21"/>
  <c r="DA72" i="21"/>
  <c r="DA84" i="21"/>
  <c r="DA24" i="21"/>
  <c r="DA89" i="21"/>
  <c r="DA161" i="21"/>
  <c r="DA136" i="21"/>
  <c r="DA98" i="21"/>
  <c r="DA192" i="21"/>
  <c r="DA189" i="21"/>
  <c r="DA102" i="21"/>
  <c r="DA21" i="21"/>
  <c r="DA182" i="21"/>
  <c r="DA34" i="21"/>
  <c r="DA99" i="21"/>
  <c r="DA80" i="21"/>
  <c r="DA81" i="21"/>
  <c r="DA119" i="21"/>
  <c r="DA61" i="21"/>
  <c r="DA122" i="21"/>
  <c r="DA112" i="21"/>
  <c r="DA79" i="21"/>
  <c r="DA54" i="21"/>
  <c r="DA31" i="21"/>
  <c r="DA25" i="21"/>
  <c r="DA154" i="21"/>
  <c r="DA38" i="21"/>
  <c r="DA158" i="21"/>
  <c r="DA180" i="21"/>
  <c r="DA33" i="21"/>
  <c r="DA197" i="21"/>
  <c r="DA51" i="21"/>
  <c r="DA35" i="21"/>
  <c r="DA106" i="21"/>
  <c r="DA78" i="21"/>
  <c r="DA153" i="21"/>
  <c r="DA13" i="21"/>
  <c r="DA187" i="21"/>
  <c r="DA57" i="21"/>
  <c r="DA174" i="21"/>
  <c r="DA159" i="21"/>
  <c r="DA135" i="21"/>
  <c r="DA67" i="21"/>
  <c r="DA137" i="21"/>
  <c r="DA184" i="21"/>
  <c r="DA121" i="21"/>
  <c r="DA110" i="21"/>
  <c r="DA66" i="21"/>
  <c r="DA104" i="21"/>
  <c r="DA138" i="21"/>
  <c r="DA200" i="21"/>
  <c r="DA181" i="21"/>
  <c r="DA101" i="21"/>
  <c r="DA32" i="21"/>
  <c r="DA156" i="21"/>
  <c r="DA125" i="21"/>
  <c r="DA185" i="21"/>
  <c r="DA15" i="21"/>
  <c r="DA19" i="21"/>
  <c r="DA90" i="21"/>
  <c r="DA64" i="21"/>
  <c r="DA53" i="21"/>
  <c r="DA127" i="21"/>
  <c r="DA83" i="21"/>
  <c r="DA157" i="21"/>
  <c r="DA46" i="21"/>
  <c r="DA91" i="21"/>
  <c r="DA131" i="21"/>
  <c r="DA139" i="21"/>
  <c r="DA133" i="21"/>
  <c r="DA29" i="21"/>
  <c r="DA26" i="21"/>
  <c r="DA82" i="21"/>
  <c r="DA149" i="21"/>
  <c r="DA190" i="21"/>
  <c r="DA43" i="21"/>
  <c r="DA30" i="21"/>
  <c r="DA150" i="21"/>
  <c r="DA202" i="21"/>
  <c r="DA194" i="21"/>
  <c r="DA14" i="21"/>
  <c r="DA16" i="21"/>
  <c r="DA195" i="21"/>
  <c r="DA107" i="21"/>
  <c r="DA132" i="21"/>
  <c r="DA45" i="21"/>
  <c r="DA163" i="21"/>
  <c r="DA95" i="21"/>
  <c r="DA63" i="21"/>
  <c r="DA47" i="21"/>
  <c r="CZ168" i="21"/>
  <c r="CZ118" i="21"/>
  <c r="CZ74" i="21"/>
  <c r="CZ40" i="21"/>
  <c r="CZ123" i="21"/>
  <c r="CZ93" i="21"/>
  <c r="CZ88" i="21"/>
  <c r="CZ113" i="21"/>
  <c r="CZ111" i="21"/>
  <c r="CZ170" i="21"/>
  <c r="CZ142" i="21"/>
  <c r="CZ28" i="21"/>
  <c r="CZ59" i="21"/>
  <c r="CZ191" i="21"/>
  <c r="CZ105" i="21"/>
  <c r="CZ94" i="21"/>
  <c r="CZ149" i="21"/>
  <c r="CZ190" i="21"/>
  <c r="CZ55" i="21"/>
  <c r="CZ56" i="21"/>
  <c r="CZ172" i="21"/>
  <c r="CZ196" i="21"/>
  <c r="CZ143" i="21"/>
  <c r="CZ96" i="21"/>
  <c r="CZ201" i="21"/>
  <c r="CZ92" i="21"/>
  <c r="CZ75" i="21"/>
  <c r="CZ70" i="21"/>
  <c r="CZ44" i="21"/>
  <c r="CZ117" i="21"/>
  <c r="CZ41" i="21"/>
  <c r="CZ102" i="21"/>
  <c r="CZ114" i="21"/>
  <c r="CZ87" i="21"/>
  <c r="CZ116" i="21"/>
  <c r="CZ152" i="21"/>
  <c r="CZ52" i="21"/>
  <c r="CZ169" i="21"/>
  <c r="CZ39" i="21"/>
  <c r="CZ62" i="21"/>
  <c r="CZ97" i="21"/>
  <c r="CZ76" i="21"/>
  <c r="CZ141" i="21"/>
  <c r="CZ100" i="21"/>
  <c r="CZ140" i="21"/>
  <c r="CZ68" i="21"/>
  <c r="CZ134" i="21"/>
  <c r="CZ37" i="21"/>
  <c r="CZ173" i="21"/>
  <c r="CZ129" i="21"/>
  <c r="CZ77" i="21"/>
  <c r="CZ50" i="21"/>
  <c r="CZ148" i="21"/>
  <c r="CZ103" i="21"/>
  <c r="CZ108" i="21"/>
  <c r="CZ164" i="21"/>
  <c r="CZ193" i="21"/>
  <c r="CZ175" i="21"/>
  <c r="CZ73" i="21"/>
  <c r="CZ151" i="21"/>
  <c r="CZ58" i="21"/>
  <c r="CZ130" i="21"/>
  <c r="CZ69" i="21"/>
  <c r="CZ166" i="21"/>
  <c r="CZ199" i="21"/>
  <c r="CZ167" i="21"/>
  <c r="CZ48" i="21"/>
  <c r="CZ198" i="21"/>
  <c r="CZ124" i="21"/>
  <c r="CZ65" i="21"/>
  <c r="CZ171" i="21"/>
  <c r="CZ186" i="21"/>
  <c r="CZ144" i="21"/>
  <c r="CZ86" i="21"/>
  <c r="CZ115" i="21"/>
  <c r="CZ38" i="21"/>
  <c r="CZ145" i="21"/>
  <c r="CZ109" i="21"/>
  <c r="CZ178" i="21"/>
  <c r="CZ126" i="21"/>
  <c r="CZ155" i="21"/>
  <c r="CZ203" i="21"/>
  <c r="CZ165" i="21"/>
  <c r="CZ72" i="21"/>
  <c r="CZ84" i="21"/>
  <c r="CZ89" i="21"/>
  <c r="CZ161" i="21"/>
  <c r="CZ136" i="21"/>
  <c r="CZ98" i="21"/>
  <c r="CZ192" i="21"/>
  <c r="CZ189" i="21"/>
  <c r="CZ146" i="21"/>
  <c r="CZ182" i="21"/>
  <c r="CZ34" i="21"/>
  <c r="CZ99" i="21"/>
  <c r="CZ80" i="21"/>
  <c r="CZ81" i="21"/>
  <c r="CZ119" i="21"/>
  <c r="CZ61" i="21"/>
  <c r="CZ122" i="21"/>
  <c r="CZ112" i="21"/>
  <c r="CZ79" i="21"/>
  <c r="CZ54" i="21"/>
  <c r="CZ31" i="21"/>
  <c r="CZ154" i="21"/>
  <c r="CZ85" i="21"/>
  <c r="CZ158" i="21"/>
  <c r="CZ180" i="21"/>
  <c r="CZ33" i="21"/>
  <c r="CZ197" i="21"/>
  <c r="CZ51" i="21"/>
  <c r="CZ35" i="21"/>
  <c r="CZ106" i="21"/>
  <c r="CZ78" i="21"/>
  <c r="CZ153" i="21"/>
  <c r="CZ187" i="21"/>
  <c r="CZ57" i="21"/>
  <c r="CZ174" i="21"/>
  <c r="CZ159" i="21"/>
  <c r="CZ135" i="21"/>
  <c r="CZ177" i="21"/>
  <c r="CZ183" i="21"/>
  <c r="CZ184" i="21"/>
  <c r="CZ121" i="21"/>
  <c r="CZ110" i="21"/>
  <c r="CZ66" i="21"/>
  <c r="CZ104" i="21"/>
  <c r="CZ138" i="21"/>
  <c r="CZ200" i="21"/>
  <c r="CZ181" i="21"/>
  <c r="CZ101" i="21"/>
  <c r="CZ32" i="21"/>
  <c r="CZ156" i="21"/>
  <c r="CZ125" i="21"/>
  <c r="CZ185" i="21"/>
  <c r="CZ120" i="21"/>
  <c r="CZ137" i="21"/>
  <c r="CZ90" i="21"/>
  <c r="CZ64" i="21"/>
  <c r="CZ53" i="21"/>
  <c r="CZ127" i="21"/>
  <c r="CZ83" i="21"/>
  <c r="CZ157" i="21"/>
  <c r="CZ46" i="21"/>
  <c r="CZ91" i="21"/>
  <c r="CZ131" i="21"/>
  <c r="CZ139" i="21"/>
  <c r="CZ133" i="21"/>
  <c r="CZ29" i="21"/>
  <c r="CZ82" i="21"/>
  <c r="CZ67" i="21"/>
  <c r="CZ43" i="21"/>
  <c r="CZ30" i="21"/>
  <c r="CZ150" i="21"/>
  <c r="CZ202" i="21"/>
  <c r="CZ194" i="21"/>
  <c r="CZ195" i="21"/>
  <c r="CZ107" i="21"/>
  <c r="CZ132" i="21"/>
  <c r="CZ45" i="21"/>
  <c r="CZ163" i="21"/>
  <c r="CZ95" i="21"/>
  <c r="CZ63" i="21"/>
  <c r="CZ47" i="21"/>
  <c r="U12" i="21"/>
  <c r="R12" i="21"/>
  <c r="R5" i="21"/>
  <c r="U5" i="21"/>
  <c r="U7" i="21"/>
  <c r="R7" i="21"/>
  <c r="R4" i="21"/>
  <c r="U4" i="21"/>
  <c r="R8" i="21"/>
  <c r="U8" i="21"/>
  <c r="U11" i="21"/>
  <c r="R11" i="21"/>
  <c r="U9" i="21"/>
  <c r="R9" i="21"/>
  <c r="U6" i="21"/>
  <c r="R6" i="21"/>
  <c r="C208" i="17"/>
  <c r="AC1" i="17"/>
  <c r="BU162" i="21" l="1"/>
  <c r="DB162" i="21" s="1"/>
  <c r="BU49" i="21"/>
  <c r="DB49" i="21" s="1"/>
  <c r="BU147" i="21"/>
  <c r="DB147" i="21" s="1"/>
  <c r="BU36" i="21"/>
  <c r="DB36" i="21" s="1"/>
  <c r="BU128" i="21"/>
  <c r="DB128" i="21" s="1"/>
  <c r="BU176" i="21"/>
  <c r="DB176" i="21" s="1"/>
  <c r="BU71" i="21"/>
  <c r="DB71" i="21" s="1"/>
  <c r="BU22" i="21"/>
  <c r="DB22" i="21" s="1"/>
  <c r="BU42" i="21"/>
  <c r="DB42" i="21" s="1"/>
  <c r="BU188" i="21"/>
  <c r="DB188" i="21" s="1"/>
  <c r="BU60" i="21"/>
  <c r="DB60" i="21" s="1"/>
  <c r="BU179" i="21"/>
  <c r="DB179" i="21" s="1"/>
  <c r="BU160" i="21"/>
  <c r="DB160" i="21" s="1"/>
  <c r="BU10" i="21"/>
  <c r="DB10" i="21" s="1"/>
  <c r="R10" i="21"/>
  <c r="CZ188" i="21"/>
  <c r="DA42" i="21"/>
  <c r="CZ71" i="21"/>
  <c r="CZ160" i="21"/>
  <c r="CZ42" i="21"/>
  <c r="DA22" i="21"/>
  <c r="U10" i="21"/>
  <c r="CZ49" i="21"/>
  <c r="DA49" i="21"/>
  <c r="CZ179" i="21"/>
  <c r="DA160" i="21"/>
  <c r="DD160" i="21"/>
  <c r="DA188" i="21"/>
  <c r="CZ176" i="21"/>
  <c r="DC22" i="21"/>
  <c r="DD22" i="21" s="1"/>
  <c r="DC160" i="21"/>
  <c r="DA179" i="21"/>
  <c r="DC71" i="21"/>
  <c r="DE160" i="21"/>
  <c r="DD128" i="21"/>
  <c r="DD71" i="21"/>
  <c r="DC10" i="21"/>
  <c r="DD10" i="21" s="1"/>
  <c r="CZ36" i="21"/>
  <c r="DC188" i="21"/>
  <c r="DE10" i="21"/>
  <c r="DC179" i="21"/>
  <c r="DD49" i="21"/>
  <c r="DD179" i="21"/>
  <c r="DC49" i="21"/>
  <c r="DE179" i="21"/>
  <c r="DE71" i="21"/>
  <c r="DC176" i="21"/>
  <c r="DE176" i="21"/>
  <c r="CZ162" i="21"/>
  <c r="DC128" i="21"/>
  <c r="DE22" i="21"/>
  <c r="DA128" i="21"/>
  <c r="DD36" i="21"/>
  <c r="DD42" i="21"/>
  <c r="CZ128" i="21"/>
  <c r="DA36" i="21"/>
  <c r="DD162" i="21"/>
  <c r="DA147" i="21"/>
  <c r="DA71" i="21"/>
  <c r="DC42" i="21"/>
  <c r="DE188" i="21"/>
  <c r="P2" i="21"/>
  <c r="Q2" i="21" s="1" a="1"/>
  <c r="Q2" i="21" s="1"/>
  <c r="DA176" i="21"/>
  <c r="DC147" i="21"/>
  <c r="DD188" i="21"/>
  <c r="DE42" i="21"/>
  <c r="DA10" i="21"/>
  <c r="DD147" i="21"/>
  <c r="CZ147" i="21"/>
  <c r="DE147" i="21"/>
  <c r="DE128" i="21"/>
  <c r="DE60" i="21"/>
  <c r="DA60" i="21"/>
  <c r="DC60" i="21"/>
  <c r="CZ60" i="21"/>
  <c r="DD60" i="21"/>
  <c r="DD176" i="21"/>
  <c r="DA162" i="21"/>
  <c r="DC162" i="21"/>
  <c r="DE49" i="21"/>
  <c r="DE162" i="21"/>
  <c r="DC36" i="21"/>
  <c r="DE36" i="21"/>
  <c r="C209" i="17"/>
  <c r="AD1" i="17"/>
  <c r="C210" i="17" l="1"/>
  <c r="AE1" i="17"/>
  <c r="C211" i="17" l="1"/>
  <c r="AF1" i="17"/>
  <c r="C212" i="17" l="1"/>
  <c r="AG1" i="17"/>
  <c r="C213" i="17" l="1"/>
  <c r="AH1" i="17"/>
  <c r="C214" i="17" l="1"/>
  <c r="AI1" i="17"/>
  <c r="C215" i="17" l="1"/>
  <c r="AJ1" i="17"/>
  <c r="C216" i="17" l="1"/>
  <c r="AK1" i="17"/>
  <c r="C217" i="17" l="1"/>
  <c r="AL1" i="17"/>
  <c r="C218" i="17" l="1"/>
  <c r="AM1" i="17"/>
  <c r="C219" i="17" l="1"/>
  <c r="AN1" i="17"/>
  <c r="C220" i="17" l="1"/>
  <c r="AO1" i="17"/>
  <c r="C221" i="17" l="1"/>
  <c r="AP1" i="17"/>
  <c r="C222" i="17" l="1"/>
  <c r="AQ1" i="17"/>
  <c r="C223" i="17" l="1"/>
  <c r="AR1" i="17"/>
  <c r="C224" i="17" l="1"/>
  <c r="AS1" i="17"/>
  <c r="C225" i="17" l="1"/>
  <c r="AT1" i="17"/>
  <c r="C226" i="17" l="1"/>
  <c r="AU1" i="17"/>
  <c r="C227" i="17" l="1"/>
  <c r="AV1" i="17"/>
  <c r="C228" i="17" l="1"/>
  <c r="AW1" i="17"/>
  <c r="C229" i="17" l="1"/>
  <c r="AX1" i="17"/>
  <c r="C230" i="17" l="1"/>
  <c r="AY1" i="17"/>
  <c r="C231" i="17" l="1"/>
  <c r="AZ1" i="17"/>
  <c r="C232" i="17" l="1"/>
  <c r="BA1" i="17"/>
  <c r="C233" i="17" l="1"/>
  <c r="C234" i="17" l="1"/>
  <c r="C17" i="12"/>
  <c r="C196" i="12"/>
  <c r="H183" i="21" s="1"/>
  <c r="C190" i="12"/>
  <c r="H177" i="21" s="1"/>
  <c r="C184" i="12"/>
  <c r="H171" i="21" s="1"/>
  <c r="C178" i="12"/>
  <c r="H165" i="21" s="1"/>
  <c r="C172" i="12"/>
  <c r="H159" i="21" s="1"/>
  <c r="C166" i="12"/>
  <c r="H153" i="21" s="1"/>
  <c r="C160" i="12"/>
  <c r="H147" i="21" s="1"/>
  <c r="C154" i="12"/>
  <c r="H141" i="21" s="1"/>
  <c r="C148" i="12"/>
  <c r="H135" i="21" s="1"/>
  <c r="C142" i="12"/>
  <c r="H129" i="21" s="1"/>
  <c r="C136" i="12"/>
  <c r="H123" i="21" s="1"/>
  <c r="C130" i="12"/>
  <c r="H117" i="21" s="1"/>
  <c r="C124" i="12"/>
  <c r="H111" i="21" s="1"/>
  <c r="C118" i="12"/>
  <c r="H105" i="21" s="1"/>
  <c r="C112" i="12"/>
  <c r="H99" i="21" s="1"/>
  <c r="C106" i="12"/>
  <c r="H93" i="21" s="1"/>
  <c r="C100" i="12"/>
  <c r="H87" i="21" s="1"/>
  <c r="C94" i="12"/>
  <c r="H81" i="21" s="1"/>
  <c r="C88" i="12"/>
  <c r="H75" i="21" s="1"/>
  <c r="C82" i="12"/>
  <c r="H69" i="21" s="1"/>
  <c r="C76" i="12"/>
  <c r="H63" i="21" s="1"/>
  <c r="C70" i="12"/>
  <c r="H57" i="21" s="1"/>
  <c r="C64" i="12"/>
  <c r="H51" i="21" s="1"/>
  <c r="C58" i="12"/>
  <c r="H45" i="21" s="1"/>
  <c r="C52" i="12"/>
  <c r="H39" i="21" s="1"/>
  <c r="C46" i="12"/>
  <c r="H33" i="21" s="1"/>
  <c r="C40" i="12"/>
  <c r="H27" i="21" s="1"/>
  <c r="CZ27" i="21" s="1"/>
  <c r="C34" i="12"/>
  <c r="H21" i="21" s="1"/>
  <c r="CZ21" i="21" s="1"/>
  <c r="C22" i="12"/>
  <c r="H9" i="21" s="1"/>
  <c r="CZ9" i="21" s="1"/>
  <c r="C195" i="12"/>
  <c r="H182" i="21" s="1"/>
  <c r="C189" i="12"/>
  <c r="H176" i="21" s="1"/>
  <c r="C183" i="12"/>
  <c r="H170" i="21" s="1"/>
  <c r="C177" i="12"/>
  <c r="H164" i="21" s="1"/>
  <c r="C171" i="12"/>
  <c r="H158" i="21" s="1"/>
  <c r="C165" i="12"/>
  <c r="H152" i="21" s="1"/>
  <c r="C159" i="12"/>
  <c r="H146" i="21" s="1"/>
  <c r="C153" i="12"/>
  <c r="H140" i="21" s="1"/>
  <c r="C147" i="12"/>
  <c r="H134" i="21" s="1"/>
  <c r="C141" i="12"/>
  <c r="H128" i="21" s="1"/>
  <c r="C135" i="12"/>
  <c r="H122" i="21" s="1"/>
  <c r="C129" i="12"/>
  <c r="H116" i="21" s="1"/>
  <c r="C123" i="12"/>
  <c r="H110" i="21" s="1"/>
  <c r="C117" i="12"/>
  <c r="H104" i="21" s="1"/>
  <c r="C111" i="12"/>
  <c r="H98" i="21" s="1"/>
  <c r="C105" i="12"/>
  <c r="H92" i="21" s="1"/>
  <c r="C99" i="12"/>
  <c r="H86" i="21" s="1"/>
  <c r="C93" i="12"/>
  <c r="H80" i="21" s="1"/>
  <c r="C87" i="12"/>
  <c r="H74" i="21" s="1"/>
  <c r="C81" i="12"/>
  <c r="H68" i="21" s="1"/>
  <c r="C75" i="12"/>
  <c r="H62" i="21" s="1"/>
  <c r="C69" i="12"/>
  <c r="H56" i="21" s="1"/>
  <c r="C63" i="12"/>
  <c r="H50" i="21" s="1"/>
  <c r="C57" i="12"/>
  <c r="H44" i="21" s="1"/>
  <c r="C51" i="12"/>
  <c r="H38" i="21" s="1"/>
  <c r="C45" i="12"/>
  <c r="H32" i="21" s="1"/>
  <c r="C39" i="12"/>
  <c r="H26" i="21" s="1"/>
  <c r="CZ26" i="21" s="1"/>
  <c r="C33" i="12"/>
  <c r="H20" i="21" s="1"/>
  <c r="CZ20" i="21" s="1"/>
  <c r="C27" i="12"/>
  <c r="H14" i="21" s="1"/>
  <c r="CZ14" i="21" s="1"/>
  <c r="C21" i="12"/>
  <c r="H8" i="21" s="1"/>
  <c r="CZ8" i="21" s="1"/>
  <c r="C194" i="12"/>
  <c r="H181" i="21" s="1"/>
  <c r="C188" i="12"/>
  <c r="H175" i="21" s="1"/>
  <c r="C182" i="12"/>
  <c r="H169" i="21" s="1"/>
  <c r="C176" i="12"/>
  <c r="H163" i="21" s="1"/>
  <c r="C170" i="12"/>
  <c r="H157" i="21" s="1"/>
  <c r="C164" i="12"/>
  <c r="H151" i="21" s="1"/>
  <c r="C158" i="12"/>
  <c r="H145" i="21" s="1"/>
  <c r="C152" i="12"/>
  <c r="H139" i="21" s="1"/>
  <c r="C146" i="12"/>
  <c r="H133" i="21" s="1"/>
  <c r="C140" i="12"/>
  <c r="H127" i="21" s="1"/>
  <c r="C134" i="12"/>
  <c r="H121" i="21" s="1"/>
  <c r="C128" i="12"/>
  <c r="H115" i="21" s="1"/>
  <c r="C122" i="12"/>
  <c r="H109" i="21" s="1"/>
  <c r="C116" i="12"/>
  <c r="H103" i="21" s="1"/>
  <c r="C110" i="12"/>
  <c r="H97" i="21" s="1"/>
  <c r="C104" i="12"/>
  <c r="H91" i="21" s="1"/>
  <c r="C98" i="12"/>
  <c r="H85" i="21" s="1"/>
  <c r="C92" i="12"/>
  <c r="H79" i="21" s="1"/>
  <c r="C86" i="12"/>
  <c r="H73" i="21" s="1"/>
  <c r="C80" i="12"/>
  <c r="H67" i="21" s="1"/>
  <c r="C74" i="12"/>
  <c r="H61" i="21" s="1"/>
  <c r="C68" i="12"/>
  <c r="H55" i="21" s="1"/>
  <c r="C62" i="12"/>
  <c r="H49" i="21" s="1"/>
  <c r="C56" i="12"/>
  <c r="H43" i="21" s="1"/>
  <c r="C50" i="12"/>
  <c r="H37" i="21" s="1"/>
  <c r="C44" i="12"/>
  <c r="H31" i="21" s="1"/>
  <c r="C38" i="12"/>
  <c r="H25" i="21" s="1"/>
  <c r="CZ25" i="21" s="1"/>
  <c r="C32" i="12"/>
  <c r="H19" i="21" s="1"/>
  <c r="CZ19" i="21" s="1"/>
  <c r="C26" i="12"/>
  <c r="H13" i="21" s="1"/>
  <c r="CZ13" i="21" s="1"/>
  <c r="C20" i="12"/>
  <c r="H7" i="21" s="1"/>
  <c r="CZ7" i="21" s="1"/>
  <c r="C193" i="12"/>
  <c r="H180" i="21" s="1"/>
  <c r="C187" i="12"/>
  <c r="H174" i="21" s="1"/>
  <c r="C181" i="12"/>
  <c r="H168" i="21" s="1"/>
  <c r="C175" i="12"/>
  <c r="H162" i="21" s="1"/>
  <c r="C169" i="12"/>
  <c r="H156" i="21" s="1"/>
  <c r="C163" i="12"/>
  <c r="H150" i="21" s="1"/>
  <c r="C157" i="12"/>
  <c r="H144" i="21" s="1"/>
  <c r="C151" i="12"/>
  <c r="H138" i="21" s="1"/>
  <c r="C145" i="12"/>
  <c r="H132" i="21" s="1"/>
  <c r="C139" i="12"/>
  <c r="H126" i="21" s="1"/>
  <c r="C133" i="12"/>
  <c r="H120" i="21" s="1"/>
  <c r="C127" i="12"/>
  <c r="H114" i="21" s="1"/>
  <c r="C121" i="12"/>
  <c r="H108" i="21" s="1"/>
  <c r="C115" i="12"/>
  <c r="H102" i="21" s="1"/>
  <c r="C109" i="12"/>
  <c r="H96" i="21" s="1"/>
  <c r="C103" i="12"/>
  <c r="H90" i="21" s="1"/>
  <c r="C97" i="12"/>
  <c r="H84" i="21" s="1"/>
  <c r="C91" i="12"/>
  <c r="H78" i="21" s="1"/>
  <c r="C85" i="12"/>
  <c r="H72" i="21" s="1"/>
  <c r="C79" i="12"/>
  <c r="H66" i="21" s="1"/>
  <c r="C73" i="12"/>
  <c r="H60" i="21" s="1"/>
  <c r="C67" i="12"/>
  <c r="H54" i="21" s="1"/>
  <c r="C61" i="12"/>
  <c r="H48" i="21" s="1"/>
  <c r="C55" i="12"/>
  <c r="H42" i="21" s="1"/>
  <c r="C49" i="12"/>
  <c r="H36" i="21" s="1"/>
  <c r="C43" i="12"/>
  <c r="H30" i="21" s="1"/>
  <c r="C37" i="12"/>
  <c r="H24" i="21" s="1"/>
  <c r="CZ24" i="21" s="1"/>
  <c r="C31" i="12"/>
  <c r="H18" i="21" s="1"/>
  <c r="CZ18" i="21" s="1"/>
  <c r="C25" i="12"/>
  <c r="H12" i="21" s="1"/>
  <c r="CZ12" i="21" s="1"/>
  <c r="C19" i="12"/>
  <c r="H6" i="21" s="1"/>
  <c r="C192" i="12"/>
  <c r="H179" i="21" s="1"/>
  <c r="C186" i="12"/>
  <c r="H173" i="21" s="1"/>
  <c r="C180" i="12"/>
  <c r="H167" i="21" s="1"/>
  <c r="C174" i="12"/>
  <c r="H161" i="21" s="1"/>
  <c r="C168" i="12"/>
  <c r="H155" i="21" s="1"/>
  <c r="C162" i="12"/>
  <c r="H149" i="21" s="1"/>
  <c r="C156" i="12"/>
  <c r="H143" i="21" s="1"/>
  <c r="C150" i="12"/>
  <c r="H137" i="21" s="1"/>
  <c r="C144" i="12"/>
  <c r="H131" i="21" s="1"/>
  <c r="C138" i="12"/>
  <c r="H125" i="21" s="1"/>
  <c r="C132" i="12"/>
  <c r="H119" i="21" s="1"/>
  <c r="C126" i="12"/>
  <c r="H113" i="21" s="1"/>
  <c r="C120" i="12"/>
  <c r="H107" i="21" s="1"/>
  <c r="C114" i="12"/>
  <c r="H101" i="21" s="1"/>
  <c r="C108" i="12"/>
  <c r="H95" i="21" s="1"/>
  <c r="C102" i="12"/>
  <c r="H89" i="21" s="1"/>
  <c r="C96" i="12"/>
  <c r="H83" i="21" s="1"/>
  <c r="C90" i="12"/>
  <c r="H77" i="21" s="1"/>
  <c r="C84" i="12"/>
  <c r="H71" i="21" s="1"/>
  <c r="C78" i="12"/>
  <c r="H65" i="21" s="1"/>
  <c r="C72" i="12"/>
  <c r="H59" i="21" s="1"/>
  <c r="C66" i="12"/>
  <c r="H53" i="21" s="1"/>
  <c r="C60" i="12"/>
  <c r="H47" i="21" s="1"/>
  <c r="C54" i="12"/>
  <c r="H41" i="21" s="1"/>
  <c r="C48" i="12"/>
  <c r="H35" i="21" s="1"/>
  <c r="C42" i="12"/>
  <c r="H29" i="21" s="1"/>
  <c r="C36" i="12"/>
  <c r="H23" i="21" s="1"/>
  <c r="CZ23" i="21" s="1"/>
  <c r="C30" i="12"/>
  <c r="H17" i="21" s="1"/>
  <c r="CZ17" i="21" s="1"/>
  <c r="C24" i="12"/>
  <c r="H11" i="21" s="1"/>
  <c r="CZ11" i="21" s="1"/>
  <c r="C18" i="12"/>
  <c r="H5" i="21" s="1"/>
  <c r="C191" i="12"/>
  <c r="H178" i="21" s="1"/>
  <c r="C185" i="12"/>
  <c r="H172" i="21" s="1"/>
  <c r="C179" i="12"/>
  <c r="H166" i="21" s="1"/>
  <c r="C173" i="12"/>
  <c r="H160" i="21" s="1"/>
  <c r="C167" i="12"/>
  <c r="H154" i="21" s="1"/>
  <c r="C161" i="12"/>
  <c r="H148" i="21" s="1"/>
  <c r="C155" i="12"/>
  <c r="H142" i="21" s="1"/>
  <c r="C149" i="12"/>
  <c r="H136" i="21" s="1"/>
  <c r="C143" i="12"/>
  <c r="H130" i="21" s="1"/>
  <c r="C137" i="12"/>
  <c r="H124" i="21" s="1"/>
  <c r="C131" i="12"/>
  <c r="H118" i="21" s="1"/>
  <c r="C125" i="12"/>
  <c r="H112" i="21" s="1"/>
  <c r="C119" i="12"/>
  <c r="H106" i="21" s="1"/>
  <c r="C113" i="12"/>
  <c r="H100" i="21" s="1"/>
  <c r="C107" i="12"/>
  <c r="H94" i="21" s="1"/>
  <c r="C101" i="12"/>
  <c r="H88" i="21" s="1"/>
  <c r="C95" i="12"/>
  <c r="H82" i="21" s="1"/>
  <c r="C89" i="12"/>
  <c r="H76" i="21" s="1"/>
  <c r="C83" i="12"/>
  <c r="H70" i="21" s="1"/>
  <c r="C77" i="12"/>
  <c r="H64" i="21" s="1"/>
  <c r="C71" i="12"/>
  <c r="H58" i="21" s="1"/>
  <c r="C65" i="12"/>
  <c r="H52" i="21" s="1"/>
  <c r="C59" i="12"/>
  <c r="H46" i="21" s="1"/>
  <c r="C53" i="12"/>
  <c r="H40" i="21" s="1"/>
  <c r="C47" i="12"/>
  <c r="H34" i="21" s="1"/>
  <c r="C41" i="12"/>
  <c r="H28" i="21" s="1"/>
  <c r="C35" i="12"/>
  <c r="H22" i="21" s="1"/>
  <c r="CZ22" i="21" s="1"/>
  <c r="C29" i="12"/>
  <c r="H16" i="21" s="1"/>
  <c r="CZ16" i="21" s="1"/>
  <c r="C23" i="12"/>
  <c r="H10" i="21" s="1"/>
  <c r="CZ10" i="21" s="1"/>
  <c r="CZ6" i="21" l="1"/>
  <c r="CZ5" i="21"/>
  <c r="G178" i="12"/>
  <c r="L165" i="21" s="1"/>
  <c r="F178" i="12"/>
  <c r="K165" i="21" s="1"/>
  <c r="F109" i="12"/>
  <c r="K96" i="21" s="1"/>
  <c r="G109" i="12"/>
  <c r="L96" i="21" s="1"/>
  <c r="G147" i="12"/>
  <c r="L134" i="21" s="1"/>
  <c r="F147" i="12"/>
  <c r="K134" i="21" s="1"/>
  <c r="F187" i="12"/>
  <c r="K174" i="21" s="1"/>
  <c r="G187" i="12"/>
  <c r="L174" i="21" s="1"/>
  <c r="G106" i="12"/>
  <c r="L93" i="21" s="1"/>
  <c r="F106" i="12"/>
  <c r="K93" i="21" s="1"/>
  <c r="G155" i="12"/>
  <c r="L142" i="21" s="1"/>
  <c r="F155" i="12"/>
  <c r="K142" i="21" s="1"/>
  <c r="F168" i="12"/>
  <c r="K155" i="21" s="1"/>
  <c r="G168" i="12"/>
  <c r="L155" i="21" s="1"/>
  <c r="F49" i="12"/>
  <c r="K36" i="21" s="1"/>
  <c r="G49" i="12"/>
  <c r="L36" i="21" s="1"/>
  <c r="F68" i="12"/>
  <c r="K55" i="21" s="1"/>
  <c r="G68" i="12"/>
  <c r="L55" i="21" s="1"/>
  <c r="K199" i="21"/>
  <c r="G212" i="12"/>
  <c r="L199" i="21" s="1"/>
  <c r="G87" i="12"/>
  <c r="L74" i="21" s="1"/>
  <c r="F87" i="12"/>
  <c r="K74" i="21" s="1"/>
  <c r="G159" i="12"/>
  <c r="L146" i="21" s="1"/>
  <c r="F159" i="12"/>
  <c r="K146" i="21" s="1"/>
  <c r="G184" i="12"/>
  <c r="L171" i="21" s="1"/>
  <c r="F184" i="12"/>
  <c r="K171" i="21" s="1"/>
  <c r="F89" i="12"/>
  <c r="K76" i="21" s="1"/>
  <c r="G89" i="12"/>
  <c r="L76" i="21" s="1"/>
  <c r="F161" i="12"/>
  <c r="K148" i="21" s="1"/>
  <c r="G161" i="12"/>
  <c r="L148" i="21" s="1"/>
  <c r="G30" i="12"/>
  <c r="L17" i="21" s="1"/>
  <c r="T17" i="21" s="1"/>
  <c r="F30" i="12"/>
  <c r="K17" i="21" s="1"/>
  <c r="S17" i="21" s="1"/>
  <c r="G102" i="12"/>
  <c r="L89" i="21" s="1"/>
  <c r="F102" i="12"/>
  <c r="K89" i="21" s="1"/>
  <c r="F174" i="12"/>
  <c r="K161" i="21" s="1"/>
  <c r="G174" i="12"/>
  <c r="L161" i="21" s="1"/>
  <c r="F55" i="12"/>
  <c r="K42" i="21" s="1"/>
  <c r="G55" i="12"/>
  <c r="L42" i="21" s="1"/>
  <c r="F127" i="12"/>
  <c r="K114" i="21" s="1"/>
  <c r="G127" i="12"/>
  <c r="L114" i="21" s="1"/>
  <c r="K186" i="21"/>
  <c r="G199" i="12"/>
  <c r="L186" i="21" s="1"/>
  <c r="F74" i="12"/>
  <c r="K61" i="21" s="1"/>
  <c r="G74" i="12"/>
  <c r="L61" i="21" s="1"/>
  <c r="F146" i="12"/>
  <c r="K133" i="21" s="1"/>
  <c r="G146" i="12"/>
  <c r="L133" i="21" s="1"/>
  <c r="G21" i="12"/>
  <c r="L8" i="21" s="1"/>
  <c r="F21" i="12"/>
  <c r="K8" i="21" s="1"/>
  <c r="G93" i="12"/>
  <c r="L80" i="21" s="1"/>
  <c r="F93" i="12"/>
  <c r="K80" i="21" s="1"/>
  <c r="G165" i="12"/>
  <c r="L152" i="21" s="1"/>
  <c r="F165" i="12"/>
  <c r="K152" i="21" s="1"/>
  <c r="G46" i="12"/>
  <c r="L33" i="21" s="1"/>
  <c r="F46" i="12"/>
  <c r="K33" i="21" s="1"/>
  <c r="G118" i="12"/>
  <c r="L105" i="21" s="1"/>
  <c r="F118" i="12"/>
  <c r="K105" i="21" s="1"/>
  <c r="G190" i="12"/>
  <c r="L177" i="21" s="1"/>
  <c r="F190" i="12"/>
  <c r="K177" i="21" s="1"/>
  <c r="F56" i="12"/>
  <c r="K43" i="21" s="1"/>
  <c r="G56" i="12"/>
  <c r="L43" i="21" s="1"/>
  <c r="G18" i="12"/>
  <c r="L5" i="21" s="1"/>
  <c r="F18" i="12"/>
  <c r="K5" i="21" s="1"/>
  <c r="G34" i="12"/>
  <c r="L21" i="21" s="1"/>
  <c r="F34" i="12"/>
  <c r="K21" i="21" s="1"/>
  <c r="G24" i="12"/>
  <c r="L11" i="21" s="1"/>
  <c r="F24" i="12"/>
  <c r="K11" i="21" s="1"/>
  <c r="F193" i="12"/>
  <c r="K180" i="21" s="1"/>
  <c r="G193" i="12"/>
  <c r="L180" i="21" s="1"/>
  <c r="G112" i="12"/>
  <c r="L99" i="21" s="1"/>
  <c r="F112" i="12"/>
  <c r="K99" i="21" s="1"/>
  <c r="G95" i="12"/>
  <c r="L82" i="21" s="1"/>
  <c r="F95" i="12"/>
  <c r="K82" i="21" s="1"/>
  <c r="G167" i="12"/>
  <c r="L154" i="21" s="1"/>
  <c r="F167" i="12"/>
  <c r="K154" i="21" s="1"/>
  <c r="G36" i="12"/>
  <c r="L23" i="21" s="1"/>
  <c r="F36" i="12"/>
  <c r="K23" i="21" s="1"/>
  <c r="G108" i="12"/>
  <c r="L95" i="21" s="1"/>
  <c r="F108" i="12"/>
  <c r="K95" i="21" s="1"/>
  <c r="G180" i="12"/>
  <c r="L167" i="21" s="1"/>
  <c r="F180" i="12"/>
  <c r="K167" i="21" s="1"/>
  <c r="F61" i="12"/>
  <c r="K48" i="21" s="1"/>
  <c r="G61" i="12"/>
  <c r="L48" i="21" s="1"/>
  <c r="F133" i="12"/>
  <c r="K120" i="21" s="1"/>
  <c r="G133" i="12"/>
  <c r="L120" i="21" s="1"/>
  <c r="G205" i="12"/>
  <c r="L192" i="21" s="1"/>
  <c r="F80" i="12"/>
  <c r="K67" i="21" s="1"/>
  <c r="G80" i="12"/>
  <c r="L67" i="21" s="1"/>
  <c r="F152" i="12"/>
  <c r="K139" i="21" s="1"/>
  <c r="G152" i="12"/>
  <c r="L139" i="21" s="1"/>
  <c r="F27" i="12"/>
  <c r="K14" i="21" s="1"/>
  <c r="S14" i="21" s="1"/>
  <c r="G27" i="12"/>
  <c r="L14" i="21" s="1"/>
  <c r="T14" i="21" s="1"/>
  <c r="G99" i="12"/>
  <c r="L86" i="21" s="1"/>
  <c r="F99" i="12"/>
  <c r="K86" i="21" s="1"/>
  <c r="G171" i="12"/>
  <c r="L158" i="21" s="1"/>
  <c r="F171" i="12"/>
  <c r="K158" i="21" s="1"/>
  <c r="G52" i="12"/>
  <c r="L39" i="21" s="1"/>
  <c r="F52" i="12"/>
  <c r="K39" i="21" s="1"/>
  <c r="G124" i="12"/>
  <c r="L111" i="21" s="1"/>
  <c r="F124" i="12"/>
  <c r="K111" i="21" s="1"/>
  <c r="G196" i="12"/>
  <c r="L183" i="21" s="1"/>
  <c r="F196" i="12"/>
  <c r="K183" i="21" s="1"/>
  <c r="G156" i="12"/>
  <c r="L143" i="21" s="1"/>
  <c r="F156" i="12"/>
  <c r="K143" i="21" s="1"/>
  <c r="G100" i="12"/>
  <c r="L87" i="21" s="1"/>
  <c r="F100" i="12"/>
  <c r="K87" i="21" s="1"/>
  <c r="F115" i="12"/>
  <c r="K102" i="21" s="1"/>
  <c r="G115" i="12"/>
  <c r="L102" i="21" s="1"/>
  <c r="G153" i="12"/>
  <c r="L140" i="21" s="1"/>
  <c r="F153" i="12"/>
  <c r="K140" i="21" s="1"/>
  <c r="G83" i="12"/>
  <c r="L70" i="21" s="1"/>
  <c r="F83" i="12"/>
  <c r="K70" i="21" s="1"/>
  <c r="G96" i="12"/>
  <c r="L83" i="21" s="1"/>
  <c r="F96" i="12"/>
  <c r="K83" i="21" s="1"/>
  <c r="F121" i="12"/>
  <c r="K108" i="21" s="1"/>
  <c r="G121" i="12"/>
  <c r="L108" i="21" s="1"/>
  <c r="F140" i="12"/>
  <c r="K127" i="21" s="1"/>
  <c r="G140" i="12"/>
  <c r="L127" i="21" s="1"/>
  <c r="G40" i="12"/>
  <c r="L27" i="21" s="1"/>
  <c r="F40" i="12"/>
  <c r="K27" i="21" s="1"/>
  <c r="G23" i="12"/>
  <c r="L10" i="21" s="1"/>
  <c r="F23" i="12"/>
  <c r="K10" i="21" s="1"/>
  <c r="F29" i="12"/>
  <c r="K16" i="21" s="1"/>
  <c r="S16" i="21" s="1"/>
  <c r="G29" i="12"/>
  <c r="L16" i="21" s="1"/>
  <c r="T16" i="21" s="1"/>
  <c r="F101" i="12"/>
  <c r="K88" i="21" s="1"/>
  <c r="G101" i="12"/>
  <c r="L88" i="21" s="1"/>
  <c r="F173" i="12"/>
  <c r="K160" i="21" s="1"/>
  <c r="G173" i="12"/>
  <c r="L160" i="21" s="1"/>
  <c r="G42" i="12"/>
  <c r="L29" i="21" s="1"/>
  <c r="F42" i="12"/>
  <c r="K29" i="21" s="1"/>
  <c r="G114" i="12"/>
  <c r="L101" i="21" s="1"/>
  <c r="F114" i="12"/>
  <c r="K101" i="21" s="1"/>
  <c r="F186" i="12"/>
  <c r="K173" i="21" s="1"/>
  <c r="G186" i="12"/>
  <c r="L173" i="21" s="1"/>
  <c r="F67" i="12"/>
  <c r="K54" i="21" s="1"/>
  <c r="G67" i="12"/>
  <c r="L54" i="21" s="1"/>
  <c r="F139" i="12"/>
  <c r="K126" i="21" s="1"/>
  <c r="G139" i="12"/>
  <c r="L126" i="21" s="1"/>
  <c r="K198" i="21"/>
  <c r="G211" i="12"/>
  <c r="L198" i="21" s="1"/>
  <c r="F86" i="12"/>
  <c r="K73" i="21" s="1"/>
  <c r="G86" i="12"/>
  <c r="L73" i="21" s="1"/>
  <c r="F158" i="12"/>
  <c r="K145" i="21" s="1"/>
  <c r="G158" i="12"/>
  <c r="L145" i="21" s="1"/>
  <c r="G33" i="12"/>
  <c r="L20" i="21" s="1"/>
  <c r="F33" i="12"/>
  <c r="K20" i="21" s="1"/>
  <c r="G105" i="12"/>
  <c r="L92" i="21" s="1"/>
  <c r="F105" i="12"/>
  <c r="K92" i="21" s="1"/>
  <c r="G177" i="12"/>
  <c r="L164" i="21" s="1"/>
  <c r="F177" i="12"/>
  <c r="K164" i="21" s="1"/>
  <c r="G58" i="12"/>
  <c r="L45" i="21" s="1"/>
  <c r="F58" i="12"/>
  <c r="K45" i="21" s="1"/>
  <c r="G130" i="12"/>
  <c r="L117" i="21" s="1"/>
  <c r="F130" i="12"/>
  <c r="K117" i="21" s="1"/>
  <c r="G202" i="12"/>
  <c r="L189" i="21" s="1"/>
  <c r="K189" i="21"/>
  <c r="G120" i="12"/>
  <c r="L107" i="21" s="1"/>
  <c r="F120" i="12"/>
  <c r="K107" i="21" s="1"/>
  <c r="F37" i="12"/>
  <c r="K24" i="21" s="1"/>
  <c r="G37" i="12"/>
  <c r="L24" i="21" s="1"/>
  <c r="G75" i="12"/>
  <c r="L62" i="21" s="1"/>
  <c r="F75" i="12"/>
  <c r="K62" i="21" s="1"/>
  <c r="G90" i="12"/>
  <c r="L77" i="21" s="1"/>
  <c r="F90" i="12"/>
  <c r="K77" i="21" s="1"/>
  <c r="K193" i="21"/>
  <c r="G206" i="12"/>
  <c r="L193" i="21" s="1"/>
  <c r="G48" i="12"/>
  <c r="L35" i="21" s="1"/>
  <c r="F48" i="12"/>
  <c r="K35" i="21" s="1"/>
  <c r="F20" i="12"/>
  <c r="K7" i="21" s="1"/>
  <c r="G20" i="12"/>
  <c r="L7" i="21" s="1"/>
  <c r="G183" i="12"/>
  <c r="L170" i="21" s="1"/>
  <c r="F183" i="12"/>
  <c r="K170" i="21" s="1"/>
  <c r="F41" i="12"/>
  <c r="K28" i="21" s="1"/>
  <c r="G41" i="12"/>
  <c r="L28" i="21" s="1"/>
  <c r="K185" i="21"/>
  <c r="G198" i="12"/>
  <c r="L185" i="21" s="1"/>
  <c r="F26" i="12"/>
  <c r="K13" i="21" s="1"/>
  <c r="S13" i="21" s="1"/>
  <c r="G26" i="12"/>
  <c r="L13" i="21" s="1"/>
  <c r="T13" i="21" s="1"/>
  <c r="G45" i="12"/>
  <c r="L32" i="21" s="1"/>
  <c r="F45" i="12"/>
  <c r="K32" i="21" s="1"/>
  <c r="G117" i="12"/>
  <c r="L104" i="21" s="1"/>
  <c r="F117" i="12"/>
  <c r="K104" i="21" s="1"/>
  <c r="G189" i="12"/>
  <c r="L176" i="21" s="1"/>
  <c r="F189" i="12"/>
  <c r="K176" i="21" s="1"/>
  <c r="G70" i="12"/>
  <c r="L57" i="21" s="1"/>
  <c r="F70" i="12"/>
  <c r="K57" i="21" s="1"/>
  <c r="G142" i="12"/>
  <c r="L129" i="21" s="1"/>
  <c r="F142" i="12"/>
  <c r="K129" i="21" s="1"/>
  <c r="G214" i="12"/>
  <c r="L201" i="21" s="1"/>
  <c r="K201" i="21"/>
  <c r="G84" i="12"/>
  <c r="L71" i="21" s="1"/>
  <c r="F84" i="12"/>
  <c r="K71" i="21" s="1"/>
  <c r="G172" i="12"/>
  <c r="L159" i="21" s="1"/>
  <c r="F172" i="12"/>
  <c r="K159" i="21" s="1"/>
  <c r="F43" i="12"/>
  <c r="K30" i="21" s="1"/>
  <c r="G43" i="12"/>
  <c r="L30" i="21" s="1"/>
  <c r="G35" i="12"/>
  <c r="L22" i="21" s="1"/>
  <c r="F35" i="12"/>
  <c r="K22" i="21" s="1"/>
  <c r="F192" i="12"/>
  <c r="K179" i="21" s="1"/>
  <c r="G192" i="12"/>
  <c r="L179" i="21" s="1"/>
  <c r="F164" i="12"/>
  <c r="K151" i="21" s="1"/>
  <c r="G164" i="12"/>
  <c r="L151" i="21" s="1"/>
  <c r="G136" i="12"/>
  <c r="L123" i="21" s="1"/>
  <c r="F136" i="12"/>
  <c r="K123" i="21" s="1"/>
  <c r="F185" i="12"/>
  <c r="K172" i="21" s="1"/>
  <c r="G185" i="12"/>
  <c r="L172" i="21" s="1"/>
  <c r="F98" i="12"/>
  <c r="K85" i="21" s="1"/>
  <c r="G98" i="12"/>
  <c r="L85" i="21" s="1"/>
  <c r="G47" i="12"/>
  <c r="L34" i="21" s="1"/>
  <c r="F47" i="12"/>
  <c r="K34" i="21" s="1"/>
  <c r="G119" i="12"/>
  <c r="L106" i="21" s="1"/>
  <c r="F119" i="12"/>
  <c r="K106" i="21" s="1"/>
  <c r="G191" i="12"/>
  <c r="L178" i="21" s="1"/>
  <c r="F191" i="12"/>
  <c r="K178" i="21" s="1"/>
  <c r="G60" i="12"/>
  <c r="L47" i="21" s="1"/>
  <c r="F60" i="12"/>
  <c r="K47" i="21" s="1"/>
  <c r="G132" i="12"/>
  <c r="L119" i="21" s="1"/>
  <c r="F132" i="12"/>
  <c r="K119" i="21" s="1"/>
  <c r="G204" i="12"/>
  <c r="L191" i="21" s="1"/>
  <c r="K191" i="21"/>
  <c r="F85" i="12"/>
  <c r="K72" i="21" s="1"/>
  <c r="G85" i="12"/>
  <c r="L72" i="21" s="1"/>
  <c r="F157" i="12"/>
  <c r="K144" i="21" s="1"/>
  <c r="G157" i="12"/>
  <c r="L144" i="21" s="1"/>
  <c r="F32" i="12"/>
  <c r="K19" i="21" s="1"/>
  <c r="G32" i="12"/>
  <c r="L19" i="21" s="1"/>
  <c r="F104" i="12"/>
  <c r="K91" i="21" s="1"/>
  <c r="G104" i="12"/>
  <c r="L91" i="21" s="1"/>
  <c r="F176" i="12"/>
  <c r="K163" i="21" s="1"/>
  <c r="G176" i="12"/>
  <c r="L163" i="21" s="1"/>
  <c r="G51" i="12"/>
  <c r="L38" i="21" s="1"/>
  <c r="F51" i="12"/>
  <c r="K38" i="21" s="1"/>
  <c r="G123" i="12"/>
  <c r="L110" i="21" s="1"/>
  <c r="F123" i="12"/>
  <c r="K110" i="21" s="1"/>
  <c r="G195" i="12"/>
  <c r="L182" i="21" s="1"/>
  <c r="F195" i="12"/>
  <c r="K182" i="21" s="1"/>
  <c r="G76" i="12"/>
  <c r="L63" i="21" s="1"/>
  <c r="F76" i="12"/>
  <c r="K63" i="21" s="1"/>
  <c r="G148" i="12"/>
  <c r="L135" i="21" s="1"/>
  <c r="F148" i="12"/>
  <c r="K135" i="21" s="1"/>
  <c r="K197" i="21"/>
  <c r="G210" i="12"/>
  <c r="L197" i="21" s="1"/>
  <c r="G71" i="12"/>
  <c r="L58" i="21" s="1"/>
  <c r="F71" i="12"/>
  <c r="K58" i="21" s="1"/>
  <c r="F181" i="12"/>
  <c r="K168" i="21" s="1"/>
  <c r="G181" i="12"/>
  <c r="L168" i="21" s="1"/>
  <c r="K187" i="21"/>
  <c r="G200" i="12"/>
  <c r="L187" i="21" s="1"/>
  <c r="F149" i="12"/>
  <c r="K136" i="21" s="1"/>
  <c r="G149" i="12"/>
  <c r="L136" i="21" s="1"/>
  <c r="F134" i="12"/>
  <c r="K121" i="21" s="1"/>
  <c r="G134" i="12"/>
  <c r="L121" i="21" s="1"/>
  <c r="G179" i="12"/>
  <c r="L166" i="21" s="1"/>
  <c r="F179" i="12"/>
  <c r="K166" i="21" s="1"/>
  <c r="F73" i="12"/>
  <c r="K60" i="21" s="1"/>
  <c r="G73" i="12"/>
  <c r="L60" i="21" s="1"/>
  <c r="F92" i="12"/>
  <c r="K79" i="21" s="1"/>
  <c r="G92" i="12"/>
  <c r="L79" i="21" s="1"/>
  <c r="G111" i="12"/>
  <c r="L98" i="21" s="1"/>
  <c r="F111" i="12"/>
  <c r="K98" i="21" s="1"/>
  <c r="G64" i="12"/>
  <c r="L51" i="21" s="1"/>
  <c r="F64" i="12"/>
  <c r="K51" i="21" s="1"/>
  <c r="F113" i="12"/>
  <c r="K100" i="21" s="1"/>
  <c r="G113" i="12"/>
  <c r="L100" i="21" s="1"/>
  <c r="G126" i="12"/>
  <c r="L113" i="21" s="1"/>
  <c r="F126" i="12"/>
  <c r="K113" i="21" s="1"/>
  <c r="F79" i="12"/>
  <c r="K66" i="21" s="1"/>
  <c r="G79" i="12"/>
  <c r="L66" i="21" s="1"/>
  <c r="F151" i="12"/>
  <c r="K138" i="21" s="1"/>
  <c r="G151" i="12"/>
  <c r="L138" i="21" s="1"/>
  <c r="F53" i="12"/>
  <c r="K40" i="21" s="1"/>
  <c r="G53" i="12"/>
  <c r="L40" i="21" s="1"/>
  <c r="F125" i="12"/>
  <c r="K112" i="21" s="1"/>
  <c r="G125" i="12"/>
  <c r="L112" i="21" s="1"/>
  <c r="K184" i="21"/>
  <c r="G197" i="12"/>
  <c r="L184" i="21" s="1"/>
  <c r="G66" i="12"/>
  <c r="L53" i="21" s="1"/>
  <c r="F66" i="12"/>
  <c r="K53" i="21" s="1"/>
  <c r="G138" i="12"/>
  <c r="L125" i="21" s="1"/>
  <c r="F138" i="12"/>
  <c r="K125" i="21" s="1"/>
  <c r="F19" i="12"/>
  <c r="K6" i="21" s="1"/>
  <c r="G19" i="12"/>
  <c r="L6" i="21" s="1"/>
  <c r="F91" i="12"/>
  <c r="K78" i="21" s="1"/>
  <c r="G91" i="12"/>
  <c r="L78" i="21" s="1"/>
  <c r="F163" i="12"/>
  <c r="K150" i="21" s="1"/>
  <c r="G163" i="12"/>
  <c r="L150" i="21" s="1"/>
  <c r="F38" i="12"/>
  <c r="K25" i="21" s="1"/>
  <c r="G38" i="12"/>
  <c r="L25" i="21" s="1"/>
  <c r="F110" i="12"/>
  <c r="K97" i="21" s="1"/>
  <c r="G110" i="12"/>
  <c r="L97" i="21" s="1"/>
  <c r="F182" i="12"/>
  <c r="K169" i="21" s="1"/>
  <c r="G182" i="12"/>
  <c r="L169" i="21" s="1"/>
  <c r="G57" i="12"/>
  <c r="L44" i="21" s="1"/>
  <c r="F57" i="12"/>
  <c r="K44" i="21" s="1"/>
  <c r="G129" i="12"/>
  <c r="L116" i="21" s="1"/>
  <c r="F129" i="12"/>
  <c r="K116" i="21" s="1"/>
  <c r="G201" i="12"/>
  <c r="L188" i="21" s="1"/>
  <c r="K188" i="21"/>
  <c r="G82" i="12"/>
  <c r="L69" i="21" s="1"/>
  <c r="F82" i="12"/>
  <c r="K69" i="21" s="1"/>
  <c r="G154" i="12"/>
  <c r="L141" i="21" s="1"/>
  <c r="F154" i="12"/>
  <c r="K141" i="21" s="1"/>
  <c r="K203" i="21"/>
  <c r="G216" i="12"/>
  <c r="L203" i="21" s="1"/>
  <c r="G143" i="12"/>
  <c r="L130" i="21" s="1"/>
  <c r="F143" i="12"/>
  <c r="K130" i="21" s="1"/>
  <c r="F128" i="12"/>
  <c r="K115" i="21" s="1"/>
  <c r="G128" i="12"/>
  <c r="L115" i="21" s="1"/>
  <c r="F77" i="12"/>
  <c r="K64" i="21" s="1"/>
  <c r="G77" i="12"/>
  <c r="L64" i="21" s="1"/>
  <c r="F62" i="12"/>
  <c r="K49" i="21" s="1"/>
  <c r="G62" i="12"/>
  <c r="L49" i="21" s="1"/>
  <c r="G107" i="12"/>
  <c r="L94" i="21" s="1"/>
  <c r="F107" i="12"/>
  <c r="K94" i="21" s="1"/>
  <c r="F145" i="12"/>
  <c r="K132" i="21" s="1"/>
  <c r="G145" i="12"/>
  <c r="L132" i="21" s="1"/>
  <c r="G39" i="12"/>
  <c r="L26" i="21" s="1"/>
  <c r="F39" i="12"/>
  <c r="K26" i="21" s="1"/>
  <c r="G208" i="12"/>
  <c r="L195" i="21" s="1"/>
  <c r="K195" i="21"/>
  <c r="G54" i="12"/>
  <c r="L41" i="21" s="1"/>
  <c r="F54" i="12"/>
  <c r="K41" i="21" s="1"/>
  <c r="F170" i="12"/>
  <c r="K157" i="21" s="1"/>
  <c r="G170" i="12"/>
  <c r="L157" i="21" s="1"/>
  <c r="G59" i="12"/>
  <c r="L46" i="21" s="1"/>
  <c r="F59" i="12"/>
  <c r="K46" i="21" s="1"/>
  <c r="G131" i="12"/>
  <c r="L118" i="21" s="1"/>
  <c r="F131" i="12"/>
  <c r="K118" i="21" s="1"/>
  <c r="G203" i="12"/>
  <c r="L190" i="21" s="1"/>
  <c r="K190" i="21"/>
  <c r="G72" i="12"/>
  <c r="L59" i="21" s="1"/>
  <c r="F72" i="12"/>
  <c r="K59" i="21" s="1"/>
  <c r="G144" i="12"/>
  <c r="L131" i="21" s="1"/>
  <c r="F144" i="12"/>
  <c r="K131" i="21" s="1"/>
  <c r="F25" i="12"/>
  <c r="K12" i="21" s="1"/>
  <c r="G25" i="12"/>
  <c r="L12" i="21" s="1"/>
  <c r="F97" i="12"/>
  <c r="K84" i="21" s="1"/>
  <c r="G97" i="12"/>
  <c r="L84" i="21" s="1"/>
  <c r="F169" i="12"/>
  <c r="K156" i="21" s="1"/>
  <c r="G169" i="12"/>
  <c r="L156" i="21" s="1"/>
  <c r="F44" i="12"/>
  <c r="K31" i="21" s="1"/>
  <c r="G44" i="12"/>
  <c r="L31" i="21" s="1"/>
  <c r="F116" i="12"/>
  <c r="K103" i="21" s="1"/>
  <c r="G116" i="12"/>
  <c r="L103" i="21" s="1"/>
  <c r="F188" i="12"/>
  <c r="K175" i="21" s="1"/>
  <c r="G188" i="12"/>
  <c r="L175" i="21" s="1"/>
  <c r="G63" i="12"/>
  <c r="L50" i="21" s="1"/>
  <c r="F63" i="12"/>
  <c r="K50" i="21" s="1"/>
  <c r="G135" i="12"/>
  <c r="L122" i="21" s="1"/>
  <c r="F135" i="12"/>
  <c r="K122" i="21" s="1"/>
  <c r="G207" i="12"/>
  <c r="L194" i="21" s="1"/>
  <c r="K194" i="21"/>
  <c r="G88" i="12"/>
  <c r="L75" i="21" s="1"/>
  <c r="F88" i="12"/>
  <c r="K75" i="21" s="1"/>
  <c r="G160" i="12"/>
  <c r="L147" i="21" s="1"/>
  <c r="F160" i="12"/>
  <c r="K147" i="21" s="1"/>
  <c r="F17" i="12"/>
  <c r="K4" i="21" s="1"/>
  <c r="G17" i="12"/>
  <c r="L4" i="21" s="1"/>
  <c r="G215" i="12"/>
  <c r="L202" i="21" s="1"/>
  <c r="K202" i="21"/>
  <c r="G22" i="12"/>
  <c r="L9" i="21" s="1"/>
  <c r="F22" i="12"/>
  <c r="K9" i="21" s="1"/>
  <c r="F162" i="12"/>
  <c r="K149" i="21" s="1"/>
  <c r="G162" i="12"/>
  <c r="L149" i="21" s="1"/>
  <c r="G81" i="12"/>
  <c r="L68" i="21" s="1"/>
  <c r="F81" i="12"/>
  <c r="K68" i="21" s="1"/>
  <c r="F65" i="12"/>
  <c r="K52" i="21" s="1"/>
  <c r="G65" i="12"/>
  <c r="L52" i="21" s="1"/>
  <c r="F137" i="12"/>
  <c r="K124" i="21" s="1"/>
  <c r="G137" i="12"/>
  <c r="L124" i="21" s="1"/>
  <c r="G209" i="12"/>
  <c r="L196" i="21" s="1"/>
  <c r="G78" i="12"/>
  <c r="L65" i="21" s="1"/>
  <c r="F78" i="12"/>
  <c r="K65" i="21" s="1"/>
  <c r="G150" i="12"/>
  <c r="L137" i="21" s="1"/>
  <c r="F150" i="12"/>
  <c r="K137" i="21" s="1"/>
  <c r="F31" i="12"/>
  <c r="K18" i="21" s="1"/>
  <c r="G31" i="12"/>
  <c r="L18" i="21" s="1"/>
  <c r="F103" i="12"/>
  <c r="K90" i="21" s="1"/>
  <c r="G103" i="12"/>
  <c r="L90" i="21" s="1"/>
  <c r="F175" i="12"/>
  <c r="K162" i="21" s="1"/>
  <c r="G175" i="12"/>
  <c r="L162" i="21" s="1"/>
  <c r="F50" i="12"/>
  <c r="K37" i="21" s="1"/>
  <c r="G50" i="12"/>
  <c r="L37" i="21" s="1"/>
  <c r="F122" i="12"/>
  <c r="K109" i="21" s="1"/>
  <c r="G122" i="12"/>
  <c r="L109" i="21" s="1"/>
  <c r="F194" i="12"/>
  <c r="K181" i="21" s="1"/>
  <c r="G194" i="12"/>
  <c r="L181" i="21" s="1"/>
  <c r="G69" i="12"/>
  <c r="L56" i="21" s="1"/>
  <c r="F69" i="12"/>
  <c r="K56" i="21" s="1"/>
  <c r="G141" i="12"/>
  <c r="L128" i="21" s="1"/>
  <c r="F141" i="12"/>
  <c r="K128" i="21" s="1"/>
  <c r="G213" i="12"/>
  <c r="L200" i="21" s="1"/>
  <c r="K200" i="21"/>
  <c r="G94" i="12"/>
  <c r="L81" i="21" s="1"/>
  <c r="F94" i="12"/>
  <c r="K81" i="21" s="1"/>
  <c r="G166" i="12"/>
  <c r="L153" i="21" s="1"/>
  <c r="F166" i="12"/>
  <c r="K153" i="21" s="1"/>
  <c r="H4" i="21"/>
  <c r="C235" i="17"/>
  <c r="K192" i="21"/>
  <c r="K196" i="21"/>
  <c r="C28" i="12"/>
  <c r="H15" i="21" s="1"/>
  <c r="CZ15" i="21" s="1"/>
  <c r="A43" i="1"/>
  <c r="CZ4" i="21" l="1"/>
  <c r="I124" i="12" s="1"/>
  <c r="S11" i="21"/>
  <c r="S10" i="21"/>
  <c r="T11" i="21"/>
  <c r="S12" i="21"/>
  <c r="T12" i="21"/>
  <c r="T10" i="21"/>
  <c r="S9" i="21"/>
  <c r="T9" i="21"/>
  <c r="S5" i="21"/>
  <c r="T6" i="21"/>
  <c r="S6" i="21"/>
  <c r="T5" i="21"/>
  <c r="G28" i="12"/>
  <c r="L15" i="21" s="1"/>
  <c r="F28" i="12"/>
  <c r="K15" i="21" s="1"/>
  <c r="B16" i="12"/>
  <c r="C236" i="17"/>
  <c r="R131" i="10"/>
  <c r="R127" i="10"/>
  <c r="R123" i="10"/>
  <c r="A42" i="1"/>
  <c r="S4" i="21" l="1"/>
  <c r="S15" i="21"/>
  <c r="T4" i="21"/>
  <c r="T15" i="21"/>
  <c r="I60" i="12"/>
  <c r="I173" i="12"/>
  <c r="I152" i="12"/>
  <c r="I85" i="12"/>
  <c r="I171" i="12"/>
  <c r="S7" i="21"/>
  <c r="T7" i="21"/>
  <c r="T8" i="21"/>
  <c r="S8" i="21"/>
  <c r="I32" i="12"/>
  <c r="I38" i="12"/>
  <c r="I35" i="12"/>
  <c r="I211" i="12"/>
  <c r="I101" i="12"/>
  <c r="I167" i="12"/>
  <c r="I189" i="12"/>
  <c r="I121" i="12"/>
  <c r="I180" i="12"/>
  <c r="I20" i="12"/>
  <c r="I27" i="12"/>
  <c r="I129" i="12"/>
  <c r="I100" i="12"/>
  <c r="I24" i="12"/>
  <c r="I19" i="12"/>
  <c r="I184" i="12"/>
  <c r="I116" i="12"/>
  <c r="I182" i="12"/>
  <c r="I39" i="12"/>
  <c r="I79" i="12"/>
  <c r="I47" i="12"/>
  <c r="I195" i="12"/>
  <c r="I83" i="12"/>
  <c r="I44" i="12"/>
  <c r="I174" i="12"/>
  <c r="I55" i="12"/>
  <c r="I49" i="12"/>
  <c r="I138" i="12"/>
  <c r="I98" i="12"/>
  <c r="I18" i="12"/>
  <c r="I179" i="12"/>
  <c r="I200" i="12"/>
  <c r="I53" i="12"/>
  <c r="I131" i="12"/>
  <c r="I57" i="12"/>
  <c r="I192" i="12"/>
  <c r="I196" i="12"/>
  <c r="I162" i="12"/>
  <c r="I154" i="12"/>
  <c r="I210" i="12"/>
  <c r="I159" i="12"/>
  <c r="I163" i="12"/>
  <c r="I134" i="12"/>
  <c r="I73" i="12"/>
  <c r="I112" i="12"/>
  <c r="I204" i="12"/>
  <c r="I77" i="12"/>
  <c r="I187" i="12"/>
  <c r="I161" i="12"/>
  <c r="I151" i="12"/>
  <c r="I207" i="12"/>
  <c r="I51" i="12"/>
  <c r="I136" i="12"/>
  <c r="I186" i="12"/>
  <c r="I135" i="12"/>
  <c r="I166" i="12"/>
  <c r="I17" i="12"/>
  <c r="I50" i="12"/>
  <c r="I197" i="12"/>
  <c r="I157" i="12"/>
  <c r="I81" i="12"/>
  <c r="I164" i="12"/>
  <c r="I176" i="12"/>
  <c r="I158" i="12"/>
  <c r="I175" i="12"/>
  <c r="I142" i="12"/>
  <c r="I65" i="12"/>
  <c r="I22" i="12"/>
  <c r="I72" i="12"/>
  <c r="I128" i="12"/>
  <c r="I199" i="12"/>
  <c r="I194" i="12"/>
  <c r="I130" i="12"/>
  <c r="I170" i="12"/>
  <c r="I155" i="12"/>
  <c r="I40" i="12"/>
  <c r="I59" i="12"/>
  <c r="I25" i="12"/>
  <c r="I113" i="12"/>
  <c r="I214" i="12"/>
  <c r="I21" i="12"/>
  <c r="I165" i="12"/>
  <c r="I193" i="12"/>
  <c r="I108" i="12"/>
  <c r="I183" i="12"/>
  <c r="I95" i="12"/>
  <c r="I125" i="12"/>
  <c r="I80" i="12"/>
  <c r="I91" i="12"/>
  <c r="I145" i="12"/>
  <c r="I34" i="12"/>
  <c r="I117" i="12"/>
  <c r="I208" i="12"/>
  <c r="I215" i="12"/>
  <c r="I41" i="12"/>
  <c r="I62" i="12"/>
  <c r="I42" i="12"/>
  <c r="I69" i="12"/>
  <c r="I123" i="12"/>
  <c r="I66" i="12"/>
  <c r="I140" i="12"/>
  <c r="I137" i="12"/>
  <c r="I97" i="12"/>
  <c r="I209" i="12"/>
  <c r="I201" i="12"/>
  <c r="I96" i="12"/>
  <c r="I36" i="12"/>
  <c r="I64" i="12"/>
  <c r="I115" i="12"/>
  <c r="I126" i="12"/>
  <c r="I114" i="12"/>
  <c r="I63" i="12"/>
  <c r="I82" i="12"/>
  <c r="I120" i="12"/>
  <c r="I107" i="12"/>
  <c r="I30" i="12"/>
  <c r="I212" i="12"/>
  <c r="I172" i="12"/>
  <c r="I75" i="12"/>
  <c r="I54" i="12"/>
  <c r="I92" i="12"/>
  <c r="I111" i="12"/>
  <c r="I29" i="12"/>
  <c r="I141" i="12"/>
  <c r="I94" i="12"/>
  <c r="I74" i="12"/>
  <c r="I48" i="12"/>
  <c r="I191" i="12"/>
  <c r="I213" i="12"/>
  <c r="I102" i="12"/>
  <c r="I122" i="12"/>
  <c r="I23" i="12"/>
  <c r="I67" i="12"/>
  <c r="I147" i="12"/>
  <c r="I150" i="12"/>
  <c r="I144" i="12"/>
  <c r="I28" i="12"/>
  <c r="I103" i="12"/>
  <c r="I156" i="12"/>
  <c r="I52" i="12"/>
  <c r="I105" i="12"/>
  <c r="I143" i="12"/>
  <c r="I106" i="12"/>
  <c r="I216" i="12"/>
  <c r="I198" i="12"/>
  <c r="I37" i="12"/>
  <c r="I185" i="12"/>
  <c r="I84" i="12"/>
  <c r="I149" i="12"/>
  <c r="I202" i="12"/>
  <c r="I148" i="12"/>
  <c r="I160" i="12"/>
  <c r="I46" i="12"/>
  <c r="I70" i="12"/>
  <c r="I118" i="12"/>
  <c r="I153" i="12"/>
  <c r="I68" i="12"/>
  <c r="I133" i="12"/>
  <c r="I188" i="12"/>
  <c r="I168" i="12"/>
  <c r="I181" i="12"/>
  <c r="I58" i="12"/>
  <c r="I119" i="12"/>
  <c r="I31" i="12"/>
  <c r="I78" i="12"/>
  <c r="I89" i="12"/>
  <c r="I26" i="12"/>
  <c r="I178" i="12"/>
  <c r="I88" i="12"/>
  <c r="I93" i="12"/>
  <c r="I76" i="12"/>
  <c r="I90" i="12"/>
  <c r="I127" i="12"/>
  <c r="I104" i="12"/>
  <c r="I205" i="12"/>
  <c r="I169" i="12"/>
  <c r="I132" i="12"/>
  <c r="I177" i="12"/>
  <c r="I71" i="12"/>
  <c r="I61" i="12"/>
  <c r="I146" i="12"/>
  <c r="I190" i="12"/>
  <c r="I45" i="12"/>
  <c r="I56" i="12"/>
  <c r="I110" i="12"/>
  <c r="I203" i="12"/>
  <c r="I206" i="12"/>
  <c r="I86" i="12"/>
  <c r="I99" i="12"/>
  <c r="I109" i="12"/>
  <c r="I87" i="12"/>
  <c r="I139" i="12"/>
  <c r="I43" i="12"/>
  <c r="I33" i="12"/>
  <c r="C237" i="17"/>
  <c r="C238" i="17" l="1"/>
  <c r="C156" i="10"/>
  <c r="L151" i="10"/>
  <c r="C239" i="17" l="1"/>
  <c r="L147" i="10"/>
  <c r="D145" i="10"/>
  <c r="D144" i="10"/>
  <c r="D143" i="10"/>
  <c r="D142" i="10"/>
  <c r="B139" i="10"/>
  <c r="AA82" i="10"/>
  <c r="AA96" i="10"/>
  <c r="C240" i="17" l="1"/>
  <c r="H121" i="10"/>
  <c r="H119" i="10"/>
  <c r="H117" i="10"/>
  <c r="H18" i="10"/>
  <c r="H16" i="10"/>
  <c r="H14" i="10"/>
  <c r="H12" i="10"/>
  <c r="H10" i="10"/>
  <c r="H8" i="10"/>
  <c r="G121" i="10"/>
  <c r="G119" i="10"/>
  <c r="G117" i="10"/>
  <c r="AA94" i="10"/>
  <c r="AA95" i="10"/>
  <c r="AA93" i="10"/>
  <c r="AA90" i="10"/>
  <c r="AA91" i="10"/>
  <c r="AA92" i="10"/>
  <c r="AA89" i="10"/>
  <c r="AA86" i="10"/>
  <c r="AA87" i="10"/>
  <c r="AA88" i="10"/>
  <c r="AA85" i="10"/>
  <c r="AA78" i="10"/>
  <c r="AA79" i="10"/>
  <c r="AA80" i="10"/>
  <c r="AA81" i="10"/>
  <c r="AA77" i="10"/>
  <c r="AA70" i="10"/>
  <c r="AA71" i="10"/>
  <c r="AA72" i="10"/>
  <c r="AA73" i="10"/>
  <c r="AA74" i="10"/>
  <c r="AA75" i="10"/>
  <c r="AA76" i="10"/>
  <c r="AA69" i="10"/>
  <c r="AA62" i="10"/>
  <c r="AA63" i="10"/>
  <c r="AA64" i="10"/>
  <c r="AA65" i="10"/>
  <c r="AA66" i="10"/>
  <c r="AA67" i="10"/>
  <c r="AA68" i="10"/>
  <c r="AA61" i="10"/>
  <c r="AA54" i="10"/>
  <c r="AA55" i="10"/>
  <c r="AA56" i="10"/>
  <c r="AA57" i="10"/>
  <c r="AA58" i="10"/>
  <c r="AA53" i="10"/>
  <c r="AA46" i="10"/>
  <c r="AA47" i="10"/>
  <c r="AA48" i="10"/>
  <c r="AA49" i="10"/>
  <c r="AA50" i="10"/>
  <c r="AA51" i="10"/>
  <c r="AA52" i="10"/>
  <c r="AA45" i="10"/>
  <c r="AA38" i="10"/>
  <c r="AA39" i="10"/>
  <c r="AA40" i="10"/>
  <c r="AA41" i="10"/>
  <c r="AA42" i="10"/>
  <c r="AA43" i="10"/>
  <c r="AA44" i="10"/>
  <c r="AA37" i="10"/>
  <c r="C241" i="17" l="1"/>
  <c r="Q4" i="10"/>
  <c r="Q11" i="8"/>
  <c r="Q100" i="10"/>
  <c r="O4" i="4"/>
  <c r="N4" i="3"/>
  <c r="N4" i="2"/>
  <c r="W70" i="1"/>
  <c r="W69" i="1"/>
  <c r="C242" i="17" l="1"/>
  <c r="Q12" i="10"/>
  <c r="P117" i="10"/>
  <c r="C243" i="17" l="1"/>
  <c r="P121" i="10"/>
  <c r="P119" i="10"/>
  <c r="Q102" i="10"/>
  <c r="J150" i="10" s="1"/>
  <c r="C244" i="17" l="1"/>
  <c r="Q104" i="10"/>
  <c r="C245" i="17" l="1"/>
  <c r="C246" i="17" l="1"/>
  <c r="H91" i="8"/>
  <c r="H89" i="8"/>
  <c r="C247" i="17" l="1"/>
  <c r="A621" i="8"/>
  <c r="A657" i="8"/>
  <c r="A81" i="8"/>
  <c r="C248" i="17" l="1"/>
  <c r="R259" i="8"/>
  <c r="C249" i="17" l="1"/>
  <c r="F671" i="8"/>
  <c r="C250" i="17" l="1"/>
  <c r="C705" i="8"/>
  <c r="C251" i="17" l="1"/>
  <c r="I701" i="8"/>
  <c r="D665" i="8"/>
  <c r="D666" i="8"/>
  <c r="D667" i="8"/>
  <c r="D664" i="8"/>
  <c r="F694" i="8"/>
  <c r="F695" i="8"/>
  <c r="F696" i="8"/>
  <c r="F697" i="8"/>
  <c r="F693" i="8"/>
  <c r="F682" i="8"/>
  <c r="F683" i="8"/>
  <c r="F684" i="8"/>
  <c r="F681" i="8"/>
  <c r="F677" i="8"/>
  <c r="F672" i="8"/>
  <c r="F673" i="8"/>
  <c r="R218" i="8"/>
  <c r="R246" i="8"/>
  <c r="F701" i="8"/>
  <c r="R224" i="8"/>
  <c r="R220" i="8"/>
  <c r="R529" i="8" s="1"/>
  <c r="R148" i="8"/>
  <c r="R146" i="8"/>
  <c r="R138" i="8"/>
  <c r="R132" i="8"/>
  <c r="R144" i="8"/>
  <c r="F675" i="8"/>
  <c r="R546" i="8"/>
  <c r="R421" i="8"/>
  <c r="R242" i="8"/>
  <c r="R240" i="8"/>
  <c r="R206" i="8"/>
  <c r="R202" i="8"/>
  <c r="R497" i="8" s="1"/>
  <c r="R200" i="8"/>
  <c r="R104" i="8"/>
  <c r="C252" i="17" l="1"/>
  <c r="R531" i="8"/>
  <c r="R533" i="8" s="1"/>
  <c r="R535" i="8"/>
  <c r="R537" i="8" s="1"/>
  <c r="R503" i="8"/>
  <c r="R505" i="8" s="1"/>
  <c r="R499" i="8"/>
  <c r="R501" i="8" s="1"/>
  <c r="R248" i="8"/>
  <c r="F688" i="8"/>
  <c r="F676" i="8"/>
  <c r="F700" i="8"/>
  <c r="F689" i="8"/>
  <c r="F702" i="8"/>
  <c r="F703" i="8"/>
  <c r="R439" i="8"/>
  <c r="F686" i="8"/>
  <c r="F687" i="8"/>
  <c r="F699" i="8"/>
  <c r="R511" i="8"/>
  <c r="C253" i="17" l="1"/>
  <c r="P558" i="8"/>
  <c r="L559" i="8"/>
  <c r="R554" i="8"/>
  <c r="M558" i="8" s="1"/>
  <c r="N558" i="8" s="1"/>
  <c r="C254" i="17" l="1"/>
  <c r="M559" i="8"/>
  <c r="O559" i="8" s="1"/>
  <c r="O558" i="8"/>
  <c r="Q558" i="8" s="1"/>
  <c r="P559" i="8"/>
  <c r="L560" i="8"/>
  <c r="R120" i="8"/>
  <c r="R118" i="8"/>
  <c r="R116" i="8"/>
  <c r="R110" i="8"/>
  <c r="C255" i="17" l="1"/>
  <c r="N559" i="8"/>
  <c r="L561" i="8"/>
  <c r="P560" i="8"/>
  <c r="M560" i="8"/>
  <c r="N560" i="8" s="1"/>
  <c r="Q559" i="8"/>
  <c r="I558" i="8"/>
  <c r="E559" i="8"/>
  <c r="R552" i="8"/>
  <c r="F558" i="8" s="1"/>
  <c r="C256" i="17" l="1"/>
  <c r="E560" i="8"/>
  <c r="I560" i="8" s="1"/>
  <c r="F559" i="8"/>
  <c r="L562" i="8"/>
  <c r="M561" i="8"/>
  <c r="N561" i="8" s="1"/>
  <c r="P561" i="8"/>
  <c r="O560" i="8"/>
  <c r="Q560" i="8" s="1"/>
  <c r="I559" i="8"/>
  <c r="C257" i="17" l="1"/>
  <c r="O561" i="8"/>
  <c r="Q561" i="8" s="1"/>
  <c r="E561" i="8"/>
  <c r="E562" i="8" s="1"/>
  <c r="I562" i="8" s="1"/>
  <c r="F560" i="8"/>
  <c r="L563" i="8"/>
  <c r="M562" i="8"/>
  <c r="N562" i="8" s="1"/>
  <c r="P562" i="8"/>
  <c r="G558" i="8"/>
  <c r="H558" i="8"/>
  <c r="J558" i="8" s="1"/>
  <c r="C258" i="17" l="1"/>
  <c r="O562" i="8"/>
  <c r="Q562" i="8" s="1"/>
  <c r="I561" i="8"/>
  <c r="F561" i="8"/>
  <c r="G561" i="8" s="1"/>
  <c r="L564" i="8"/>
  <c r="M563" i="8"/>
  <c r="N563" i="8" s="1"/>
  <c r="P563" i="8"/>
  <c r="G559" i="8"/>
  <c r="E563" i="8"/>
  <c r="I563" i="8" s="1"/>
  <c r="F562" i="8"/>
  <c r="H559" i="8"/>
  <c r="J559" i="8" s="1"/>
  <c r="G560" i="8"/>
  <c r="H560" i="8"/>
  <c r="J560" i="8" s="1"/>
  <c r="O563" i="8" l="1"/>
  <c r="Q563" i="8" s="1"/>
  <c r="C259" i="17"/>
  <c r="L565" i="8"/>
  <c r="P564" i="8"/>
  <c r="M564" i="8"/>
  <c r="N564" i="8" s="1"/>
  <c r="F563" i="8"/>
  <c r="E564" i="8"/>
  <c r="I564" i="8" s="1"/>
  <c r="J564" i="8" s="1"/>
  <c r="H561" i="8"/>
  <c r="J561" i="8" s="1"/>
  <c r="C260" i="17" l="1"/>
  <c r="O564" i="8"/>
  <c r="Q564" i="8" s="1"/>
  <c r="L566" i="8"/>
  <c r="P565" i="8"/>
  <c r="M565" i="8"/>
  <c r="N565" i="8"/>
  <c r="O565" i="8"/>
  <c r="Q565" i="8" s="1"/>
  <c r="F564" i="8"/>
  <c r="E565" i="8"/>
  <c r="I565" i="8" s="1"/>
  <c r="J565" i="8" s="1"/>
  <c r="H562" i="8"/>
  <c r="J562" i="8" s="1"/>
  <c r="G562" i="8"/>
  <c r="C261" i="17" l="1"/>
  <c r="L567" i="8"/>
  <c r="P566" i="8"/>
  <c r="M566" i="8"/>
  <c r="O566" i="8" s="1"/>
  <c r="Q566" i="8" s="1"/>
  <c r="N566" i="8"/>
  <c r="E566" i="8"/>
  <c r="I566" i="8" s="1"/>
  <c r="J566" i="8" s="1"/>
  <c r="F565" i="8"/>
  <c r="G563" i="8"/>
  <c r="H563" i="8"/>
  <c r="J563" i="8" s="1"/>
  <c r="C262" i="17" l="1"/>
  <c r="L568" i="8"/>
  <c r="P567" i="8"/>
  <c r="M567" i="8"/>
  <c r="O567" i="8" s="1"/>
  <c r="Q567" i="8" s="1"/>
  <c r="N567" i="8"/>
  <c r="E567" i="8"/>
  <c r="I567" i="8" s="1"/>
  <c r="J567" i="8" s="1"/>
  <c r="F566" i="8"/>
  <c r="G564" i="8"/>
  <c r="H564" i="8"/>
  <c r="C263" i="17" l="1"/>
  <c r="L569" i="8"/>
  <c r="P568" i="8"/>
  <c r="M568" i="8"/>
  <c r="O568" i="8" s="1"/>
  <c r="F567" i="8"/>
  <c r="E568" i="8"/>
  <c r="I568" i="8" s="1"/>
  <c r="J568" i="8" s="1"/>
  <c r="G565" i="8"/>
  <c r="H565" i="8"/>
  <c r="C264" i="17" l="1"/>
  <c r="Q568" i="8"/>
  <c r="N568" i="8"/>
  <c r="L570" i="8"/>
  <c r="M569" i="8"/>
  <c r="O569" i="8" s="1"/>
  <c r="Q569" i="8" s="1"/>
  <c r="P569" i="8"/>
  <c r="N569" i="8"/>
  <c r="F568" i="8"/>
  <c r="E569" i="8"/>
  <c r="J569" i="8" s="1"/>
  <c r="G566" i="8"/>
  <c r="H566" i="8"/>
  <c r="C265" i="17" l="1"/>
  <c r="L571" i="8"/>
  <c r="M570" i="8"/>
  <c r="O570" i="8" s="1"/>
  <c r="Q570" i="8" s="1"/>
  <c r="P570" i="8"/>
  <c r="N570" i="8"/>
  <c r="F569" i="8"/>
  <c r="I569" i="8"/>
  <c r="E570" i="8"/>
  <c r="I570" i="8" s="1"/>
  <c r="J570" i="8" s="1"/>
  <c r="G567" i="8"/>
  <c r="H567" i="8"/>
  <c r="C266" i="17" l="1"/>
  <c r="L572" i="8"/>
  <c r="M571" i="8"/>
  <c r="N571" i="8" s="1"/>
  <c r="P571" i="8"/>
  <c r="F570" i="8"/>
  <c r="E571" i="8"/>
  <c r="I571" i="8" s="1"/>
  <c r="J571" i="8" s="1"/>
  <c r="H568" i="8"/>
  <c r="G568" i="8"/>
  <c r="C267" i="17" l="1"/>
  <c r="O571" i="8"/>
  <c r="Q571" i="8" s="1"/>
  <c r="L573" i="8"/>
  <c r="P572" i="8"/>
  <c r="M572" i="8"/>
  <c r="N572" i="8" s="1"/>
  <c r="E572" i="8"/>
  <c r="I572" i="8" s="1"/>
  <c r="J572" i="8" s="1"/>
  <c r="F571" i="8"/>
  <c r="H569" i="8"/>
  <c r="G569" i="8"/>
  <c r="C268" i="17" l="1"/>
  <c r="O572" i="8"/>
  <c r="Q572" i="8" s="1"/>
  <c r="L574" i="8"/>
  <c r="P573" i="8"/>
  <c r="M573" i="8"/>
  <c r="N573" i="8"/>
  <c r="O573" i="8"/>
  <c r="Q573" i="8" s="1"/>
  <c r="E573" i="8"/>
  <c r="I573" i="8" s="1"/>
  <c r="J573" i="8" s="1"/>
  <c r="F572" i="8"/>
  <c r="H570" i="8"/>
  <c r="G570" i="8"/>
  <c r="C269" i="17" l="1"/>
  <c r="L575" i="8"/>
  <c r="P574" i="8"/>
  <c r="M574" i="8"/>
  <c r="N574" i="8" s="1"/>
  <c r="E574" i="8"/>
  <c r="I574" i="8" s="1"/>
  <c r="J574" i="8" s="1"/>
  <c r="F573" i="8"/>
  <c r="H571" i="8"/>
  <c r="G571" i="8"/>
  <c r="C270" i="17" l="1"/>
  <c r="O574" i="8"/>
  <c r="Q574" i="8" s="1"/>
  <c r="L576" i="8"/>
  <c r="P575" i="8"/>
  <c r="M575" i="8"/>
  <c r="N575" i="8" s="1"/>
  <c r="E575" i="8"/>
  <c r="I575" i="8" s="1"/>
  <c r="J575" i="8" s="1"/>
  <c r="F574" i="8"/>
  <c r="G572" i="8"/>
  <c r="H572" i="8"/>
  <c r="C271" i="17" l="1"/>
  <c r="O575" i="8"/>
  <c r="Q575" i="8" s="1"/>
  <c r="L577" i="8"/>
  <c r="P576" i="8"/>
  <c r="M576" i="8"/>
  <c r="O576" i="8" s="1"/>
  <c r="Q576" i="8" s="1"/>
  <c r="E576" i="8"/>
  <c r="I576" i="8" s="1"/>
  <c r="J576" i="8" s="1"/>
  <c r="F575" i="8"/>
  <c r="H573" i="8"/>
  <c r="G573" i="8"/>
  <c r="C272" i="17" l="1"/>
  <c r="N576" i="8"/>
  <c r="L578" i="8"/>
  <c r="M577" i="8"/>
  <c r="O577" i="8"/>
  <c r="Q577" i="8" s="1"/>
  <c r="P577" i="8"/>
  <c r="N577" i="8"/>
  <c r="E577" i="8"/>
  <c r="I577" i="8" s="1"/>
  <c r="F576" i="8"/>
  <c r="H574" i="8"/>
  <c r="G574" i="8"/>
  <c r="C273" i="17" l="1"/>
  <c r="L579" i="8"/>
  <c r="M578" i="8"/>
  <c r="O578" i="8" s="1"/>
  <c r="Q578" i="8" s="1"/>
  <c r="P578" i="8"/>
  <c r="F577" i="8"/>
  <c r="J577" i="8"/>
  <c r="E578" i="8"/>
  <c r="I578" i="8" s="1"/>
  <c r="G575" i="8"/>
  <c r="H575" i="8"/>
  <c r="C274" i="17" l="1"/>
  <c r="N578" i="8"/>
  <c r="L580" i="8"/>
  <c r="M579" i="8"/>
  <c r="N579" i="8" s="1"/>
  <c r="O579" i="8"/>
  <c r="Q579" i="8" s="1"/>
  <c r="P579" i="8"/>
  <c r="F578" i="8"/>
  <c r="G578" i="8" s="1"/>
  <c r="H578" i="8"/>
  <c r="E579" i="8"/>
  <c r="I579" i="8" s="1"/>
  <c r="J578" i="8"/>
  <c r="G576" i="8"/>
  <c r="H576" i="8"/>
  <c r="C275" i="17" l="1"/>
  <c r="L581" i="8"/>
  <c r="P580" i="8"/>
  <c r="N580" i="8"/>
  <c r="M580" i="8"/>
  <c r="O580" i="8"/>
  <c r="Q580" i="8"/>
  <c r="F579" i="8"/>
  <c r="G579" i="8" s="1"/>
  <c r="H579" i="8"/>
  <c r="E580" i="8"/>
  <c r="H580" i="8" s="1"/>
  <c r="J579" i="8"/>
  <c r="G577" i="8"/>
  <c r="H577" i="8"/>
  <c r="C276" i="17" l="1"/>
  <c r="L582" i="8"/>
  <c r="P581" i="8"/>
  <c r="M581" i="8"/>
  <c r="N581" i="8" s="1"/>
  <c r="J580" i="8"/>
  <c r="F580" i="8"/>
  <c r="E581" i="8"/>
  <c r="I581" i="8" s="1"/>
  <c r="I580" i="8"/>
  <c r="G580" i="8"/>
  <c r="C277" i="17" l="1"/>
  <c r="O581" i="8"/>
  <c r="Q581" i="8" s="1"/>
  <c r="L583" i="8"/>
  <c r="P582" i="8"/>
  <c r="M582" i="8"/>
  <c r="N582" i="8" s="1"/>
  <c r="G581" i="8"/>
  <c r="E582" i="8"/>
  <c r="G582" i="8" s="1"/>
  <c r="H581" i="8"/>
  <c r="F581" i="8"/>
  <c r="J581" i="8"/>
  <c r="C278" i="17" l="1"/>
  <c r="O582" i="8"/>
  <c r="Q582" i="8" s="1"/>
  <c r="L584" i="8"/>
  <c r="P583" i="8"/>
  <c r="Q583" i="8" s="1"/>
  <c r="M583" i="8"/>
  <c r="N583" i="8" s="1"/>
  <c r="O583" i="8"/>
  <c r="E583" i="8"/>
  <c r="I583" i="8" s="1"/>
  <c r="I582" i="8"/>
  <c r="J582" i="8"/>
  <c r="F582" i="8"/>
  <c r="H582" i="8" s="1"/>
  <c r="C279" i="17" l="1"/>
  <c r="H583" i="8"/>
  <c r="E584" i="8"/>
  <c r="J584" i="8" s="1"/>
  <c r="J583" i="8"/>
  <c r="F583" i="8"/>
  <c r="G583" i="8" s="1"/>
  <c r="L585" i="8"/>
  <c r="P584" i="8"/>
  <c r="M584" i="8"/>
  <c r="O584" i="8" s="1"/>
  <c r="Q584" i="8" s="1"/>
  <c r="C280" i="17" l="1"/>
  <c r="N584" i="8"/>
  <c r="L586" i="8"/>
  <c r="M585" i="8"/>
  <c r="O585" i="8" s="1"/>
  <c r="Q585" i="8" s="1"/>
  <c r="P585" i="8"/>
  <c r="N585" i="8"/>
  <c r="I584" i="8"/>
  <c r="H584" i="8"/>
  <c r="G584" i="8"/>
  <c r="E585" i="8"/>
  <c r="H585" i="8" s="1"/>
  <c r="F584" i="8"/>
  <c r="C281" i="17" l="1"/>
  <c r="G585" i="8"/>
  <c r="E586" i="8"/>
  <c r="J586" i="8" s="1"/>
  <c r="F585" i="8"/>
  <c r="I585" i="8"/>
  <c r="J585" i="8"/>
  <c r="L587" i="8"/>
  <c r="O586" i="8"/>
  <c r="M586" i="8"/>
  <c r="N586" i="8" s="1"/>
  <c r="P586" i="8"/>
  <c r="Q586" i="8" s="1"/>
  <c r="C282" i="17" l="1"/>
  <c r="E587" i="8"/>
  <c r="H587" i="8" s="1"/>
  <c r="I586" i="8"/>
  <c r="F586" i="8"/>
  <c r="H586" i="8" s="1"/>
  <c r="M587" i="8"/>
  <c r="N587" i="8"/>
  <c r="O587" i="8"/>
  <c r="Q587" i="8" s="1"/>
  <c r="P587" i="8"/>
  <c r="G586" i="8"/>
  <c r="C283" i="17" l="1"/>
  <c r="J587" i="8"/>
  <c r="I587" i="8"/>
  <c r="F587" i="8"/>
  <c r="G587" i="8" s="1"/>
  <c r="C284" i="17" l="1"/>
  <c r="R431" i="8"/>
  <c r="R433" i="8" s="1"/>
  <c r="R311" i="8"/>
  <c r="R313" i="8" s="1"/>
  <c r="R271" i="8"/>
  <c r="R617" i="8"/>
  <c r="M699" i="8" s="1"/>
  <c r="R449" i="8"/>
  <c r="R451" i="8" s="1"/>
  <c r="R399" i="8"/>
  <c r="R403" i="8" s="1"/>
  <c r="R405" i="8" s="1"/>
  <c r="R409" i="8" s="1"/>
  <c r="R373" i="8"/>
  <c r="R375" i="8" s="1"/>
  <c r="R341" i="8"/>
  <c r="R347" i="8" s="1"/>
  <c r="R333" i="8"/>
  <c r="R331" i="8"/>
  <c r="R337" i="8" s="1"/>
  <c r="R321" i="8"/>
  <c r="R327" i="8" s="1"/>
  <c r="R329" i="8" s="1"/>
  <c r="R383" i="8"/>
  <c r="R387" i="8" s="1"/>
  <c r="R389" i="8" s="1"/>
  <c r="R393" i="8" s="1"/>
  <c r="M685" i="8" s="1"/>
  <c r="C285" i="17" l="1"/>
  <c r="N411" i="8"/>
  <c r="M696" i="8"/>
  <c r="M695" i="8"/>
  <c r="N377" i="8"/>
  <c r="M693" i="8"/>
  <c r="N453" i="8"/>
  <c r="M694" i="8"/>
  <c r="N435" i="8"/>
  <c r="M683" i="8"/>
  <c r="N395" i="8"/>
  <c r="M684" i="8"/>
  <c r="N315" i="8"/>
  <c r="M682" i="8"/>
  <c r="N462" i="8"/>
  <c r="N468" i="8"/>
  <c r="R339" i="8"/>
  <c r="R351" i="8"/>
  <c r="R343" i="8"/>
  <c r="R349" i="8" s="1"/>
  <c r="R517" i="8"/>
  <c r="H226" i="8"/>
  <c r="H222" i="8"/>
  <c r="H208" i="8"/>
  <c r="H204" i="8"/>
  <c r="C286" i="17" l="1"/>
  <c r="R353" i="8"/>
  <c r="R355" i="8" s="1"/>
  <c r="R513" i="8"/>
  <c r="R136" i="8"/>
  <c r="R652" i="8" s="1"/>
  <c r="R134" i="8"/>
  <c r="R108" i="8"/>
  <c r="R106" i="8"/>
  <c r="E17" i="5"/>
  <c r="E15" i="5"/>
  <c r="E14" i="5"/>
  <c r="E13" i="5"/>
  <c r="E12" i="5"/>
  <c r="E11" i="5"/>
  <c r="E10" i="5"/>
  <c r="E9" i="5"/>
  <c r="E8" i="5"/>
  <c r="E7" i="5"/>
  <c r="E6" i="5"/>
  <c r="E5" i="5"/>
  <c r="R257" i="8"/>
  <c r="C287" i="17" l="1"/>
  <c r="H114" i="8"/>
  <c r="R128" i="8"/>
  <c r="R169" i="8" s="1"/>
  <c r="H140" i="8"/>
  <c r="R156" i="8"/>
  <c r="R367" i="8"/>
  <c r="R359" i="8"/>
  <c r="R361" i="8" s="1"/>
  <c r="R357" i="8"/>
  <c r="R142" i="8"/>
  <c r="H142" i="8"/>
  <c r="R152" i="8"/>
  <c r="R140" i="8"/>
  <c r="R124" i="8"/>
  <c r="R112" i="8"/>
  <c r="H112" i="8"/>
  <c r="R114" i="8"/>
  <c r="H93" i="8"/>
  <c r="R601" i="8"/>
  <c r="M688" i="8" s="1"/>
  <c r="R519" i="8"/>
  <c r="R479" i="8"/>
  <c r="C288" i="17" l="1"/>
  <c r="R154" i="8"/>
  <c r="R363" i="8"/>
  <c r="N603" i="8"/>
  <c r="N619" i="8"/>
  <c r="R126" i="8"/>
  <c r="R485" i="8"/>
  <c r="R487" i="8" s="1"/>
  <c r="R481" i="8"/>
  <c r="R483" i="8" s="1"/>
  <c r="R515" i="8"/>
  <c r="R279" i="8"/>
  <c r="R269" i="8"/>
  <c r="R173" i="8"/>
  <c r="R319" i="8"/>
  <c r="R187" i="8"/>
  <c r="R122" i="8"/>
  <c r="C289" i="17" l="1"/>
  <c r="R275" i="8"/>
  <c r="R277" i="8" s="1"/>
  <c r="R281" i="8"/>
  <c r="R285" i="8"/>
  <c r="R265" i="8"/>
  <c r="H175" i="8"/>
  <c r="R171" i="8"/>
  <c r="R175" i="8" s="1"/>
  <c r="R183" i="8"/>
  <c r="H189" i="8" s="1"/>
  <c r="R150" i="8"/>
  <c r="C290" i="17" l="1"/>
  <c r="R287" i="8"/>
  <c r="R177" i="8"/>
  <c r="M680" i="8" s="1"/>
  <c r="R289" i="8"/>
  <c r="R267" i="8"/>
  <c r="R185" i="8"/>
  <c r="R189" i="8" s="1"/>
  <c r="R191" i="8" s="1"/>
  <c r="K11" i="1"/>
  <c r="K19" i="1"/>
  <c r="C291" i="17" l="1"/>
  <c r="R291" i="8"/>
  <c r="R297" i="8" s="1"/>
  <c r="R299" i="8" s="1"/>
  <c r="N179" i="8"/>
  <c r="Z78" i="1" a="1"/>
  <c r="Z78" i="1" s="1"/>
  <c r="B33" i="1"/>
  <c r="C292" i="17" l="1"/>
  <c r="N193" i="8"/>
  <c r="M691" i="8"/>
  <c r="R293" i="8"/>
  <c r="R305" i="8"/>
  <c r="R295" i="8"/>
  <c r="Z83" i="1"/>
  <c r="Z82" i="1"/>
  <c r="Z81" i="1"/>
  <c r="Z88" i="1"/>
  <c r="C293" i="17" l="1"/>
  <c r="R301" i="8"/>
  <c r="A1" i="6"/>
  <c r="B3" i="1"/>
  <c r="C294" i="17" l="1"/>
  <c r="N7" i="2"/>
  <c r="C295" i="17" l="1"/>
  <c r="B34" i="1"/>
  <c r="C296" i="17" l="1"/>
  <c r="E7" i="4"/>
  <c r="E7" i="3"/>
  <c r="E7" i="2"/>
  <c r="E6" i="4"/>
  <c r="N7" i="3"/>
  <c r="O7" i="4"/>
  <c r="C297" i="17" l="1"/>
  <c r="E6" i="3"/>
  <c r="E4" i="3"/>
  <c r="E3" i="3"/>
  <c r="W74" i="1"/>
  <c r="W75" i="1" s="1"/>
  <c r="Z74" i="1"/>
  <c r="Z75" i="1" s="1"/>
  <c r="W72" i="1"/>
  <c r="Z72" i="1" s="1"/>
  <c r="C298" i="17" l="1"/>
  <c r="Z76" i="1"/>
  <c r="Z73" i="1"/>
  <c r="Z80" i="1" s="1"/>
  <c r="W73" i="1"/>
  <c r="C299" i="17" l="1"/>
  <c r="Z77" i="1"/>
  <c r="D13" i="4"/>
  <c r="N8" i="4"/>
  <c r="N7" i="4"/>
  <c r="K7" i="4"/>
  <c r="D7" i="4"/>
  <c r="N6" i="4"/>
  <c r="K6" i="4"/>
  <c r="D6" i="4"/>
  <c r="N5" i="4"/>
  <c r="N4" i="4"/>
  <c r="K4" i="4"/>
  <c r="E4" i="4"/>
  <c r="D4" i="4"/>
  <c r="N3" i="4"/>
  <c r="K3" i="4"/>
  <c r="E3" i="4"/>
  <c r="D3" i="4"/>
  <c r="D32" i="3"/>
  <c r="M8" i="3"/>
  <c r="M7" i="3"/>
  <c r="K7" i="3"/>
  <c r="D7" i="3"/>
  <c r="M6" i="3"/>
  <c r="K6" i="3"/>
  <c r="D6" i="3"/>
  <c r="M5" i="3"/>
  <c r="M4" i="3"/>
  <c r="K4" i="3"/>
  <c r="D4" i="3"/>
  <c r="M3" i="3"/>
  <c r="K3" i="3"/>
  <c r="D3" i="3"/>
  <c r="D29" i="2"/>
  <c r="M8" i="2"/>
  <c r="M7" i="2"/>
  <c r="K7" i="2"/>
  <c r="D7" i="2"/>
  <c r="M6" i="2"/>
  <c r="K6" i="2"/>
  <c r="E6" i="2"/>
  <c r="D6" i="2"/>
  <c r="M5" i="2"/>
  <c r="M4" i="2"/>
  <c r="K4" i="2"/>
  <c r="E4" i="2"/>
  <c r="D4" i="2"/>
  <c r="M3" i="2"/>
  <c r="K3" i="2"/>
  <c r="E3" i="2"/>
  <c r="D3" i="2"/>
  <c r="AJ96" i="1"/>
  <c r="K18" i="1"/>
  <c r="AJ77" i="1"/>
  <c r="Z71" i="1"/>
  <c r="W71" i="1"/>
  <c r="Q79" i="10" l="1"/>
  <c r="W24" i="4"/>
  <c r="C300" i="17"/>
  <c r="Q55" i="10"/>
  <c r="F27" i="4"/>
  <c r="P41" i="1"/>
  <c r="F50" i="4"/>
  <c r="D39" i="4"/>
  <c r="F6" i="4"/>
  <c r="M6" i="4"/>
  <c r="M7" i="4"/>
  <c r="F51" i="4"/>
  <c r="M3" i="4"/>
  <c r="E27" i="4" s="1"/>
  <c r="W92" i="1"/>
  <c r="W93" i="1" s="1"/>
  <c r="W101" i="1" s="1"/>
  <c r="F6" i="3"/>
  <c r="L7" i="4"/>
  <c r="F3" i="4"/>
  <c r="F3" i="2"/>
  <c r="F6" i="2"/>
  <c r="L4" i="4"/>
  <c r="L6" i="4"/>
  <c r="M4" i="4"/>
  <c r="L3" i="4"/>
  <c r="F3" i="3"/>
  <c r="AJ97" i="1"/>
  <c r="G7" i="4"/>
  <c r="G7" i="3"/>
  <c r="H7" i="4"/>
  <c r="H7" i="2"/>
  <c r="AJ79" i="1"/>
  <c r="H7" i="3"/>
  <c r="F4" i="2"/>
  <c r="F4" i="3"/>
  <c r="F7" i="2"/>
  <c r="F7" i="4"/>
  <c r="F7" i="3"/>
  <c r="F4" i="4"/>
  <c r="AJ98" i="1"/>
  <c r="W94" i="1"/>
  <c r="W95" i="1" s="1"/>
  <c r="W103" i="1" s="1"/>
  <c r="AJ100" i="1"/>
  <c r="W83" i="1"/>
  <c r="W86" i="1"/>
  <c r="AJ99" i="1"/>
  <c r="AJ78" i="1"/>
  <c r="W78" i="1" s="1"/>
  <c r="W81" i="1"/>
  <c r="AF93" i="1"/>
  <c r="AJ80" i="1"/>
  <c r="AJ101" i="1"/>
  <c r="W85" i="1"/>
  <c r="G7" i="2"/>
  <c r="AJ81" i="1"/>
  <c r="W76" i="1"/>
  <c r="W96" i="1" s="1"/>
  <c r="W97" i="1" s="1"/>
  <c r="C301" i="17" l="1"/>
  <c r="G4" i="4"/>
  <c r="R87" i="8"/>
  <c r="Q108" i="10" s="1"/>
  <c r="D27" i="4"/>
  <c r="D17" i="4"/>
  <c r="L3" i="3"/>
  <c r="Q47" i="10" s="1"/>
  <c r="L3" i="2"/>
  <c r="Q39" i="10" s="1"/>
  <c r="L4" i="2"/>
  <c r="Q63" i="10" s="1"/>
  <c r="L7" i="3"/>
  <c r="L4" i="3"/>
  <c r="Q71" i="10" s="1"/>
  <c r="L7" i="2"/>
  <c r="W100" i="1"/>
  <c r="L6" i="2"/>
  <c r="L6" i="3"/>
  <c r="W80" i="1"/>
  <c r="AJ103" i="1"/>
  <c r="AJ102" i="1"/>
  <c r="AJ105" i="1"/>
  <c r="I7" i="4"/>
  <c r="I7" i="3"/>
  <c r="I7" i="2"/>
  <c r="G4" i="3"/>
  <c r="AM99" i="1"/>
  <c r="W102" i="1"/>
  <c r="W77" i="1"/>
  <c r="G4" i="2"/>
  <c r="W84" i="1"/>
  <c r="W106" i="1"/>
  <c r="W107" i="1"/>
  <c r="AJ82" i="1"/>
  <c r="AJ83" i="1"/>
  <c r="W98" i="1"/>
  <c r="W99" i="1" s="1"/>
  <c r="W82" i="1"/>
  <c r="AJ84" i="1"/>
  <c r="C302" i="17" l="1"/>
  <c r="Q106" i="10"/>
  <c r="Q112" i="10"/>
  <c r="Q110" i="10"/>
  <c r="H6" i="3"/>
  <c r="R89" i="8"/>
  <c r="R91" i="8"/>
  <c r="R626" i="8"/>
  <c r="R628" i="8" s="1"/>
  <c r="R85" i="8"/>
  <c r="D46" i="3"/>
  <c r="D43" i="2"/>
  <c r="L5" i="3"/>
  <c r="L5" i="2"/>
  <c r="P7" i="4"/>
  <c r="O7" i="3"/>
  <c r="O7" i="2"/>
  <c r="L8" i="2"/>
  <c r="L8" i="3"/>
  <c r="AF94" i="1"/>
  <c r="P40" i="1" s="1"/>
  <c r="B11" i="24" s="1"/>
  <c r="H6" i="4"/>
  <c r="W104" i="1"/>
  <c r="W115" i="1" s="1"/>
  <c r="H3" i="2"/>
  <c r="H3" i="4"/>
  <c r="W79" i="1"/>
  <c r="Z79" i="1"/>
  <c r="H6" i="2"/>
  <c r="AF84" i="1"/>
  <c r="P39" i="1" s="1"/>
  <c r="B22" i="24" s="1"/>
  <c r="H3" i="3"/>
  <c r="AJ88" i="1"/>
  <c r="AJ107" i="1"/>
  <c r="G6" i="2"/>
  <c r="G6" i="3"/>
  <c r="G6" i="4"/>
  <c r="G3" i="4"/>
  <c r="E30" i="4" s="1"/>
  <c r="E33" i="4" s="1"/>
  <c r="G3" i="3"/>
  <c r="E28" i="3" s="1"/>
  <c r="G3" i="2"/>
  <c r="E25" i="2" s="1"/>
  <c r="AM100" i="1"/>
  <c r="AM102" i="1" s="1"/>
  <c r="AM98" i="1"/>
  <c r="AM105" i="1" s="1"/>
  <c r="AJ92" i="1"/>
  <c r="W87" i="1"/>
  <c r="W109" i="1"/>
  <c r="W108" i="1"/>
  <c r="W110" i="1" s="1"/>
  <c r="AM101" i="1"/>
  <c r="AM103" i="1" s="1"/>
  <c r="C303" i="17" l="1"/>
  <c r="J148" i="10"/>
  <c r="J149" i="10"/>
  <c r="G5" i="4"/>
  <c r="R632" i="8"/>
  <c r="R648" i="8"/>
  <c r="R630" i="8"/>
  <c r="R609" i="8"/>
  <c r="R607" i="8"/>
  <c r="R591" i="8"/>
  <c r="R593" i="8"/>
  <c r="R423" i="8"/>
  <c r="R441" i="8"/>
  <c r="W89" i="1"/>
  <c r="D37" i="3"/>
  <c r="D38" i="3" s="1"/>
  <c r="G39" i="1"/>
  <c r="B9" i="24" s="1"/>
  <c r="D34" i="2"/>
  <c r="D35" i="2" s="1"/>
  <c r="D40" i="4"/>
  <c r="D41" i="4" s="1"/>
  <c r="Z84" i="1"/>
  <c r="G8" i="4"/>
  <c r="I3" i="2"/>
  <c r="AJ86" i="1"/>
  <c r="AJ87" i="1" s="1"/>
  <c r="AJ89" i="1" s="1"/>
  <c r="G5" i="3"/>
  <c r="I6" i="2"/>
  <c r="G5" i="2"/>
  <c r="I6" i="4"/>
  <c r="W105" i="1"/>
  <c r="W116" i="1" s="1"/>
  <c r="I3" i="4"/>
  <c r="I3" i="3"/>
  <c r="AM107" i="1"/>
  <c r="AO107" i="1" s="1"/>
  <c r="W88" i="1"/>
  <c r="G8" i="3"/>
  <c r="G8" i="2"/>
  <c r="I6" i="3"/>
  <c r="W112" i="1"/>
  <c r="W117" i="1"/>
  <c r="W119" i="1" s="1"/>
  <c r="W111" i="1"/>
  <c r="W26" i="3" l="1"/>
  <c r="W26" i="2"/>
  <c r="W26" i="4"/>
  <c r="B17" i="24"/>
  <c r="C304" i="17"/>
  <c r="H4" i="3"/>
  <c r="I4" i="3" s="1"/>
  <c r="D23" i="3" s="1"/>
  <c r="D30" i="4"/>
  <c r="R650" i="8"/>
  <c r="R654" i="8" s="1"/>
  <c r="R443" i="8"/>
  <c r="R445" i="8"/>
  <c r="R425" i="8"/>
  <c r="R460" i="8" s="1"/>
  <c r="R427" i="8"/>
  <c r="M3" i="6"/>
  <c r="M35" i="6"/>
  <c r="M27" i="6"/>
  <c r="M19" i="6"/>
  <c r="M11" i="6"/>
  <c r="M33" i="6"/>
  <c r="M25" i="6"/>
  <c r="M17" i="6"/>
  <c r="M34" i="6"/>
  <c r="M26" i="6"/>
  <c r="M18" i="6"/>
  <c r="M10" i="6"/>
  <c r="M13" i="6"/>
  <c r="M32" i="6"/>
  <c r="M24" i="6"/>
  <c r="M16" i="6"/>
  <c r="M8" i="6"/>
  <c r="M29" i="6"/>
  <c r="M5" i="6"/>
  <c r="M31" i="6"/>
  <c r="M23" i="6"/>
  <c r="M15" i="6"/>
  <c r="M7" i="6"/>
  <c r="M6" i="6"/>
  <c r="M30" i="6"/>
  <c r="M22" i="6"/>
  <c r="M14" i="6"/>
  <c r="M21" i="6"/>
  <c r="M28" i="6"/>
  <c r="M20" i="6"/>
  <c r="M12" i="6"/>
  <c r="M4" i="6"/>
  <c r="M9" i="6"/>
  <c r="D25" i="2"/>
  <c r="Z85" i="1"/>
  <c r="D28" i="3"/>
  <c r="N14" i="1"/>
  <c r="P14" i="1" s="1"/>
  <c r="P6" i="4"/>
  <c r="O6" i="2"/>
  <c r="O3" i="3"/>
  <c r="E25" i="3" s="1"/>
  <c r="E26" i="3" s="1"/>
  <c r="E31" i="3" s="1"/>
  <c r="O6" i="3"/>
  <c r="P3" i="4"/>
  <c r="O3" i="2"/>
  <c r="Z86" i="1"/>
  <c r="AJ44" i="1"/>
  <c r="H4" i="2"/>
  <c r="H4" i="4"/>
  <c r="W90" i="1"/>
  <c r="W113" i="1"/>
  <c r="W114" i="1" s="1"/>
  <c r="W118" i="1"/>
  <c r="W120" i="1" s="1"/>
  <c r="W121" i="1" s="1"/>
  <c r="C305" i="17" l="1"/>
  <c r="F30" i="4"/>
  <c r="F33" i="4" s="1"/>
  <c r="D33" i="4"/>
  <c r="Q18" i="10"/>
  <c r="H57" i="10" s="1"/>
  <c r="D19" i="3"/>
  <c r="E28" i="4"/>
  <c r="E32" i="4" s="1"/>
  <c r="E22" i="2"/>
  <c r="E23" i="2" s="1"/>
  <c r="E28" i="2" s="1"/>
  <c r="H5" i="4"/>
  <c r="I5" i="4" s="1"/>
  <c r="R656" i="8"/>
  <c r="M700" i="8" s="1"/>
  <c r="H656" i="8"/>
  <c r="I462" i="8"/>
  <c r="R462" i="8" s="1"/>
  <c r="N685" i="8"/>
  <c r="O685" i="8" s="1"/>
  <c r="R429" i="8"/>
  <c r="R466" i="8"/>
  <c r="R447" i="8"/>
  <c r="D14" i="3"/>
  <c r="D15" i="3" s="1"/>
  <c r="D45" i="4"/>
  <c r="D50" i="4" s="1"/>
  <c r="D40" i="2"/>
  <c r="D43" i="3"/>
  <c r="D52" i="3" s="1"/>
  <c r="G41" i="1"/>
  <c r="I4" i="4"/>
  <c r="I4" i="2"/>
  <c r="Z87" i="1"/>
  <c r="G40" i="1" s="1"/>
  <c r="B10" i="24" s="1"/>
  <c r="H5" i="2"/>
  <c r="H5" i="3"/>
  <c r="W123" i="1"/>
  <c r="W122" i="1"/>
  <c r="E34" i="4" l="1"/>
  <c r="W30" i="4"/>
  <c r="B16" i="24"/>
  <c r="B14" i="24"/>
  <c r="B15" i="24" s="1"/>
  <c r="C306" i="17"/>
  <c r="Q41" i="10"/>
  <c r="Q43" i="10" s="1"/>
  <c r="H43" i="10"/>
  <c r="Q49" i="10"/>
  <c r="Q51" i="10" s="1"/>
  <c r="Q57" i="10"/>
  <c r="D21" i="4"/>
  <c r="F28" i="4" s="1"/>
  <c r="F32" i="4" s="1"/>
  <c r="F34" i="4" s="1"/>
  <c r="D23" i="4"/>
  <c r="D20" i="2"/>
  <c r="D16" i="2"/>
  <c r="D49" i="2"/>
  <c r="I453" i="8"/>
  <c r="R453" i="8" s="1"/>
  <c r="N694" i="8"/>
  <c r="I468" i="8"/>
  <c r="R468" i="8" s="1"/>
  <c r="N696" i="8"/>
  <c r="P685" i="8"/>
  <c r="I435" i="8"/>
  <c r="R435" i="8" s="1"/>
  <c r="N683" i="8"/>
  <c r="D50" i="2"/>
  <c r="D53" i="3"/>
  <c r="D51" i="4"/>
  <c r="D45" i="3"/>
  <c r="D42" i="2"/>
  <c r="P5" i="4"/>
  <c r="I5" i="2"/>
  <c r="I5" i="3"/>
  <c r="D41" i="2"/>
  <c r="H8" i="3"/>
  <c r="D47" i="3" s="1"/>
  <c r="H8" i="4"/>
  <c r="E50" i="4" s="1"/>
  <c r="B13" i="24" s="1"/>
  <c r="H8" i="2"/>
  <c r="D44" i="2" s="1"/>
  <c r="D44" i="3"/>
  <c r="D46" i="4"/>
  <c r="O696" i="8" l="1"/>
  <c r="P696" i="8" s="1"/>
  <c r="O694" i="8"/>
  <c r="P694" i="8" s="1"/>
  <c r="O683" i="8"/>
  <c r="P683" i="8" s="1"/>
  <c r="C307" i="17"/>
  <c r="Q117" i="10"/>
  <c r="K148" i="10" s="1"/>
  <c r="Q16" i="10"/>
  <c r="Q14" i="10"/>
  <c r="Q65" i="10" s="1"/>
  <c r="H51" i="10"/>
  <c r="E49" i="2"/>
  <c r="F49" i="2" s="1"/>
  <c r="E52" i="3"/>
  <c r="F52" i="3" s="1"/>
  <c r="E53" i="3"/>
  <c r="F53" i="3" s="1"/>
  <c r="E51" i="4"/>
  <c r="E50" i="2"/>
  <c r="F50" i="2" s="1"/>
  <c r="G50" i="4"/>
  <c r="H50" i="4" s="1"/>
  <c r="D48" i="3"/>
  <c r="O5" i="2"/>
  <c r="O5" i="3"/>
  <c r="I8" i="2"/>
  <c r="I8" i="3"/>
  <c r="I8" i="4"/>
  <c r="G51" i="4" l="1"/>
  <c r="H51" i="4" s="1"/>
  <c r="B12" i="24"/>
  <c r="C308" i="17"/>
  <c r="Q123" i="10"/>
  <c r="Q81" i="10"/>
  <c r="H81" i="10"/>
  <c r="H67" i="10"/>
  <c r="O8" i="3"/>
  <c r="O8" i="2"/>
  <c r="P8" i="4"/>
  <c r="D19" i="4" s="1"/>
  <c r="W23" i="4" s="1"/>
  <c r="W25" i="4" s="1"/>
  <c r="W27" i="4" s="1"/>
  <c r="D45" i="2"/>
  <c r="B3" i="24" l="1"/>
  <c r="C309" i="17"/>
  <c r="L148" i="10"/>
  <c r="M148" i="10" s="1"/>
  <c r="Q125" i="10"/>
  <c r="H125" i="10"/>
  <c r="D14" i="2"/>
  <c r="W23" i="2" s="1"/>
  <c r="W24" i="2" s="1"/>
  <c r="W25" i="2" s="1"/>
  <c r="W28" i="2" s="1"/>
  <c r="D15" i="2"/>
  <c r="D17" i="3"/>
  <c r="W23" i="3" s="1"/>
  <c r="D18" i="3"/>
  <c r="D20" i="4"/>
  <c r="W24" i="3" l="1"/>
  <c r="W25" i="3" s="1"/>
  <c r="W28" i="3" s="1"/>
  <c r="B6" i="24"/>
  <c r="A32" i="24" s="1"/>
  <c r="C310" i="17"/>
  <c r="Q8" i="10"/>
  <c r="Q10" i="10"/>
  <c r="Q25" i="10" s="1"/>
  <c r="F149" i="10" s="1"/>
  <c r="D25" i="4"/>
  <c r="C311" i="17" l="1"/>
  <c r="D28" i="4"/>
  <c r="D32" i="4" s="1"/>
  <c r="G33" i="4" s="1"/>
  <c r="E23" i="4"/>
  <c r="Q23" i="10"/>
  <c r="F148" i="10" s="1"/>
  <c r="Q30" i="10"/>
  <c r="D47" i="4"/>
  <c r="C312" i="17" l="1"/>
  <c r="D34" i="4"/>
  <c r="Q95" i="10"/>
  <c r="O4" i="2"/>
  <c r="D12" i="2" s="1"/>
  <c r="C313" i="17" l="1"/>
  <c r="E12" i="2"/>
  <c r="D18" i="2" s="1"/>
  <c r="P4" i="4"/>
  <c r="D11" i="4" s="1"/>
  <c r="Q67" i="10"/>
  <c r="Q73" i="10"/>
  <c r="O4" i="3"/>
  <c r="D12" i="3" s="1"/>
  <c r="C314" i="17" l="1"/>
  <c r="E20" i="2"/>
  <c r="D35" i="4"/>
  <c r="D22" i="2"/>
  <c r="D23" i="2" s="1"/>
  <c r="D28" i="2" s="1"/>
  <c r="E11" i="4"/>
  <c r="E12" i="3"/>
  <c r="E18" i="3" s="1"/>
  <c r="Q75" i="10"/>
  <c r="Q119" i="10" s="1"/>
  <c r="H75" i="10"/>
  <c r="C315" i="17" l="1"/>
  <c r="D30" i="2"/>
  <c r="G29" i="2"/>
  <c r="D21" i="3"/>
  <c r="Q87" i="10"/>
  <c r="I51" i="4"/>
  <c r="I50" i="4"/>
  <c r="Q127" i="10"/>
  <c r="K149" i="10"/>
  <c r="C316" i="17" l="1"/>
  <c r="E23" i="3"/>
  <c r="D25" i="3"/>
  <c r="D26" i="3" s="1"/>
  <c r="D31" i="3" s="1"/>
  <c r="D53" i="4"/>
  <c r="L149" i="10"/>
  <c r="M149" i="10" s="1"/>
  <c r="Q129" i="10"/>
  <c r="H129" i="10"/>
  <c r="G49" i="2"/>
  <c r="G50" i="2"/>
  <c r="C317" i="17" l="1"/>
  <c r="G32" i="3"/>
  <c r="P36" i="1" s="1"/>
  <c r="B23" i="24" s="1"/>
  <c r="N12" i="1"/>
  <c r="D33" i="3"/>
  <c r="Q91" i="10"/>
  <c r="Q121" i="10" s="1"/>
  <c r="Q131" i="10" s="1"/>
  <c r="R93" i="8"/>
  <c r="D52" i="2"/>
  <c r="C318" i="17" l="1"/>
  <c r="K150" i="10"/>
  <c r="R97" i="8"/>
  <c r="R95" i="8"/>
  <c r="G53" i="3"/>
  <c r="A14" i="1"/>
  <c r="N13" i="1" s="1"/>
  <c r="H133" i="10"/>
  <c r="Q133" i="10"/>
  <c r="L150" i="10"/>
  <c r="G52" i="3"/>
  <c r="C319" i="17" l="1"/>
  <c r="D55" i="3"/>
  <c r="P13" i="1"/>
  <c r="M150" i="10"/>
  <c r="L153" i="10"/>
  <c r="R489" i="8"/>
  <c r="I179" i="8"/>
  <c r="R179" i="8" s="1"/>
  <c r="R595" i="8"/>
  <c r="R597" i="8" s="1"/>
  <c r="R599" i="8" s="1"/>
  <c r="R369" i="8"/>
  <c r="R523" i="8"/>
  <c r="N680" i="8"/>
  <c r="R307" i="8"/>
  <c r="R303" i="8"/>
  <c r="R491" i="8"/>
  <c r="R521" i="8"/>
  <c r="R611" i="8"/>
  <c r="R613" i="8" s="1"/>
  <c r="R615" i="8" s="1"/>
  <c r="N691" i="8"/>
  <c r="R365" i="8"/>
  <c r="I193" i="8"/>
  <c r="R193" i="8" s="1"/>
  <c r="O691" i="8" l="1"/>
  <c r="P691" i="8" s="1"/>
  <c r="O680" i="8"/>
  <c r="P680" i="8" s="1"/>
  <c r="C320" i="17"/>
  <c r="R525" i="8"/>
  <c r="R527" i="8" s="1"/>
  <c r="O697" i="8" s="1"/>
  <c r="R385" i="8"/>
  <c r="R309" i="8"/>
  <c r="N688" i="8"/>
  <c r="I603" i="8"/>
  <c r="R603" i="8" s="1"/>
  <c r="R371" i="8"/>
  <c r="R401" i="8"/>
  <c r="R493" i="8"/>
  <c r="I619" i="8"/>
  <c r="R619" i="8" s="1"/>
  <c r="N699" i="8"/>
  <c r="O699" i="8" l="1"/>
  <c r="P699" i="8" s="1"/>
  <c r="P697" i="8"/>
  <c r="O688" i="8"/>
  <c r="P688" i="8" s="1"/>
  <c r="C321" i="17"/>
  <c r="R539" i="8"/>
  <c r="O698" i="8" s="1"/>
  <c r="R495" i="8"/>
  <c r="R507" i="8"/>
  <c r="I411" i="8"/>
  <c r="R411" i="8" s="1"/>
  <c r="N695" i="8"/>
  <c r="N693" i="8"/>
  <c r="I377" i="8"/>
  <c r="R377" i="8" s="1"/>
  <c r="N682" i="8"/>
  <c r="O682" i="8" s="1"/>
  <c r="I315" i="8"/>
  <c r="R315" i="8" s="1"/>
  <c r="N684" i="8"/>
  <c r="I395" i="8"/>
  <c r="R395" i="8" s="1"/>
  <c r="P698" i="8" l="1"/>
  <c r="O695" i="8"/>
  <c r="P695" i="8" s="1"/>
  <c r="O693" i="8"/>
  <c r="P693" i="8" s="1"/>
  <c r="O687" i="8"/>
  <c r="P687" i="8" s="1"/>
  <c r="O686" i="8"/>
  <c r="P686" i="8" s="1"/>
  <c r="O684" i="8"/>
  <c r="P684" i="8" s="1"/>
  <c r="C322" i="17"/>
  <c r="P682" i="8"/>
  <c r="O702" i="8" l="1"/>
  <c r="C323" i="17"/>
  <c r="C324" i="17" l="1"/>
  <c r="C325" i="17" l="1"/>
  <c r="C326" i="17" l="1"/>
  <c r="C327" i="17" l="1"/>
  <c r="C328" i="17" l="1"/>
  <c r="C329" i="17" l="1"/>
  <c r="C330" i="17" l="1"/>
  <c r="C331" i="17" l="1"/>
  <c r="C332" i="17" l="1"/>
  <c r="C333" i="17" l="1"/>
  <c r="C334" i="17" l="1"/>
  <c r="C335" i="17" l="1"/>
  <c r="C336" i="17" l="1"/>
  <c r="G29" i="17"/>
  <c r="J54" i="17"/>
  <c r="AI233" i="17"/>
  <c r="N7" i="17"/>
  <c r="AH230" i="17"/>
  <c r="AF80" i="17"/>
  <c r="AV110" i="17"/>
  <c r="T41" i="17"/>
  <c r="N212" i="17"/>
  <c r="E218" i="17"/>
  <c r="G181" i="17"/>
  <c r="E56" i="17"/>
  <c r="AM164" i="17"/>
  <c r="AK35" i="17"/>
  <c r="AD139" i="17"/>
  <c r="Y124" i="17"/>
  <c r="L202" i="17"/>
  <c r="AH186" i="17"/>
  <c r="AA45" i="17"/>
  <c r="AP228" i="17"/>
  <c r="AW186" i="17"/>
  <c r="N147" i="17"/>
  <c r="K74" i="17"/>
  <c r="L70" i="17"/>
  <c r="AT87" i="17"/>
  <c r="Z95" i="17"/>
  <c r="AB68" i="17"/>
  <c r="Y79" i="17"/>
  <c r="I159" i="17"/>
  <c r="AU60" i="17"/>
  <c r="AO58" i="17"/>
  <c r="S101" i="17"/>
  <c r="F132" i="17"/>
  <c r="AP90" i="17"/>
  <c r="R261" i="17"/>
  <c r="AW27" i="17"/>
  <c r="Z143" i="17"/>
  <c r="P228" i="17"/>
  <c r="W157" i="17"/>
  <c r="S90" i="17"/>
  <c r="AC119" i="17"/>
  <c r="AQ64" i="17"/>
  <c r="P156" i="17"/>
  <c r="Z172" i="17"/>
  <c r="I124" i="17"/>
  <c r="W38" i="17"/>
  <c r="AJ156" i="17"/>
  <c r="AC145" i="17"/>
  <c r="L187" i="17"/>
  <c r="J40" i="17"/>
  <c r="AL147" i="17"/>
  <c r="K198" i="17"/>
  <c r="L150" i="17"/>
  <c r="E32" i="17"/>
  <c r="H98" i="17"/>
  <c r="Z238" i="17"/>
  <c r="M79" i="17"/>
  <c r="F110" i="17"/>
  <c r="AK72" i="17"/>
  <c r="AP142" i="17"/>
  <c r="P33" i="17"/>
  <c r="W113" i="17"/>
  <c r="AD40" i="17"/>
  <c r="E148" i="17"/>
  <c r="D123" i="17"/>
  <c r="U167" i="17"/>
  <c r="V211" i="17"/>
  <c r="T143" i="17"/>
  <c r="AH7" i="17"/>
  <c r="P99" i="17"/>
  <c r="AC34" i="17"/>
  <c r="AA18" i="17"/>
  <c r="AI72" i="17"/>
  <c r="AG81" i="17"/>
  <c r="AD102" i="17"/>
  <c r="I74" i="17"/>
  <c r="AN134" i="17"/>
  <c r="AO111" i="17"/>
  <c r="V94" i="17"/>
  <c r="F86" i="17"/>
  <c r="K83" i="17"/>
  <c r="AA267" i="17"/>
  <c r="AJ86" i="17"/>
  <c r="AG39" i="17"/>
  <c r="V126" i="17"/>
  <c r="AE101" i="17"/>
  <c r="Z13" i="17"/>
  <c r="AF238" i="17"/>
  <c r="X131" i="17"/>
  <c r="Z55" i="17"/>
  <c r="AF160" i="17"/>
  <c r="AU155" i="17"/>
  <c r="Q2" i="17"/>
  <c r="E112" i="17"/>
  <c r="N19" i="17"/>
  <c r="G100" i="17"/>
  <c r="E161" i="17"/>
  <c r="W198" i="17"/>
  <c r="AH88" i="17"/>
  <c r="AZ98" i="17"/>
  <c r="N182" i="17"/>
  <c r="D141" i="17"/>
  <c r="AD191" i="17"/>
  <c r="AR106" i="17"/>
  <c r="H158" i="17"/>
  <c r="D217" i="17"/>
  <c r="AS161" i="17"/>
  <c r="AS131" i="17"/>
  <c r="AO26" i="17"/>
  <c r="AK33" i="17"/>
  <c r="AZ31" i="17"/>
  <c r="W188" i="17"/>
  <c r="D173" i="17"/>
  <c r="O184" i="17"/>
  <c r="L72" i="17"/>
  <c r="S163" i="17"/>
  <c r="AS3" i="17"/>
  <c r="V48" i="17"/>
  <c r="X82" i="17"/>
  <c r="Y166" i="17"/>
  <c r="K121" i="17"/>
  <c r="AY160" i="17"/>
  <c r="O193" i="17"/>
  <c r="D22" i="17"/>
  <c r="K151" i="17"/>
  <c r="R157" i="17"/>
  <c r="AV4" i="17"/>
  <c r="W78" i="17"/>
  <c r="AB112" i="17"/>
  <c r="AV16" i="17"/>
  <c r="AZ203" i="17"/>
  <c r="Q77" i="17"/>
  <c r="AC52" i="17"/>
  <c r="AV47" i="17"/>
  <c r="J191" i="17"/>
  <c r="AG213" i="17"/>
  <c r="R118" i="17"/>
  <c r="AE61" i="17"/>
  <c r="AB228" i="17"/>
  <c r="H264" i="17"/>
  <c r="U81" i="17"/>
  <c r="AQ190" i="17"/>
  <c r="AG239" i="17"/>
  <c r="AR148" i="17"/>
  <c r="U109" i="17"/>
  <c r="BA246" i="17"/>
  <c r="AV77" i="17"/>
  <c r="AL213" i="17"/>
  <c r="Z162" i="17"/>
  <c r="W116" i="17"/>
  <c r="J224" i="17"/>
  <c r="AO29" i="17"/>
  <c r="AN189" i="17"/>
  <c r="AF74" i="17"/>
  <c r="AD84" i="17"/>
  <c r="Q148" i="17"/>
  <c r="I62" i="17"/>
  <c r="N245" i="17"/>
  <c r="P266" i="17"/>
  <c r="AZ112" i="17"/>
  <c r="E12" i="17"/>
  <c r="W112" i="17"/>
  <c r="Y42" i="17"/>
  <c r="T47" i="17"/>
  <c r="AC23" i="17"/>
  <c r="U80" i="17"/>
  <c r="AJ270" i="17"/>
  <c r="I5" i="17"/>
  <c r="Q92" i="17"/>
  <c r="AC129" i="17"/>
  <c r="AO54" i="17"/>
  <c r="AD239" i="17"/>
  <c r="BA115" i="17"/>
  <c r="AM153" i="17"/>
  <c r="AE42" i="17"/>
  <c r="AZ217" i="17"/>
  <c r="L145" i="17"/>
  <c r="AO212" i="17"/>
  <c r="N142" i="17"/>
  <c r="AA296" i="17"/>
  <c r="N157" i="17"/>
  <c r="W225" i="17"/>
  <c r="G134" i="17"/>
  <c r="AJ143" i="17"/>
  <c r="K42" i="17"/>
  <c r="AN104" i="17"/>
  <c r="AA28" i="17"/>
  <c r="AU169" i="17"/>
  <c r="O7" i="17"/>
  <c r="AR244" i="17"/>
  <c r="AX201" i="17"/>
  <c r="AO127" i="17"/>
  <c r="AX173" i="17"/>
  <c r="AC134" i="17"/>
  <c r="AG28" i="17"/>
  <c r="Z136" i="17"/>
  <c r="AP204" i="17"/>
  <c r="F89" i="17"/>
  <c r="L102" i="17"/>
  <c r="W221" i="17"/>
  <c r="AW32" i="17"/>
  <c r="AV96" i="17"/>
  <c r="AG53" i="17"/>
  <c r="AP105" i="17"/>
  <c r="V110" i="17"/>
  <c r="H87" i="17"/>
  <c r="AK204" i="17"/>
  <c r="O228" i="17"/>
  <c r="AD214" i="17"/>
  <c r="L135" i="17"/>
  <c r="N133" i="17"/>
  <c r="AE111" i="17"/>
  <c r="X112" i="17"/>
  <c r="AM75" i="17"/>
  <c r="M105" i="17"/>
  <c r="Q213" i="17"/>
  <c r="U83" i="17"/>
  <c r="BA61" i="17"/>
  <c r="AP33" i="17"/>
  <c r="AQ17" i="17"/>
  <c r="AK196" i="17"/>
  <c r="AF104" i="17"/>
  <c r="AH3" i="17"/>
  <c r="AA176" i="17"/>
  <c r="AP13" i="17"/>
  <c r="I259" i="17"/>
  <c r="R87" i="17"/>
  <c r="W145" i="17"/>
  <c r="I168" i="17"/>
  <c r="R204" i="17"/>
  <c r="AC93" i="17"/>
  <c r="AT252" i="17"/>
  <c r="AK100" i="17"/>
  <c r="AB241" i="17"/>
  <c r="V21" i="17"/>
  <c r="AG87" i="17"/>
  <c r="J64" i="17"/>
  <c r="AL94" i="17"/>
  <c r="U187" i="17"/>
  <c r="AA22" i="17"/>
  <c r="AJ9" i="17"/>
  <c r="S187" i="17"/>
  <c r="R214" i="17"/>
  <c r="AE74" i="17"/>
  <c r="D30" i="17"/>
  <c r="T61" i="17"/>
  <c r="R7" i="17"/>
  <c r="R158" i="17"/>
  <c r="AS34" i="17"/>
  <c r="AW128" i="17"/>
  <c r="Q195" i="17"/>
  <c r="AF115" i="17"/>
  <c r="AC25" i="17"/>
  <c r="D23" i="17"/>
  <c r="AJ102" i="17"/>
  <c r="AC226" i="17"/>
  <c r="R72" i="17"/>
  <c r="Q224" i="17"/>
  <c r="AZ42" i="17"/>
  <c r="R57" i="17"/>
  <c r="AG16" i="17"/>
  <c r="Z80" i="17"/>
  <c r="BA202" i="17"/>
  <c r="AA113" i="17"/>
  <c r="AG71" i="17"/>
  <c r="AD181" i="17"/>
  <c r="AM42" i="17"/>
  <c r="AW175" i="17"/>
  <c r="AH92" i="17"/>
  <c r="G154" i="17"/>
  <c r="E164" i="17"/>
  <c r="G205" i="17"/>
  <c r="R75" i="17"/>
  <c r="W293" i="17"/>
  <c r="AA269" i="17"/>
  <c r="T141" i="17"/>
  <c r="I258" i="17"/>
  <c r="W101" i="17"/>
  <c r="P109" i="17"/>
  <c r="AT195" i="17"/>
  <c r="AR185" i="17"/>
  <c r="U158" i="17"/>
  <c r="AN28" i="17"/>
  <c r="AM128" i="17"/>
  <c r="I61" i="17"/>
  <c r="AF87" i="17"/>
  <c r="AT116" i="17"/>
  <c r="AJ115" i="17"/>
  <c r="AB205" i="17"/>
  <c r="M122" i="17"/>
  <c r="AE200" i="17"/>
  <c r="AJ189" i="17"/>
  <c r="AC204" i="17"/>
  <c r="W53" i="17"/>
  <c r="G178" i="17"/>
  <c r="J87" i="17"/>
  <c r="Z51" i="17"/>
  <c r="X139" i="17"/>
  <c r="AE211" i="17"/>
  <c r="H51" i="17"/>
  <c r="U25" i="17"/>
  <c r="Q219" i="17"/>
  <c r="AC195" i="17"/>
  <c r="AO70" i="17"/>
  <c r="P72" i="17"/>
  <c r="AQ4" i="17"/>
  <c r="O216" i="17"/>
  <c r="AQ184" i="17"/>
  <c r="AG220" i="17"/>
  <c r="AP21" i="17"/>
  <c r="R26" i="17"/>
  <c r="AX94" i="17"/>
  <c r="AM111" i="17"/>
  <c r="O132" i="17"/>
  <c r="AE10" i="17"/>
  <c r="X111" i="17"/>
  <c r="P37" i="17"/>
  <c r="M72" i="17"/>
  <c r="R95" i="17"/>
  <c r="AE194" i="17"/>
  <c r="K183" i="17"/>
  <c r="AZ4" i="17"/>
  <c r="W138" i="17"/>
  <c r="T108" i="17"/>
  <c r="W109" i="17"/>
  <c r="AM94" i="17"/>
  <c r="S108" i="17"/>
  <c r="AC170" i="17"/>
  <c r="AC219" i="17"/>
  <c r="E141" i="17"/>
  <c r="AW46" i="17"/>
  <c r="H4" i="17"/>
  <c r="W191" i="17"/>
  <c r="I189" i="17"/>
  <c r="R6" i="17"/>
  <c r="AG191" i="17"/>
  <c r="G204" i="17"/>
  <c r="I241" i="17"/>
  <c r="G54" i="17"/>
  <c r="U181" i="17"/>
  <c r="H46" i="17"/>
  <c r="AV143" i="17"/>
  <c r="AN198" i="17"/>
  <c r="AM15" i="17"/>
  <c r="O207" i="17"/>
  <c r="E16" i="17"/>
  <c r="I268" i="17"/>
  <c r="AM67" i="17"/>
  <c r="AI178" i="17"/>
  <c r="AV286" i="17"/>
  <c r="AJ273" i="17"/>
  <c r="K197" i="17"/>
  <c r="AO266" i="17"/>
  <c r="AY15" i="17"/>
  <c r="AU223" i="17"/>
  <c r="AR183" i="17"/>
  <c r="AD28" i="17"/>
  <c r="U174" i="17"/>
  <c r="W65" i="17"/>
  <c r="G214" i="17"/>
  <c r="J114" i="17"/>
  <c r="V75" i="17"/>
  <c r="AN201" i="17"/>
  <c r="M189" i="17"/>
  <c r="E21" i="17"/>
  <c r="W178" i="17"/>
  <c r="AW40" i="17"/>
  <c r="AJ57" i="17"/>
  <c r="F106" i="17"/>
  <c r="F26" i="17"/>
  <c r="AO193" i="17"/>
  <c r="AI163" i="17"/>
  <c r="Z18" i="17"/>
  <c r="K116" i="17"/>
  <c r="L83" i="17"/>
  <c r="V93" i="17"/>
  <c r="AK102" i="17"/>
  <c r="AY184" i="17"/>
  <c r="U192" i="17"/>
  <c r="AG94" i="17"/>
  <c r="V37" i="17"/>
  <c r="T80" i="17"/>
  <c r="L73" i="17"/>
  <c r="G222" i="17"/>
  <c r="I205" i="17"/>
  <c r="U99" i="17"/>
  <c r="AD48" i="17"/>
  <c r="AB244" i="17"/>
  <c r="AN210" i="17"/>
  <c r="F224" i="17"/>
  <c r="V191" i="17"/>
  <c r="X94" i="17"/>
  <c r="AF218" i="17"/>
  <c r="T228" i="17"/>
  <c r="L11" i="17"/>
  <c r="Q35" i="17"/>
  <c r="AV212" i="17"/>
  <c r="AC80" i="17"/>
  <c r="AO139" i="17"/>
  <c r="AZ45" i="17"/>
  <c r="X45" i="17"/>
  <c r="F216" i="17"/>
  <c r="AJ198" i="17"/>
  <c r="U87" i="17"/>
  <c r="Y35" i="17"/>
  <c r="AM109" i="17"/>
  <c r="AE209" i="17"/>
  <c r="P48" i="17"/>
  <c r="AC167" i="17"/>
  <c r="AA17" i="17"/>
  <c r="AQ176" i="17"/>
  <c r="AP77" i="17"/>
  <c r="E131" i="17"/>
  <c r="AM157" i="17"/>
  <c r="E60" i="17"/>
  <c r="M200" i="17"/>
  <c r="R58" i="17"/>
  <c r="S246" i="17"/>
  <c r="U198" i="17"/>
  <c r="X225" i="17"/>
  <c r="F239" i="17"/>
  <c r="AB42" i="17"/>
  <c r="AM160" i="17"/>
  <c r="AY225" i="17"/>
  <c r="H196" i="17"/>
  <c r="AS53" i="17"/>
  <c r="Y207" i="17"/>
  <c r="AD208" i="17"/>
  <c r="K139" i="17"/>
  <c r="AA77" i="17"/>
  <c r="AQ193" i="17"/>
  <c r="S9" i="17"/>
  <c r="D169" i="17"/>
  <c r="E99" i="17"/>
  <c r="W224" i="17"/>
  <c r="L43" i="17"/>
  <c r="AW41" i="17"/>
  <c r="T277" i="17"/>
  <c r="R213" i="17"/>
  <c r="AH16" i="17"/>
  <c r="G71" i="17"/>
  <c r="N141" i="17"/>
  <c r="AC84" i="17"/>
  <c r="AM207" i="17"/>
  <c r="J85" i="17"/>
  <c r="T187" i="17"/>
  <c r="V204" i="17"/>
  <c r="S6" i="17"/>
  <c r="Q7" i="17"/>
  <c r="AV209" i="17"/>
  <c r="E184" i="17"/>
  <c r="N44" i="17"/>
  <c r="AY139" i="17"/>
  <c r="AL103" i="17"/>
  <c r="L57" i="17"/>
  <c r="H74" i="17"/>
  <c r="AM136" i="17"/>
  <c r="AE97" i="17"/>
  <c r="T180" i="17"/>
  <c r="X221" i="17"/>
  <c r="AW47" i="17"/>
  <c r="P181" i="17"/>
  <c r="AJ120" i="17"/>
  <c r="R187" i="17"/>
  <c r="U74" i="17"/>
  <c r="AG160" i="17"/>
  <c r="V50" i="17"/>
  <c r="Z84" i="17"/>
  <c r="AO113" i="17"/>
  <c r="D105" i="17"/>
  <c r="S37" i="17"/>
  <c r="AS199" i="17"/>
  <c r="W209" i="17"/>
  <c r="H86" i="17"/>
  <c r="V106" i="17"/>
  <c r="AI127" i="17"/>
  <c r="AW109" i="17"/>
  <c r="K105" i="17"/>
  <c r="M158" i="17"/>
  <c r="M132" i="17"/>
  <c r="AA38" i="17"/>
  <c r="F46" i="17"/>
  <c r="Q68" i="17"/>
  <c r="U225" i="17"/>
  <c r="AP60" i="17"/>
  <c r="E85" i="17"/>
  <c r="T62" i="17"/>
  <c r="AZ192" i="17"/>
  <c r="AI6" i="17"/>
  <c r="AD243" i="17"/>
  <c r="AM121" i="17"/>
  <c r="AH185" i="17"/>
  <c r="AN3" i="17"/>
  <c r="U95" i="17"/>
  <c r="O186" i="17"/>
  <c r="N164" i="17"/>
  <c r="AJ92" i="17"/>
  <c r="S44" i="17"/>
  <c r="AQ168" i="17"/>
  <c r="O140" i="17"/>
  <c r="W201" i="17"/>
  <c r="H233" i="17"/>
  <c r="AZ182" i="17"/>
  <c r="L247" i="17"/>
  <c r="E146" i="17"/>
  <c r="AA215" i="17"/>
  <c r="T60" i="17"/>
  <c r="G193" i="17"/>
  <c r="AJ191" i="17"/>
  <c r="R253" i="17"/>
  <c r="D106" i="17"/>
  <c r="L98" i="17"/>
  <c r="U254" i="17"/>
  <c r="AE141" i="17"/>
  <c r="AR50" i="17"/>
  <c r="X96" i="17"/>
  <c r="AY110" i="17"/>
  <c r="AW184" i="17"/>
  <c r="V88" i="17"/>
  <c r="Q65" i="17"/>
  <c r="AI23" i="17"/>
  <c r="N185" i="17"/>
  <c r="AF187" i="17"/>
  <c r="AF177" i="17"/>
  <c r="AE220" i="17"/>
  <c r="M175" i="17"/>
  <c r="AS75" i="17"/>
  <c r="R99" i="17"/>
  <c r="P90" i="17"/>
  <c r="AD116" i="17"/>
  <c r="K70" i="17"/>
  <c r="O6" i="17"/>
  <c r="M191" i="17"/>
  <c r="X165" i="17"/>
  <c r="AF94" i="17"/>
  <c r="K66" i="17"/>
  <c r="AY81" i="17"/>
  <c r="AK184" i="17"/>
  <c r="I39" i="17"/>
  <c r="E196" i="17"/>
  <c r="L132" i="17"/>
  <c r="K203" i="17"/>
  <c r="AN182" i="17"/>
  <c r="X210" i="17"/>
  <c r="U136" i="17"/>
  <c r="BA97" i="17"/>
  <c r="AP59" i="17"/>
  <c r="AB25" i="17"/>
  <c r="N69" i="17"/>
  <c r="AP73" i="17"/>
  <c r="AO158" i="17"/>
  <c r="F79" i="17"/>
  <c r="K94" i="17"/>
  <c r="AB131" i="17"/>
  <c r="L184" i="17"/>
  <c r="H58" i="17"/>
  <c r="R191" i="17"/>
  <c r="AM48" i="17"/>
  <c r="AJ15" i="17"/>
  <c r="AM7" i="17"/>
  <c r="BA109" i="17"/>
  <c r="I169" i="17"/>
  <c r="M100" i="17"/>
  <c r="AK74" i="17"/>
  <c r="AG96" i="17"/>
  <c r="AK165" i="17"/>
  <c r="V182" i="17"/>
  <c r="AT104" i="17"/>
  <c r="O14" i="17"/>
  <c r="O82" i="17"/>
  <c r="AO213" i="17"/>
  <c r="K60" i="17"/>
  <c r="AP70" i="17"/>
  <c r="T44" i="17"/>
  <c r="N119" i="17"/>
  <c r="AV137" i="17"/>
  <c r="G27" i="17"/>
  <c r="P188" i="17"/>
  <c r="AY203" i="17"/>
  <c r="U152" i="17"/>
  <c r="AG225" i="17"/>
  <c r="AK163" i="17"/>
  <c r="AN9" i="17"/>
  <c r="R68" i="17"/>
  <c r="AQ281" i="17"/>
  <c r="F81" i="17"/>
  <c r="V267" i="17"/>
  <c r="F122" i="17"/>
  <c r="AK136" i="17"/>
  <c r="Z123" i="17"/>
  <c r="AO43" i="17"/>
  <c r="X173" i="17"/>
  <c r="P25" i="17"/>
  <c r="F195" i="17"/>
  <c r="AW187" i="17"/>
  <c r="AR34" i="17"/>
  <c r="W185" i="17"/>
  <c r="M41" i="17"/>
  <c r="AD106" i="17"/>
  <c r="AR144" i="17"/>
  <c r="J133" i="17"/>
  <c r="D28" i="17"/>
  <c r="AS230" i="17"/>
  <c r="AF257" i="17"/>
  <c r="O168" i="17"/>
  <c r="AW6" i="17"/>
  <c r="AC94" i="17"/>
  <c r="D193" i="17"/>
  <c r="R166" i="17"/>
  <c r="Y138" i="17"/>
  <c r="X66" i="17"/>
  <c r="U183" i="17"/>
  <c r="AA89" i="17"/>
  <c r="AV8" i="17"/>
  <c r="J84" i="17"/>
  <c r="Z61" i="17"/>
  <c r="U5" i="17"/>
  <c r="AM101" i="17"/>
  <c r="AR169" i="17"/>
  <c r="AY40" i="17"/>
  <c r="S100" i="17"/>
  <c r="L180" i="17"/>
  <c r="AQ82" i="17"/>
  <c r="AF209" i="17"/>
  <c r="N4" i="17"/>
  <c r="AD206" i="17"/>
  <c r="AU57" i="17"/>
  <c r="AA150" i="17"/>
  <c r="AI165" i="17"/>
  <c r="O222" i="17"/>
  <c r="AH56" i="17"/>
  <c r="R225" i="17"/>
  <c r="AR68" i="17"/>
  <c r="V71" i="17"/>
  <c r="Q172" i="17"/>
  <c r="AN241" i="17"/>
  <c r="AJ2" i="17"/>
  <c r="N193" i="17"/>
  <c r="M208" i="17"/>
  <c r="L46" i="17"/>
  <c r="AE68" i="17"/>
  <c r="AQ53" i="17"/>
  <c r="BA26" i="17"/>
  <c r="AI69" i="17"/>
  <c r="X175" i="17"/>
  <c r="AA21" i="17"/>
  <c r="J236" i="17"/>
  <c r="M197" i="17"/>
  <c r="AC27" i="17"/>
  <c r="Z112" i="17"/>
  <c r="N17" i="17"/>
  <c r="K172" i="17"/>
  <c r="AO269" i="17"/>
  <c r="AE40" i="17"/>
  <c r="S30" i="17"/>
  <c r="AE16" i="17"/>
  <c r="AJ257" i="17"/>
  <c r="AI181" i="17"/>
  <c r="AF122" i="17"/>
  <c r="K128" i="17"/>
  <c r="AS32" i="17"/>
  <c r="AC198" i="17"/>
  <c r="AV33" i="17"/>
  <c r="F9" i="17"/>
  <c r="AY238" i="17"/>
  <c r="I176" i="17"/>
  <c r="H14" i="17"/>
  <c r="AL196" i="17"/>
  <c r="I172" i="17"/>
  <c r="U49" i="17"/>
  <c r="AV149" i="17"/>
  <c r="M2" i="17"/>
  <c r="AB239" i="17"/>
  <c r="W199" i="17"/>
  <c r="AM86" i="17"/>
  <c r="AK213" i="17"/>
  <c r="O9" i="17"/>
  <c r="AO97" i="17"/>
  <c r="AO12" i="17"/>
  <c r="G81" i="17"/>
  <c r="AS97" i="17"/>
  <c r="AP99" i="17"/>
  <c r="S180" i="17"/>
  <c r="L105" i="17"/>
  <c r="H103" i="17"/>
  <c r="H198" i="17"/>
  <c r="AS65" i="17"/>
  <c r="S189" i="17"/>
  <c r="T127" i="17"/>
  <c r="AR64" i="17"/>
  <c r="D46" i="17"/>
  <c r="Y99" i="17"/>
  <c r="N278" i="17"/>
  <c r="Y157" i="17"/>
  <c r="V76" i="17"/>
  <c r="R224" i="17"/>
  <c r="J8" i="17"/>
  <c r="AI219" i="17"/>
  <c r="AH44" i="17"/>
  <c r="AW105" i="17"/>
  <c r="X67" i="17"/>
  <c r="K150" i="17"/>
  <c r="X14" i="17"/>
  <c r="Q56" i="17"/>
  <c r="AC225" i="17"/>
  <c r="AP82" i="17"/>
  <c r="D166" i="17"/>
  <c r="G62" i="17"/>
  <c r="Q79" i="17"/>
  <c r="H125" i="17"/>
  <c r="AF86" i="17"/>
  <c r="X6" i="17"/>
  <c r="O183" i="17"/>
  <c r="AH212" i="17"/>
  <c r="N187" i="17"/>
  <c r="J83" i="17"/>
  <c r="R217" i="17"/>
  <c r="Q42" i="17"/>
  <c r="AN217" i="17"/>
  <c r="AO161" i="17"/>
  <c r="N203" i="17"/>
  <c r="T216" i="17"/>
  <c r="AS36" i="17"/>
  <c r="AC193" i="17"/>
  <c r="L20" i="17"/>
  <c r="R124" i="17"/>
  <c r="AR10" i="17"/>
  <c r="E86" i="17"/>
  <c r="AC143" i="17"/>
  <c r="AQ116" i="17"/>
  <c r="BA39" i="17"/>
  <c r="E57" i="17"/>
  <c r="AF156" i="17"/>
  <c r="AL31" i="17"/>
  <c r="Z7" i="17"/>
  <c r="J183" i="17"/>
  <c r="X36" i="17"/>
  <c r="AZ63" i="17"/>
  <c r="S278" i="17"/>
  <c r="D144" i="17"/>
  <c r="AK251" i="17"/>
  <c r="L121" i="17"/>
  <c r="AC206" i="17"/>
  <c r="Q71" i="17"/>
  <c r="AH48" i="17"/>
  <c r="E151" i="17"/>
  <c r="AT34" i="17"/>
  <c r="Y17" i="17"/>
  <c r="T158" i="17"/>
  <c r="D44" i="17"/>
  <c r="AP31" i="17"/>
  <c r="Y204" i="17"/>
  <c r="D244" i="17"/>
  <c r="AO89" i="17"/>
  <c r="G49" i="17"/>
  <c r="Z149" i="17"/>
  <c r="T17" i="17"/>
  <c r="S96" i="17"/>
  <c r="AW7" i="17"/>
  <c r="V189" i="17"/>
  <c r="AM148" i="17"/>
  <c r="D135" i="17"/>
  <c r="M183" i="17"/>
  <c r="AF36" i="17"/>
  <c r="AQ39" i="17"/>
  <c r="AX220" i="17"/>
  <c r="H225" i="17"/>
  <c r="AC15" i="17"/>
  <c r="R27" i="17"/>
  <c r="T152" i="17"/>
  <c r="S64" i="17"/>
  <c r="AK148" i="17"/>
  <c r="AN17" i="17"/>
  <c r="Y126" i="17"/>
  <c r="AW101" i="17"/>
  <c r="AF200" i="17"/>
  <c r="AA104" i="17"/>
  <c r="P81" i="17"/>
  <c r="AS185" i="17"/>
  <c r="I110" i="17"/>
  <c r="K120" i="17"/>
  <c r="AB206" i="17"/>
  <c r="AV236" i="17"/>
  <c r="V102" i="17"/>
  <c r="N102" i="17"/>
  <c r="AG18" i="17"/>
  <c r="G60" i="17"/>
  <c r="J108" i="17"/>
  <c r="G278" i="17"/>
  <c r="R43" i="17"/>
  <c r="F112" i="17"/>
  <c r="AU195" i="17"/>
  <c r="AB209" i="17"/>
  <c r="AG80" i="17"/>
  <c r="AG52" i="17"/>
  <c r="AX76" i="17"/>
  <c r="AJ174" i="17"/>
  <c r="F52" i="17"/>
  <c r="N43" i="17"/>
  <c r="AA41" i="17"/>
  <c r="AY8" i="17"/>
  <c r="V123" i="17"/>
  <c r="N176" i="17"/>
  <c r="AG140" i="17"/>
  <c r="AL96" i="17"/>
  <c r="W254" i="17"/>
  <c r="Z101" i="17"/>
  <c r="D160" i="17"/>
  <c r="AN215" i="17"/>
  <c r="AJ109" i="17"/>
  <c r="AT181" i="17"/>
  <c r="AB101" i="17"/>
  <c r="AD272" i="17"/>
  <c r="G117" i="17"/>
  <c r="AT53" i="17"/>
  <c r="Z155" i="17"/>
  <c r="AB93" i="17"/>
  <c r="AS119" i="17"/>
  <c r="S116" i="17"/>
  <c r="AZ183" i="17"/>
  <c r="X145" i="17"/>
  <c r="I137" i="17"/>
  <c r="K271" i="17"/>
  <c r="N48" i="17"/>
  <c r="AM93" i="17"/>
  <c r="AP244" i="17"/>
  <c r="K208" i="17"/>
  <c r="K189" i="17"/>
  <c r="AZ131" i="17"/>
  <c r="AK13" i="17"/>
  <c r="I177" i="17"/>
  <c r="AB83" i="17"/>
  <c r="AS262" i="17"/>
  <c r="W237" i="17"/>
  <c r="L28" i="17"/>
  <c r="J200" i="17"/>
  <c r="X85" i="17"/>
  <c r="P163" i="17"/>
  <c r="E225" i="17"/>
  <c r="K223" i="17"/>
  <c r="K48" i="17"/>
  <c r="AL178" i="17"/>
  <c r="V181" i="17"/>
  <c r="G135" i="17"/>
  <c r="P133" i="17"/>
  <c r="AJ29" i="17"/>
  <c r="AU209" i="17"/>
  <c r="V150" i="17"/>
  <c r="P280" i="17"/>
  <c r="R135" i="17"/>
  <c r="X151" i="17"/>
  <c r="R66" i="17"/>
  <c r="M187" i="17"/>
  <c r="AI47" i="17"/>
  <c r="J72" i="17"/>
  <c r="N202" i="17"/>
  <c r="U210" i="17"/>
  <c r="J33" i="17"/>
  <c r="K155" i="17"/>
  <c r="AX36" i="17"/>
  <c r="T34" i="17"/>
  <c r="T81" i="17"/>
  <c r="AG14" i="17"/>
  <c r="AG21" i="17"/>
  <c r="AV41" i="17"/>
  <c r="U14" i="17"/>
  <c r="R48" i="17"/>
  <c r="P98" i="17"/>
  <c r="BA11" i="17"/>
  <c r="W36" i="17"/>
  <c r="I55" i="17"/>
  <c r="T20" i="17"/>
  <c r="AM65" i="17"/>
  <c r="AK145" i="17"/>
  <c r="AH192" i="17"/>
  <c r="R13" i="17"/>
  <c r="R133" i="17"/>
  <c r="AQ249" i="17"/>
  <c r="W133" i="17"/>
  <c r="D118" i="17"/>
  <c r="BA88" i="17"/>
  <c r="AX114" i="17"/>
  <c r="Y203" i="17"/>
  <c r="Y44" i="17"/>
  <c r="H53" i="17"/>
  <c r="Y116" i="17"/>
  <c r="AO9" i="17"/>
  <c r="AA166" i="17"/>
  <c r="AK82" i="17"/>
  <c r="AK149" i="17"/>
  <c r="S162" i="17"/>
  <c r="S10" i="17"/>
  <c r="AG27" i="17"/>
  <c r="F186" i="17"/>
  <c r="L81" i="17"/>
  <c r="X78" i="17"/>
  <c r="AT255" i="17"/>
  <c r="Y3" i="17"/>
  <c r="AU141" i="17"/>
  <c r="AV186" i="17"/>
  <c r="AY233" i="17"/>
  <c r="AC128" i="17"/>
  <c r="E176" i="17"/>
  <c r="N50" i="17"/>
  <c r="AX203" i="17"/>
  <c r="F156" i="17"/>
  <c r="K267" i="17"/>
  <c r="F109" i="17"/>
  <c r="AD198" i="17"/>
  <c r="W20" i="17"/>
  <c r="AM80" i="17"/>
  <c r="AR281" i="17"/>
  <c r="AT13" i="17"/>
  <c r="AP52" i="17"/>
  <c r="Q244" i="17"/>
  <c r="AG90" i="17"/>
  <c r="AO146" i="17"/>
  <c r="Q120" i="17"/>
  <c r="Y74" i="17"/>
  <c r="Q16" i="17"/>
  <c r="M147" i="17"/>
  <c r="I47" i="17"/>
  <c r="Q83" i="17"/>
  <c r="X105" i="17"/>
  <c r="O66" i="17"/>
  <c r="F246" i="17"/>
  <c r="AL211" i="17"/>
  <c r="D215" i="17"/>
  <c r="Y125" i="17"/>
  <c r="AQ248" i="17"/>
  <c r="Y143" i="17"/>
  <c r="S176" i="17"/>
  <c r="AS160" i="17"/>
  <c r="N2" i="17"/>
  <c r="N236" i="17"/>
  <c r="T196" i="17"/>
  <c r="T177" i="17"/>
  <c r="P3" i="17"/>
  <c r="V132" i="17"/>
  <c r="Q111" i="17"/>
  <c r="AL117" i="17"/>
  <c r="BA213" i="17"/>
  <c r="D148" i="17"/>
  <c r="M44" i="17"/>
  <c r="L179" i="17"/>
  <c r="D223" i="17"/>
  <c r="AU190" i="17"/>
  <c r="N169" i="17"/>
  <c r="AF111" i="17"/>
  <c r="AO140" i="17"/>
  <c r="AK16" i="17"/>
  <c r="AF168" i="17"/>
  <c r="AO207" i="17"/>
  <c r="AB226" i="17"/>
  <c r="AL176" i="17"/>
  <c r="AS221" i="17"/>
  <c r="S28" i="17"/>
  <c r="AR44" i="17"/>
  <c r="AP143" i="17"/>
  <c r="AU225" i="17"/>
  <c r="I2" i="17"/>
  <c r="AT206" i="17"/>
  <c r="AA19" i="17"/>
  <c r="U27" i="17"/>
  <c r="AZ174" i="17"/>
  <c r="AT168" i="17"/>
  <c r="AG13" i="17"/>
  <c r="Y94" i="17"/>
  <c r="Z113" i="17"/>
  <c r="AE221" i="17"/>
  <c r="AZ29" i="17"/>
  <c r="AK85" i="17"/>
  <c r="Q45" i="17"/>
  <c r="AG226" i="17"/>
  <c r="W102" i="17"/>
  <c r="G208" i="17"/>
  <c r="W255" i="17"/>
  <c r="Z184" i="17"/>
  <c r="L216" i="17"/>
  <c r="AY28" i="17"/>
  <c r="J58" i="17"/>
  <c r="L249" i="17"/>
  <c r="Z226" i="17"/>
  <c r="Q58" i="17"/>
  <c r="R74" i="17"/>
  <c r="AR120" i="17"/>
  <c r="V25" i="17"/>
  <c r="AR202" i="17"/>
  <c r="D71" i="17"/>
  <c r="N84" i="17"/>
  <c r="N217" i="17"/>
  <c r="AL169" i="17"/>
  <c r="F60" i="17"/>
  <c r="M204" i="17"/>
  <c r="V157" i="17"/>
  <c r="E87" i="17"/>
  <c r="G78" i="17"/>
  <c r="AV192" i="17"/>
  <c r="X44" i="17"/>
  <c r="H204" i="17"/>
  <c r="AX165" i="17"/>
  <c r="D63" i="17"/>
  <c r="AB136" i="17"/>
  <c r="D176" i="17"/>
  <c r="AG59" i="17"/>
  <c r="AX208" i="17"/>
  <c r="L24" i="17"/>
  <c r="AG56" i="17"/>
  <c r="G203" i="17"/>
  <c r="AM179" i="17"/>
  <c r="Z56" i="17"/>
  <c r="AU28" i="17"/>
  <c r="AR207" i="17"/>
  <c r="AN180" i="17"/>
  <c r="P122" i="17"/>
  <c r="AY134" i="17"/>
  <c r="AT69" i="17"/>
  <c r="R65" i="17"/>
  <c r="O2" i="17"/>
  <c r="D100" i="17"/>
  <c r="BA113" i="17"/>
  <c r="Z22" i="17"/>
  <c r="AK14" i="17"/>
  <c r="AU289" i="17"/>
  <c r="I102" i="17"/>
  <c r="L69" i="17"/>
  <c r="AK81" i="17"/>
  <c r="AU178" i="17"/>
  <c r="M99" i="17"/>
  <c r="L77" i="17"/>
  <c r="H154" i="17"/>
  <c r="F17" i="17"/>
  <c r="AA100" i="17"/>
  <c r="AC171" i="17"/>
  <c r="L189" i="17"/>
  <c r="F121" i="17"/>
  <c r="AC192" i="17"/>
  <c r="H216" i="17"/>
  <c r="BA242" i="17"/>
  <c r="AK202" i="17"/>
  <c r="W16" i="17"/>
  <c r="AD205" i="17"/>
  <c r="P70" i="17"/>
  <c r="BA140" i="17"/>
  <c r="AA196" i="17"/>
  <c r="V104" i="17"/>
  <c r="AN186" i="17"/>
  <c r="R141" i="17"/>
  <c r="AO86" i="17"/>
  <c r="P121" i="17"/>
  <c r="AP16" i="17"/>
  <c r="R188" i="17"/>
  <c r="AN227" i="17"/>
  <c r="Z137" i="17"/>
  <c r="AY75" i="17"/>
  <c r="AY187" i="17"/>
  <c r="I209" i="17"/>
  <c r="AY47" i="17"/>
  <c r="Q8" i="17"/>
  <c r="AV226" i="17"/>
  <c r="S284" i="17"/>
  <c r="AQ202" i="17"/>
  <c r="H119" i="17"/>
  <c r="AT130" i="17"/>
  <c r="E126" i="17"/>
  <c r="Z185" i="17"/>
  <c r="AU143" i="17"/>
  <c r="AN254" i="17"/>
  <c r="P161" i="17"/>
  <c r="AP197" i="17"/>
  <c r="AY224" i="17"/>
  <c r="AJ74" i="17"/>
  <c r="J10" i="17"/>
  <c r="AE185" i="17"/>
  <c r="M85" i="17"/>
  <c r="R170" i="17"/>
  <c r="L66" i="17"/>
  <c r="Q89" i="17"/>
  <c r="AY258" i="17"/>
  <c r="AW257" i="17"/>
  <c r="AI128" i="17"/>
  <c r="Z213" i="17"/>
  <c r="J109" i="17"/>
  <c r="G21" i="17"/>
  <c r="AF73" i="17"/>
  <c r="AA207" i="17"/>
  <c r="AR53" i="17"/>
  <c r="AF152" i="17"/>
  <c r="H76" i="17"/>
  <c r="Y264" i="17"/>
  <c r="K30" i="17"/>
  <c r="AW223" i="17"/>
  <c r="AC54" i="17"/>
  <c r="AR83" i="17"/>
  <c r="R30" i="17"/>
  <c r="T19" i="17"/>
  <c r="AO179" i="17"/>
  <c r="J226" i="17"/>
  <c r="AC73" i="17"/>
  <c r="AL129" i="17"/>
  <c r="G140" i="17"/>
  <c r="H57" i="17"/>
  <c r="AB182" i="17"/>
  <c r="P192" i="17"/>
  <c r="Z279" i="17"/>
  <c r="M31" i="17"/>
  <c r="I115" i="17"/>
  <c r="Y156" i="17"/>
  <c r="F62" i="17"/>
  <c r="AS89" i="17"/>
  <c r="AT98" i="17"/>
  <c r="AP112" i="17"/>
  <c r="AX191" i="17"/>
  <c r="AE86" i="17"/>
  <c r="AY248" i="17"/>
  <c r="X166" i="17"/>
  <c r="E212" i="17"/>
  <c r="G113" i="17"/>
  <c r="U94" i="17"/>
  <c r="G150" i="17"/>
  <c r="U23" i="17"/>
  <c r="P63" i="17"/>
  <c r="P51" i="17"/>
  <c r="AN111" i="17"/>
  <c r="AX206" i="17"/>
  <c r="AV134" i="17"/>
  <c r="U60" i="17"/>
  <c r="AI174" i="17"/>
  <c r="L62" i="17"/>
  <c r="Z119" i="17"/>
  <c r="G42" i="17"/>
  <c r="N144" i="17"/>
  <c r="AX28" i="17"/>
  <c r="AS26" i="17"/>
  <c r="Q207" i="17"/>
  <c r="V24" i="17"/>
  <c r="AI149" i="17"/>
  <c r="T198" i="17"/>
  <c r="AT187" i="17"/>
  <c r="AO102" i="17"/>
  <c r="AQ160" i="17"/>
  <c r="AL24" i="17"/>
  <c r="AX258" i="17"/>
  <c r="AS45" i="17"/>
  <c r="I29" i="17"/>
  <c r="AQ155" i="17"/>
  <c r="O121" i="17"/>
  <c r="AJ125" i="17"/>
  <c r="Q152" i="17"/>
  <c r="R202" i="17"/>
  <c r="AL93" i="17"/>
  <c r="L235" i="17"/>
  <c r="AG97" i="17"/>
  <c r="X149" i="17"/>
  <c r="AJ197" i="17"/>
  <c r="D158" i="17"/>
  <c r="AT15" i="17"/>
  <c r="I249" i="17"/>
  <c r="I28" i="17"/>
  <c r="U146" i="17"/>
  <c r="AE102" i="17"/>
  <c r="AY165" i="17"/>
  <c r="T165" i="17"/>
  <c r="X191" i="17"/>
  <c r="X189" i="17"/>
  <c r="AA12" i="17"/>
  <c r="X126" i="17"/>
  <c r="D157" i="17"/>
  <c r="K41" i="17"/>
  <c r="F177" i="17"/>
  <c r="X76" i="17"/>
  <c r="AT177" i="17"/>
  <c r="X12" i="17"/>
  <c r="L4" i="17"/>
  <c r="AY150" i="17"/>
  <c r="K92" i="17"/>
  <c r="S62" i="17"/>
  <c r="I212" i="17"/>
  <c r="M244" i="17"/>
  <c r="E66" i="17"/>
  <c r="AF182" i="17"/>
  <c r="Y10" i="17"/>
  <c r="G218" i="17"/>
  <c r="AE143" i="17"/>
  <c r="Z138" i="17"/>
  <c r="Y250" i="17"/>
  <c r="F77" i="17"/>
  <c r="R76" i="17"/>
  <c r="F108" i="17"/>
  <c r="AA131" i="17"/>
  <c r="H19" i="17"/>
  <c r="V82" i="17"/>
  <c r="J132" i="17"/>
  <c r="AG210" i="17"/>
  <c r="AB240" i="17"/>
  <c r="AE31" i="17"/>
  <c r="T159" i="17"/>
  <c r="AP264" i="17"/>
  <c r="W60" i="17"/>
  <c r="L53" i="17"/>
  <c r="W153" i="17"/>
  <c r="D129" i="17"/>
  <c r="G122" i="17"/>
  <c r="AB144" i="17"/>
  <c r="Z174" i="17"/>
  <c r="Q60" i="17"/>
  <c r="J21" i="17"/>
  <c r="J144" i="17"/>
  <c r="AX31" i="17"/>
  <c r="N213" i="17"/>
  <c r="D249" i="17"/>
  <c r="Y26" i="17"/>
  <c r="W131" i="17"/>
  <c r="P146" i="17"/>
  <c r="AQ119" i="17"/>
  <c r="O219" i="17"/>
  <c r="M226" i="17"/>
  <c r="AD155" i="17"/>
  <c r="AG177" i="17"/>
  <c r="X91" i="17"/>
  <c r="AE103" i="17"/>
  <c r="P164" i="17"/>
  <c r="O161" i="17"/>
  <c r="M98" i="17"/>
  <c r="Q19" i="17"/>
  <c r="N37" i="17"/>
  <c r="D56" i="17"/>
  <c r="L65" i="17"/>
  <c r="T69" i="17"/>
  <c r="AE140" i="17"/>
  <c r="L100" i="17"/>
  <c r="P210" i="17"/>
  <c r="AT204" i="17"/>
  <c r="S113" i="17"/>
  <c r="Y214" i="17"/>
  <c r="AK121" i="17"/>
  <c r="N115" i="17"/>
  <c r="K102" i="17"/>
  <c r="D67" i="17"/>
  <c r="U43" i="17"/>
  <c r="AP46" i="17"/>
  <c r="BA78" i="17"/>
  <c r="AP55" i="17"/>
  <c r="AE165" i="17"/>
  <c r="Y110" i="17"/>
  <c r="AE108" i="17"/>
  <c r="K36" i="17"/>
  <c r="F179" i="17"/>
  <c r="AI61" i="17"/>
  <c r="AV48" i="17"/>
  <c r="AH179" i="17"/>
  <c r="AA227" i="17"/>
  <c r="AA159" i="17"/>
  <c r="Y217" i="17"/>
  <c r="AA164" i="17"/>
  <c r="AN120" i="17"/>
  <c r="AZ78" i="17"/>
  <c r="U140" i="17"/>
  <c r="AM113" i="17"/>
  <c r="AP126" i="17"/>
  <c r="AA112" i="17"/>
  <c r="S82" i="17"/>
  <c r="O40" i="17"/>
  <c r="Z225" i="17"/>
  <c r="AJ212" i="17"/>
  <c r="AP57" i="17"/>
  <c r="AA149" i="17"/>
  <c r="AL107" i="17"/>
  <c r="AB73" i="17"/>
  <c r="AU108" i="17"/>
  <c r="T234" i="17"/>
  <c r="AS35" i="17"/>
  <c r="J261" i="17"/>
  <c r="AV193" i="17"/>
  <c r="V119" i="17"/>
  <c r="AU47" i="17"/>
  <c r="AX56" i="17"/>
  <c r="F39" i="17"/>
  <c r="X28" i="17"/>
  <c r="R3" i="17"/>
  <c r="AP94" i="17"/>
  <c r="H25" i="17"/>
  <c r="AI9" i="17"/>
  <c r="AC132" i="17"/>
  <c r="AI148" i="17"/>
  <c r="Q109" i="17"/>
  <c r="AL22" i="17"/>
  <c r="L6" i="17"/>
  <c r="T156" i="17"/>
  <c r="Y182" i="17"/>
  <c r="AN135" i="17"/>
  <c r="AH147" i="17"/>
  <c r="AH226" i="17"/>
  <c r="AY2" i="17"/>
  <c r="AL116" i="17"/>
  <c r="AC72" i="17"/>
  <c r="AJ169" i="17"/>
  <c r="I148" i="17"/>
  <c r="S17" i="17"/>
  <c r="V224" i="17"/>
  <c r="P84" i="17"/>
  <c r="AQ121" i="17"/>
  <c r="H260" i="17"/>
  <c r="AM106" i="17"/>
  <c r="E9" i="17"/>
  <c r="I38" i="17"/>
  <c r="J211" i="17"/>
  <c r="E74" i="17"/>
  <c r="AJ132" i="17"/>
  <c r="AP178" i="17"/>
  <c r="AW29" i="17"/>
  <c r="BA274" i="17"/>
  <c r="X146" i="17"/>
  <c r="W150" i="17"/>
  <c r="V13" i="17"/>
  <c r="O60" i="17"/>
  <c r="AV280" i="17"/>
  <c r="E11" i="17"/>
  <c r="AI176" i="17"/>
  <c r="K10" i="17"/>
  <c r="O212" i="17"/>
  <c r="AB127" i="17"/>
  <c r="AI115" i="17"/>
  <c r="N85" i="17"/>
  <c r="P186" i="17"/>
  <c r="E181" i="17"/>
  <c r="AB3" i="17"/>
  <c r="AD118" i="17"/>
  <c r="H21" i="17"/>
  <c r="AL100" i="17"/>
  <c r="I96" i="17"/>
  <c r="N178" i="17"/>
  <c r="AI41" i="17"/>
  <c r="J88" i="17"/>
  <c r="AQ38" i="17"/>
  <c r="Y46" i="17"/>
  <c r="G37" i="17"/>
  <c r="AF192" i="17"/>
  <c r="AB125" i="17"/>
  <c r="AB180" i="17"/>
  <c r="AI217" i="17"/>
  <c r="AA139" i="17"/>
  <c r="K29" i="17"/>
  <c r="H8" i="17"/>
  <c r="X148" i="17"/>
  <c r="AT36" i="17"/>
  <c r="AN193" i="17"/>
  <c r="AA37" i="17"/>
  <c r="D27" i="17"/>
  <c r="V147" i="17"/>
  <c r="D184" i="17"/>
  <c r="BA127" i="17"/>
  <c r="X167" i="17"/>
  <c r="Z131" i="17"/>
  <c r="AF59" i="17"/>
  <c r="V79" i="17"/>
  <c r="AB71" i="17"/>
  <c r="AC110" i="17"/>
  <c r="AE120" i="17"/>
  <c r="AW221" i="17"/>
  <c r="I97" i="17"/>
  <c r="Z181" i="17"/>
  <c r="AK158" i="17"/>
  <c r="AR79" i="17"/>
  <c r="AO105" i="17"/>
  <c r="AM50" i="17"/>
  <c r="D152" i="17"/>
  <c r="I37" i="17"/>
  <c r="AV169" i="17"/>
  <c r="J219" i="17"/>
  <c r="AP79" i="17"/>
  <c r="F4" i="17"/>
  <c r="AY211" i="17"/>
  <c r="H227" i="17"/>
  <c r="Q38" i="17"/>
  <c r="F28" i="17"/>
  <c r="Z142" i="17"/>
  <c r="AO103" i="17"/>
  <c r="AF108" i="17"/>
  <c r="AH189" i="17"/>
  <c r="I95" i="17"/>
  <c r="AN195" i="17"/>
  <c r="AS163" i="17"/>
  <c r="F161" i="17"/>
  <c r="AP139" i="17"/>
  <c r="AN152" i="17"/>
  <c r="O13" i="17"/>
  <c r="F174" i="17"/>
  <c r="R32" i="17"/>
  <c r="K15" i="17"/>
  <c r="AJ27" i="17"/>
  <c r="Z43" i="17"/>
  <c r="AJ237" i="17"/>
  <c r="AL38" i="17"/>
  <c r="AG11" i="17"/>
  <c r="F155" i="17"/>
  <c r="AA203" i="17"/>
  <c r="T155" i="17"/>
  <c r="AJ238" i="17"/>
  <c r="Y163" i="17"/>
  <c r="Y160" i="17"/>
  <c r="J111" i="17"/>
  <c r="AU266" i="17"/>
  <c r="H131" i="17"/>
  <c r="AJ137" i="17"/>
  <c r="X97" i="17"/>
  <c r="AN252" i="17"/>
  <c r="W12" i="17"/>
  <c r="U115" i="17"/>
  <c r="AP241" i="17"/>
  <c r="AU93" i="17"/>
  <c r="AD142" i="17"/>
  <c r="O68" i="17"/>
  <c r="M109" i="17"/>
  <c r="I69" i="17"/>
  <c r="AE150" i="17"/>
  <c r="S4" i="17"/>
  <c r="Q64" i="17"/>
  <c r="J155" i="17"/>
  <c r="AZ233" i="17"/>
  <c r="AL81" i="17"/>
  <c r="D43" i="17"/>
  <c r="G173" i="17"/>
  <c r="AS105" i="17"/>
  <c r="AN27" i="17"/>
  <c r="F226" i="17"/>
  <c r="AM189" i="17"/>
  <c r="AJ248" i="17"/>
  <c r="AH34" i="17"/>
  <c r="AM246" i="17"/>
  <c r="AJ72" i="17"/>
  <c r="K86" i="17"/>
  <c r="AZ74" i="17"/>
  <c r="I151" i="17"/>
  <c r="Z39" i="17"/>
  <c r="G158" i="17"/>
  <c r="AV84" i="17"/>
  <c r="O5" i="17"/>
  <c r="AE66" i="17"/>
  <c r="H170" i="17"/>
  <c r="AH246" i="17"/>
  <c r="D20" i="17"/>
  <c r="AH125" i="17"/>
  <c r="Q57" i="17"/>
  <c r="AJ116" i="17"/>
  <c r="S36" i="17"/>
  <c r="V135" i="17"/>
  <c r="J55" i="17"/>
  <c r="AT17" i="17"/>
  <c r="Q154" i="17"/>
  <c r="I213" i="17"/>
  <c r="R236" i="17"/>
  <c r="T163" i="17"/>
  <c r="T64" i="17"/>
  <c r="Y172" i="17"/>
  <c r="AK280" i="17"/>
  <c r="AA127" i="17"/>
  <c r="M34" i="17"/>
  <c r="W163" i="17"/>
  <c r="W124" i="17"/>
  <c r="Y139" i="17"/>
  <c r="AB238" i="17"/>
  <c r="AS255" i="17"/>
  <c r="E200" i="17"/>
  <c r="X17" i="17"/>
  <c r="AE161" i="17"/>
  <c r="I221" i="17"/>
  <c r="T283" i="17"/>
  <c r="AR153" i="17"/>
  <c r="W35" i="17"/>
  <c r="K226" i="17"/>
  <c r="V186" i="17"/>
  <c r="W147" i="17"/>
  <c r="AN96" i="17"/>
  <c r="Y48" i="17"/>
  <c r="O134" i="17"/>
  <c r="K177" i="17"/>
  <c r="AR246" i="17"/>
  <c r="E96" i="17"/>
  <c r="AU3" i="17"/>
  <c r="AJ43" i="17"/>
  <c r="P10" i="17"/>
  <c r="V152" i="17"/>
  <c r="AN24" i="17"/>
  <c r="K171" i="17"/>
  <c r="I230" i="17"/>
  <c r="D110" i="17"/>
  <c r="I113" i="17"/>
  <c r="Z227" i="17"/>
  <c r="Z92" i="17"/>
  <c r="AK198" i="17"/>
  <c r="W104" i="17"/>
  <c r="M95" i="17"/>
  <c r="AJ214" i="17"/>
  <c r="Z72" i="17"/>
  <c r="AB220" i="17"/>
  <c r="AH97" i="17"/>
  <c r="J3" i="17"/>
  <c r="H17" i="17"/>
  <c r="AM233" i="17"/>
  <c r="N173" i="17"/>
  <c r="N111" i="17"/>
  <c r="AV76" i="17"/>
  <c r="AJ54" i="17"/>
  <c r="N232" i="17"/>
  <c r="AY94" i="17"/>
  <c r="I22" i="17"/>
  <c r="AO36" i="17"/>
  <c r="Y189" i="17"/>
  <c r="W74" i="17"/>
  <c r="AE123" i="17"/>
  <c r="AN91" i="17"/>
  <c r="AO77" i="17"/>
  <c r="I273" i="17"/>
  <c r="O146" i="17"/>
  <c r="AF15" i="17"/>
  <c r="BA111" i="17"/>
  <c r="R79" i="17"/>
  <c r="AC126" i="17"/>
  <c r="AR81" i="17"/>
  <c r="AQ164" i="17"/>
  <c r="S16" i="17"/>
  <c r="AN83" i="17"/>
  <c r="H97" i="17"/>
  <c r="AR164" i="17"/>
  <c r="AL35" i="17"/>
  <c r="AN148" i="17"/>
  <c r="W49" i="17"/>
  <c r="S260" i="17"/>
  <c r="M78" i="17"/>
  <c r="R168" i="17"/>
  <c r="AH67" i="17"/>
  <c r="AD12" i="17"/>
  <c r="AL84" i="17"/>
  <c r="O160" i="17"/>
  <c r="K8" i="17"/>
  <c r="AH222" i="17"/>
  <c r="AW166" i="17"/>
  <c r="W218" i="17"/>
  <c r="AO192" i="17"/>
  <c r="Y22" i="17"/>
  <c r="AD36" i="17"/>
  <c r="P57" i="17"/>
  <c r="O18" i="17"/>
  <c r="AB196" i="17"/>
  <c r="AT265" i="17"/>
  <c r="L136" i="17"/>
  <c r="AO79" i="17"/>
  <c r="Y146" i="17"/>
  <c r="AG109" i="17"/>
  <c r="AH17" i="17"/>
  <c r="T95" i="17"/>
  <c r="AE164" i="17"/>
  <c r="AB55" i="17"/>
  <c r="E93" i="17"/>
  <c r="K243" i="17"/>
  <c r="AM252" i="17"/>
  <c r="AS121" i="17"/>
  <c r="K130" i="17"/>
  <c r="AW12" i="17"/>
  <c r="AK255" i="17"/>
  <c r="AV147" i="17"/>
  <c r="M153" i="17"/>
  <c r="AE87" i="17"/>
  <c r="H193" i="17"/>
  <c r="I49" i="17"/>
  <c r="D6" i="17"/>
  <c r="T79" i="17"/>
  <c r="AD105" i="17"/>
  <c r="AL128" i="17"/>
  <c r="Y144" i="17"/>
  <c r="AC4" i="17"/>
  <c r="AL78" i="17"/>
  <c r="AP132" i="17"/>
  <c r="H259" i="17"/>
  <c r="D113" i="17"/>
  <c r="AK89" i="17"/>
  <c r="M148" i="17"/>
  <c r="AQ32" i="17"/>
  <c r="S115" i="17"/>
  <c r="V190" i="17"/>
  <c r="F91" i="17"/>
  <c r="AN103" i="17"/>
  <c r="AQ209" i="17"/>
  <c r="Q165" i="17"/>
  <c r="AQ211" i="17"/>
  <c r="AG169" i="17"/>
  <c r="N82" i="17"/>
  <c r="AP83" i="17"/>
  <c r="BA103" i="17"/>
  <c r="U10" i="17"/>
  <c r="G80" i="17"/>
  <c r="AM5" i="17"/>
  <c r="S69" i="17"/>
  <c r="AC60" i="17"/>
  <c r="Y67" i="17"/>
  <c r="K202" i="17"/>
  <c r="BA212" i="17"/>
  <c r="H180" i="17"/>
  <c r="P176" i="17"/>
  <c r="AL80" i="17"/>
  <c r="AI135" i="17"/>
  <c r="AF95" i="17"/>
  <c r="D124" i="17"/>
  <c r="Z202" i="17"/>
  <c r="AG137" i="17"/>
  <c r="H203" i="17"/>
  <c r="K249" i="17"/>
  <c r="AL189" i="17"/>
  <c r="H178" i="17"/>
  <c r="D297" i="17"/>
  <c r="S97" i="17"/>
  <c r="AS102" i="17"/>
  <c r="J65" i="17"/>
  <c r="AW125" i="17"/>
  <c r="AJ215" i="17"/>
  <c r="L133" i="17"/>
  <c r="G184" i="17"/>
  <c r="T273" i="17"/>
  <c r="O55" i="17"/>
  <c r="AA82" i="17"/>
  <c r="AA72" i="17"/>
  <c r="N83" i="17"/>
  <c r="AN12" i="17"/>
  <c r="V53" i="17"/>
  <c r="T7" i="17"/>
  <c r="W248" i="17"/>
  <c r="N167" i="17"/>
  <c r="AL49" i="17"/>
  <c r="W193" i="17"/>
  <c r="F11" i="17"/>
  <c r="Z248" i="17"/>
  <c r="AS260" i="17"/>
  <c r="X220" i="17"/>
  <c r="E2" i="17"/>
  <c r="Y222" i="17"/>
  <c r="AZ251" i="17"/>
  <c r="AM17" i="17"/>
  <c r="AZ257" i="17"/>
  <c r="AZ24" i="17"/>
  <c r="Z146" i="17"/>
  <c r="AX14" i="17"/>
  <c r="AM129" i="17"/>
  <c r="K200" i="17"/>
  <c r="X164" i="17"/>
  <c r="AO223" i="17"/>
  <c r="AY6" i="17"/>
  <c r="BA218" i="17"/>
  <c r="AK146" i="17"/>
  <c r="Y65" i="17"/>
  <c r="AU272" i="17"/>
  <c r="AO104" i="17"/>
  <c r="Q206" i="17"/>
  <c r="J195" i="17"/>
  <c r="AQ222" i="17"/>
  <c r="Q223" i="17"/>
  <c r="G196" i="17"/>
  <c r="M212" i="17"/>
  <c r="AA65" i="17"/>
  <c r="AC41" i="17"/>
  <c r="L147" i="17"/>
  <c r="T33" i="17"/>
  <c r="AL133" i="17"/>
  <c r="M3" i="17"/>
  <c r="AA187" i="17"/>
  <c r="J130" i="17"/>
  <c r="AG159" i="17"/>
  <c r="M163" i="17"/>
  <c r="AF65" i="17"/>
  <c r="V143" i="17"/>
  <c r="AJ60" i="17"/>
  <c r="X116" i="17"/>
  <c r="K170" i="17"/>
  <c r="AD167" i="17"/>
  <c r="H31" i="17"/>
  <c r="AA62" i="17"/>
  <c r="AH218" i="17"/>
  <c r="AN39" i="17"/>
  <c r="AL168" i="17"/>
  <c r="BA91" i="17"/>
  <c r="V214" i="17"/>
  <c r="AI221" i="17"/>
  <c r="AS127" i="17"/>
  <c r="P120" i="17"/>
  <c r="AX54" i="17"/>
  <c r="AB110" i="17"/>
  <c r="AP177" i="17"/>
  <c r="P194" i="17"/>
  <c r="K106" i="17"/>
  <c r="AE210" i="17"/>
  <c r="AM198" i="17"/>
  <c r="O126" i="17"/>
  <c r="AR82" i="17"/>
  <c r="AL153" i="17"/>
  <c r="AZ16" i="17"/>
  <c r="N10" i="17"/>
  <c r="AP30" i="17"/>
  <c r="AK2" i="17"/>
  <c r="AV179" i="17"/>
  <c r="P193" i="17"/>
  <c r="P157" i="17"/>
  <c r="AE131" i="17"/>
  <c r="G84" i="17"/>
  <c r="AO10" i="17"/>
  <c r="D95" i="17"/>
  <c r="AH6" i="17"/>
  <c r="Y165" i="17"/>
  <c r="D78" i="17"/>
  <c r="X43" i="17"/>
  <c r="E46" i="17"/>
  <c r="AK207" i="17"/>
  <c r="AA10" i="17"/>
  <c r="V163" i="17"/>
  <c r="AP240" i="17"/>
  <c r="BA131" i="17"/>
  <c r="T67" i="17"/>
  <c r="AM96" i="17"/>
  <c r="H54" i="17"/>
  <c r="AQ11" i="17"/>
  <c r="AM33" i="17"/>
  <c r="AF58" i="17"/>
  <c r="R92" i="17"/>
  <c r="X195" i="17"/>
  <c r="AD66" i="17"/>
  <c r="AS64" i="17"/>
  <c r="BA259" i="17"/>
  <c r="K192" i="17"/>
  <c r="AZ225" i="17"/>
  <c r="AO253" i="17"/>
  <c r="AI38" i="17"/>
  <c r="W151" i="17"/>
  <c r="Z38" i="17"/>
  <c r="T112" i="17"/>
  <c r="AZ145" i="17"/>
  <c r="AI10" i="17"/>
  <c r="O110" i="17"/>
  <c r="AF214" i="17"/>
  <c r="AD26" i="17"/>
  <c r="T182" i="17"/>
  <c r="L101" i="17"/>
  <c r="AW108" i="17"/>
  <c r="Z85" i="17"/>
  <c r="J172" i="17"/>
  <c r="M177" i="17"/>
  <c r="AO175" i="17"/>
  <c r="AF49" i="17"/>
  <c r="P73" i="17"/>
  <c r="K103" i="17"/>
  <c r="N28" i="17"/>
  <c r="H16" i="17"/>
  <c r="AN232" i="17"/>
  <c r="V118" i="17"/>
  <c r="I156" i="17"/>
  <c r="I143" i="17"/>
  <c r="G163" i="17"/>
  <c r="T171" i="17"/>
  <c r="G8" i="17"/>
  <c r="AC217" i="17"/>
  <c r="U12" i="17"/>
  <c r="AO174" i="17"/>
  <c r="I154" i="17"/>
  <c r="S182" i="17"/>
  <c r="AF193" i="17"/>
  <c r="AK231" i="17"/>
  <c r="AA232" i="17"/>
  <c r="E209" i="17"/>
  <c r="L129" i="17"/>
  <c r="AF77" i="17"/>
  <c r="AL138" i="17"/>
  <c r="O95" i="17"/>
  <c r="AK56" i="17"/>
  <c r="AD188" i="17"/>
  <c r="S70" i="17"/>
  <c r="P55" i="17"/>
  <c r="BA141" i="17"/>
  <c r="AN2" i="17"/>
  <c r="T218" i="17"/>
  <c r="Y219" i="17"/>
  <c r="N6" i="17"/>
  <c r="AQ96" i="17"/>
  <c r="AM182" i="17"/>
  <c r="Z242" i="17"/>
  <c r="AX233" i="17"/>
  <c r="AQ101" i="17"/>
  <c r="AS72" i="17"/>
  <c r="AD97" i="17"/>
  <c r="Y87" i="17"/>
  <c r="S150" i="17"/>
  <c r="J246" i="17"/>
  <c r="AY176" i="17"/>
  <c r="AJ107" i="17"/>
  <c r="F183" i="17"/>
  <c r="T131" i="17"/>
  <c r="AO96" i="17"/>
  <c r="V121" i="17"/>
  <c r="T191" i="17"/>
  <c r="AF72" i="17"/>
  <c r="AO147" i="17"/>
  <c r="Q28" i="17"/>
  <c r="AF23" i="17"/>
  <c r="S126" i="17"/>
  <c r="H27" i="17"/>
  <c r="R122" i="17"/>
  <c r="X79" i="17"/>
  <c r="O197" i="17"/>
  <c r="AN100" i="17"/>
  <c r="AJ91" i="17"/>
  <c r="J180" i="17"/>
  <c r="V19" i="17"/>
  <c r="AO19" i="17"/>
  <c r="D159" i="17"/>
  <c r="Q215" i="17"/>
  <c r="AH165" i="17"/>
  <c r="W207" i="17"/>
  <c r="T73" i="17"/>
  <c r="D50" i="17"/>
  <c r="AJ154" i="17"/>
  <c r="AG190" i="17"/>
  <c r="F187" i="17"/>
  <c r="AW154" i="17"/>
  <c r="R14" i="17"/>
  <c r="P58" i="17"/>
  <c r="AU193" i="17"/>
  <c r="AX35" i="17"/>
  <c r="T117" i="17"/>
  <c r="AW113" i="17"/>
  <c r="O139" i="17"/>
  <c r="AZ136" i="17"/>
  <c r="AH160" i="17"/>
  <c r="T92" i="17"/>
  <c r="D72" i="17"/>
  <c r="AZ142" i="17"/>
  <c r="AF14" i="17"/>
  <c r="P137" i="17"/>
  <c r="D174" i="17"/>
  <c r="AJ149" i="17"/>
  <c r="E116" i="17"/>
  <c r="O151" i="17"/>
  <c r="J52" i="17"/>
  <c r="Q150" i="17"/>
  <c r="X103" i="17"/>
  <c r="AK142" i="17"/>
  <c r="D203" i="17"/>
  <c r="G253" i="17"/>
  <c r="R12" i="17"/>
  <c r="V203" i="17"/>
  <c r="G149" i="17"/>
  <c r="AP53" i="17"/>
  <c r="L78" i="17"/>
  <c r="AT113" i="17"/>
  <c r="AX103" i="17"/>
  <c r="AE239" i="17"/>
  <c r="Z190" i="17"/>
  <c r="AH36" i="17"/>
  <c r="N152" i="17"/>
  <c r="P87" i="17"/>
  <c r="AF286" i="17"/>
  <c r="X248" i="17"/>
  <c r="R169" i="17"/>
  <c r="L139" i="17"/>
  <c r="I58" i="17"/>
  <c r="L128" i="17"/>
  <c r="S74" i="17"/>
  <c r="L218" i="17"/>
  <c r="AI21" i="17"/>
  <c r="AB54" i="17"/>
  <c r="X40" i="17"/>
  <c r="AM199" i="17"/>
  <c r="R90" i="17"/>
  <c r="AO210" i="17"/>
  <c r="J46" i="17"/>
  <c r="AS280" i="17"/>
  <c r="BA21" i="17"/>
  <c r="F71" i="17"/>
  <c r="W279" i="17"/>
  <c r="AC61" i="17"/>
  <c r="AA30" i="17"/>
  <c r="AR39" i="17"/>
  <c r="AN242" i="17"/>
  <c r="AV153" i="17"/>
  <c r="V295" i="17"/>
  <c r="AR239" i="17"/>
  <c r="L113" i="17"/>
  <c r="R152" i="17"/>
  <c r="AE38" i="17"/>
  <c r="AB78" i="17"/>
  <c r="P93" i="17"/>
  <c r="D226" i="17"/>
  <c r="AF131" i="17"/>
  <c r="X115" i="17"/>
  <c r="P35" i="17"/>
  <c r="AD79" i="17"/>
  <c r="AC38" i="17"/>
  <c r="X219" i="17"/>
  <c r="J165" i="17"/>
  <c r="AG227" i="17"/>
  <c r="AS93" i="17"/>
  <c r="AU81" i="17"/>
  <c r="BA167" i="17"/>
  <c r="J174" i="17"/>
  <c r="H49" i="17"/>
  <c r="AP150" i="17"/>
  <c r="BA214" i="17"/>
  <c r="Z193" i="17"/>
  <c r="AY99" i="17"/>
  <c r="AT200" i="17"/>
  <c r="AI77" i="17"/>
  <c r="AJ205" i="17"/>
  <c r="G128" i="17"/>
  <c r="N215" i="17"/>
  <c r="H48" i="17"/>
  <c r="AZ160" i="17"/>
  <c r="O111" i="17"/>
  <c r="AD57" i="17"/>
  <c r="AK265" i="17"/>
  <c r="O205" i="17"/>
  <c r="S140" i="17"/>
  <c r="P132" i="17"/>
  <c r="O125" i="17"/>
  <c r="M149" i="17"/>
  <c r="W107" i="17"/>
  <c r="U106" i="17"/>
  <c r="AR73" i="17"/>
  <c r="AE98" i="17"/>
  <c r="AK117" i="17"/>
  <c r="AP27" i="17"/>
  <c r="E174" i="17"/>
  <c r="Q225" i="17"/>
  <c r="L158" i="17"/>
  <c r="H69" i="17"/>
  <c r="AA71" i="17"/>
  <c r="W200" i="17"/>
  <c r="AV98" i="17"/>
  <c r="Y107" i="17"/>
  <c r="AL29" i="17"/>
  <c r="X49" i="17"/>
  <c r="O283" i="17"/>
  <c r="AE24" i="17"/>
  <c r="M103" i="17"/>
  <c r="X258" i="17"/>
  <c r="AD46" i="17"/>
  <c r="AM147" i="17"/>
  <c r="X88" i="17"/>
  <c r="AJ121" i="17"/>
  <c r="W129" i="17"/>
  <c r="X55" i="17"/>
  <c r="V28" i="17"/>
  <c r="K148" i="17"/>
  <c r="AU247" i="17"/>
  <c r="W182" i="17"/>
  <c r="AD244" i="17"/>
  <c r="X282" i="17"/>
  <c r="AB108" i="17"/>
  <c r="AK64" i="17"/>
  <c r="V59" i="17"/>
  <c r="AT194" i="17"/>
  <c r="Z254" i="17"/>
  <c r="F115" i="17"/>
  <c r="AG184" i="17"/>
  <c r="E64" i="17"/>
  <c r="J257" i="17"/>
  <c r="AT183" i="17"/>
  <c r="AE93" i="17"/>
  <c r="AM261" i="17"/>
  <c r="AZ209" i="17"/>
  <c r="U116" i="17"/>
  <c r="O42" i="17"/>
  <c r="K233" i="17"/>
  <c r="AB27" i="17"/>
  <c r="AA188" i="17"/>
  <c r="AL92" i="17"/>
  <c r="T199" i="17"/>
  <c r="AY260" i="17"/>
  <c r="AG122" i="17"/>
  <c r="X51" i="17"/>
  <c r="G220" i="17"/>
  <c r="P27" i="17"/>
  <c r="Q40" i="17"/>
  <c r="AB118" i="17"/>
  <c r="S5" i="17"/>
  <c r="AK87" i="17"/>
  <c r="O65" i="17"/>
  <c r="Y118" i="17"/>
  <c r="H161" i="17"/>
  <c r="AF32" i="17"/>
  <c r="AG123" i="17"/>
  <c r="N231" i="17"/>
  <c r="V40" i="17"/>
  <c r="J161" i="17"/>
  <c r="AA44" i="17"/>
  <c r="E202" i="17"/>
  <c r="S269" i="17"/>
  <c r="AN176" i="17"/>
  <c r="G115" i="17"/>
  <c r="AC91" i="17"/>
  <c r="R83" i="17"/>
  <c r="AA281" i="17"/>
  <c r="AB18" i="17"/>
  <c r="AH188" i="17"/>
  <c r="AP284" i="17"/>
  <c r="AH50" i="17"/>
  <c r="T147" i="17"/>
  <c r="H206" i="17"/>
  <c r="AQ29" i="17"/>
  <c r="AB90" i="17"/>
  <c r="Y33" i="17"/>
  <c r="Y56" i="17"/>
  <c r="H82" i="17"/>
  <c r="I201" i="17"/>
  <c r="R20" i="17"/>
  <c r="AJ64" i="17"/>
  <c r="G248" i="17"/>
  <c r="AM284" i="17"/>
  <c r="R34" i="17"/>
  <c r="Y54" i="17"/>
  <c r="AJ241" i="17"/>
  <c r="Z295" i="17"/>
  <c r="AD209" i="17"/>
  <c r="AZ198" i="17"/>
  <c r="AF190" i="17"/>
  <c r="AY93" i="17"/>
  <c r="AB285" i="17"/>
  <c r="AE35" i="17"/>
  <c r="AA98" i="17"/>
  <c r="BA221" i="17"/>
  <c r="F72" i="17"/>
  <c r="AN243" i="17"/>
  <c r="AU162" i="17"/>
  <c r="AR265" i="17"/>
  <c r="G102" i="17"/>
  <c r="E107" i="17"/>
  <c r="Q258" i="17"/>
  <c r="H223" i="17"/>
  <c r="P139" i="17"/>
  <c r="F111" i="17"/>
  <c r="AL134" i="17"/>
  <c r="P155" i="17"/>
  <c r="AW11" i="17"/>
  <c r="L175" i="17"/>
  <c r="E205" i="17"/>
  <c r="X110" i="17"/>
  <c r="AU49" i="17"/>
  <c r="AJ78" i="17"/>
  <c r="M143" i="17"/>
  <c r="N91" i="17"/>
  <c r="M57" i="17"/>
  <c r="Z102" i="17"/>
  <c r="AR5" i="17"/>
  <c r="F166" i="17"/>
  <c r="L248" i="17"/>
  <c r="AF141" i="17"/>
  <c r="AL54" i="17"/>
  <c r="AB79" i="17"/>
  <c r="D8" i="17"/>
  <c r="I170" i="17"/>
  <c r="O164" i="17"/>
  <c r="AB197" i="17"/>
  <c r="AL161" i="17"/>
  <c r="AJ206" i="17"/>
  <c r="O156" i="17"/>
  <c r="Q136" i="17"/>
  <c r="AC42" i="17"/>
  <c r="L32" i="17"/>
  <c r="P227" i="17"/>
  <c r="AM2" i="17"/>
  <c r="K58" i="17"/>
  <c r="AP110" i="17"/>
  <c r="Q115" i="17"/>
  <c r="AW224" i="17"/>
  <c r="AB105" i="17"/>
  <c r="O37" i="17"/>
  <c r="F235" i="17"/>
  <c r="P230" i="17"/>
  <c r="L87" i="17"/>
  <c r="Q164" i="17"/>
  <c r="Y68" i="17"/>
  <c r="AD30" i="17"/>
  <c r="AK109" i="17"/>
  <c r="AE70" i="17"/>
  <c r="L204" i="17"/>
  <c r="X99" i="17"/>
  <c r="AG155" i="17"/>
  <c r="F127" i="17"/>
  <c r="AK200" i="17"/>
  <c r="S11" i="17"/>
  <c r="AL139" i="17"/>
  <c r="D69" i="17"/>
  <c r="Y34" i="17"/>
  <c r="AO151" i="17"/>
  <c r="O43" i="17"/>
  <c r="AR9" i="17"/>
  <c r="AI164" i="17"/>
  <c r="F170" i="17"/>
  <c r="AD161" i="17"/>
  <c r="AU102" i="17"/>
  <c r="AS94" i="17"/>
  <c r="I140" i="17"/>
  <c r="Y236" i="17"/>
  <c r="N52" i="17"/>
  <c r="AT208" i="17"/>
  <c r="W236" i="17"/>
  <c r="F256" i="17"/>
  <c r="E136" i="17"/>
  <c r="I19" i="17"/>
  <c r="AN123" i="17"/>
  <c r="AN77" i="17"/>
  <c r="AG151" i="17"/>
  <c r="M150" i="17"/>
  <c r="AL179" i="17"/>
  <c r="X130" i="17"/>
  <c r="AK40" i="17"/>
  <c r="AL2" i="17"/>
  <c r="O143" i="17"/>
  <c r="P183" i="17"/>
  <c r="F117" i="17"/>
  <c r="T164" i="17"/>
  <c r="AR87" i="17"/>
  <c r="AX218" i="17"/>
  <c r="AO170" i="17"/>
  <c r="AT27" i="17"/>
  <c r="AR141" i="17"/>
  <c r="F67" i="17"/>
  <c r="AO201" i="17"/>
  <c r="D42" i="17"/>
  <c r="W56" i="17"/>
  <c r="R70" i="17"/>
  <c r="M193" i="17"/>
  <c r="AA217" i="17"/>
  <c r="AF93" i="17"/>
  <c r="L226" i="17"/>
  <c r="U240" i="17"/>
  <c r="P83" i="17"/>
  <c r="W194" i="17"/>
  <c r="AA108" i="17"/>
  <c r="D237" i="17"/>
  <c r="AK88" i="17"/>
  <c r="I197" i="17"/>
  <c r="F65" i="17"/>
  <c r="O108" i="17"/>
  <c r="H111" i="17"/>
  <c r="AQ48" i="17"/>
  <c r="T138" i="17"/>
  <c r="Y239" i="17"/>
  <c r="AS142" i="17"/>
  <c r="AA185" i="17"/>
  <c r="AM23" i="17"/>
  <c r="M140" i="17"/>
  <c r="I181" i="17"/>
  <c r="AX269" i="17"/>
  <c r="I34" i="17"/>
  <c r="S76" i="17"/>
  <c r="AX88" i="17"/>
  <c r="E222" i="17"/>
  <c r="L228" i="17"/>
  <c r="S200" i="17"/>
  <c r="AI119" i="17"/>
  <c r="AH177" i="17"/>
  <c r="F19" i="17"/>
  <c r="G187" i="17"/>
  <c r="AJ48" i="17"/>
  <c r="H22" i="17"/>
  <c r="AZ2" i="17"/>
  <c r="M9" i="17"/>
  <c r="Y109" i="17"/>
  <c r="M43" i="17"/>
  <c r="AF201" i="17"/>
  <c r="X70" i="17"/>
  <c r="N177" i="17"/>
  <c r="M96" i="17"/>
  <c r="BA98" i="17"/>
  <c r="AZ75" i="17"/>
  <c r="M129" i="17"/>
  <c r="AL90" i="17"/>
  <c r="AT14" i="17"/>
  <c r="V128" i="17"/>
  <c r="AO208" i="17"/>
  <c r="AB203" i="17"/>
  <c r="AA172" i="17"/>
  <c r="S142" i="17"/>
  <c r="M251" i="17"/>
  <c r="N98" i="17"/>
  <c r="AE128" i="17"/>
  <c r="AT42" i="17"/>
  <c r="D4" i="17"/>
  <c r="S109" i="17"/>
  <c r="T162" i="17"/>
  <c r="AK45" i="17"/>
  <c r="W33" i="17"/>
  <c r="F196" i="17"/>
  <c r="AQ90" i="17"/>
  <c r="AT111" i="17"/>
  <c r="AT61" i="17"/>
  <c r="K167" i="17"/>
  <c r="O129" i="17"/>
  <c r="D70" i="17"/>
  <c r="Z14" i="17"/>
  <c r="Q209" i="17"/>
  <c r="R17" i="17"/>
  <c r="AH182" i="17"/>
  <c r="G106" i="17"/>
  <c r="AB214" i="17"/>
  <c r="W226" i="17"/>
  <c r="J101" i="17"/>
  <c r="Z17" i="17"/>
  <c r="Y154" i="17"/>
  <c r="AW123" i="17"/>
  <c r="U71" i="17"/>
  <c r="S159" i="17"/>
  <c r="AE53" i="17"/>
  <c r="AB170" i="17"/>
  <c r="AX43" i="17"/>
  <c r="V275" i="17"/>
  <c r="O34" i="17"/>
  <c r="AA197" i="17"/>
  <c r="AC104" i="17"/>
  <c r="AK55" i="17"/>
  <c r="K199" i="17"/>
  <c r="AN208" i="17"/>
  <c r="AI213" i="17"/>
  <c r="AR129" i="17"/>
  <c r="H176" i="17"/>
  <c r="Z59" i="17"/>
  <c r="AO84" i="17"/>
  <c r="AQ179" i="17"/>
  <c r="AU198" i="17"/>
  <c r="R51" i="17"/>
  <c r="AS201" i="17"/>
  <c r="AS126" i="17"/>
  <c r="V192" i="17"/>
  <c r="AL254" i="17"/>
  <c r="BA85" i="17"/>
  <c r="AN235" i="17"/>
  <c r="V262" i="17"/>
  <c r="AU202" i="17"/>
  <c r="AI34" i="17"/>
  <c r="AE65" i="17"/>
  <c r="AU67" i="17"/>
  <c r="AH229" i="17"/>
  <c r="Z159" i="17"/>
  <c r="N104" i="17"/>
  <c r="L29" i="17"/>
  <c r="O54" i="17"/>
  <c r="G211" i="17"/>
  <c r="M144" i="17"/>
  <c r="S170" i="17"/>
  <c r="S86" i="17"/>
  <c r="E250" i="17"/>
  <c r="O26" i="17"/>
  <c r="U239" i="17"/>
  <c r="AL23" i="17"/>
  <c r="AD19" i="17"/>
  <c r="AL233" i="17"/>
  <c r="AN160" i="17"/>
  <c r="AS225" i="17"/>
  <c r="X196" i="17"/>
  <c r="Q144" i="17"/>
  <c r="AZ133" i="17"/>
  <c r="AX166" i="17"/>
  <c r="T53" i="17"/>
  <c r="O181" i="17"/>
  <c r="P64" i="17"/>
  <c r="AN205" i="17"/>
  <c r="AG232" i="17"/>
  <c r="E110" i="17"/>
  <c r="W48" i="17"/>
  <c r="F204" i="17"/>
  <c r="T24" i="17"/>
  <c r="X73" i="17"/>
  <c r="AU133" i="17"/>
  <c r="AT229" i="17"/>
  <c r="AF126" i="17"/>
  <c r="AH27" i="17"/>
  <c r="AC108" i="17"/>
  <c r="AP15" i="17"/>
  <c r="G232" i="17"/>
  <c r="AD175" i="17"/>
  <c r="R138" i="17"/>
  <c r="E40" i="17"/>
  <c r="AH68" i="17"/>
  <c r="AP39" i="17"/>
  <c r="AI108" i="17"/>
  <c r="AT28" i="17"/>
  <c r="AE96" i="17"/>
  <c r="AN30" i="17"/>
  <c r="Y237" i="17"/>
  <c r="AK214" i="17"/>
  <c r="D47" i="17"/>
  <c r="AA151" i="17"/>
  <c r="AI151" i="17"/>
  <c r="H55" i="17"/>
  <c r="O75" i="17"/>
  <c r="R153" i="17"/>
  <c r="AT148" i="17"/>
  <c r="AD41" i="17"/>
  <c r="V85" i="17"/>
  <c r="V265" i="17"/>
  <c r="AL39" i="17"/>
  <c r="H281" i="17"/>
  <c r="H229" i="17"/>
  <c r="D9" i="17"/>
  <c r="AC141" i="17"/>
  <c r="O74" i="17"/>
  <c r="AM244" i="17"/>
  <c r="W170" i="17"/>
  <c r="Q20" i="17"/>
  <c r="I17" i="17"/>
  <c r="AG118" i="17"/>
  <c r="G200" i="17"/>
  <c r="AK46" i="17"/>
  <c r="Y220" i="17"/>
  <c r="AO109" i="17"/>
  <c r="AC68" i="17"/>
  <c r="Y286" i="17"/>
  <c r="Q193" i="17"/>
  <c r="R160" i="17"/>
  <c r="I193" i="17"/>
  <c r="AL86" i="17"/>
  <c r="F137" i="17"/>
  <c r="AH113" i="17"/>
  <c r="AT264" i="17"/>
  <c r="F129" i="17"/>
  <c r="G19" i="17"/>
  <c r="AD130" i="17"/>
  <c r="AZ8" i="17"/>
  <c r="AG57" i="17"/>
  <c r="D197" i="17"/>
  <c r="AW67" i="17"/>
  <c r="AD10" i="17"/>
  <c r="Q119" i="17"/>
  <c r="AF175" i="17"/>
  <c r="U34" i="17"/>
  <c r="E48" i="17"/>
  <c r="AN290" i="17"/>
  <c r="X169" i="17"/>
  <c r="F219" i="17"/>
  <c r="Z20" i="17"/>
  <c r="R112" i="17"/>
  <c r="AB132" i="17"/>
  <c r="AY120" i="17"/>
  <c r="F240" i="17"/>
  <c r="R88" i="17"/>
  <c r="AS136" i="17"/>
  <c r="AV195" i="17"/>
  <c r="AP149" i="17"/>
  <c r="BA47" i="17"/>
  <c r="P75" i="17"/>
  <c r="AW140" i="17"/>
  <c r="AI161" i="17"/>
  <c r="I200" i="17"/>
  <c r="J232" i="17"/>
  <c r="N118" i="17"/>
  <c r="S107" i="17"/>
  <c r="V184" i="17"/>
  <c r="AN142" i="17"/>
  <c r="AB277" i="17"/>
  <c r="AC214" i="17"/>
  <c r="AB30" i="17"/>
  <c r="P218" i="17"/>
  <c r="Y177" i="17"/>
  <c r="X71" i="17"/>
  <c r="F163" i="17"/>
  <c r="AN207" i="17"/>
  <c r="AV241" i="17"/>
  <c r="E254" i="17"/>
  <c r="H5" i="17"/>
  <c r="AX145" i="17"/>
  <c r="J156" i="17"/>
  <c r="S12" i="17"/>
  <c r="AR154" i="17"/>
  <c r="AI241" i="17"/>
  <c r="P13" i="17"/>
  <c r="AP95" i="17"/>
  <c r="AO221" i="17"/>
  <c r="AX162" i="17"/>
  <c r="BA8" i="17"/>
  <c r="O211" i="17"/>
  <c r="AE159" i="17"/>
  <c r="AC32" i="17"/>
  <c r="I153" i="17"/>
  <c r="AU107" i="17"/>
  <c r="X229" i="17"/>
  <c r="Y216" i="17"/>
  <c r="AI30" i="17"/>
  <c r="S117" i="17"/>
  <c r="Y162" i="17"/>
  <c r="AR295" i="17"/>
  <c r="AC82" i="17"/>
  <c r="M121" i="17"/>
  <c r="M169" i="17"/>
  <c r="AA211" i="17"/>
  <c r="AB33" i="17"/>
  <c r="AB266" i="17"/>
  <c r="AF210" i="17"/>
  <c r="AV94" i="17"/>
  <c r="AG204" i="17"/>
  <c r="AI65" i="17"/>
  <c r="V227" i="17"/>
  <c r="E98" i="17"/>
  <c r="Y117" i="17"/>
  <c r="I57" i="17"/>
  <c r="O191" i="17"/>
  <c r="AW99" i="17"/>
  <c r="AD8" i="17"/>
  <c r="AJ162" i="17"/>
  <c r="AS223" i="17"/>
  <c r="AW137" i="17"/>
  <c r="T282" i="17"/>
  <c r="AA76" i="17"/>
  <c r="V14" i="17"/>
  <c r="AY19" i="17"/>
  <c r="I198" i="17"/>
  <c r="AD24" i="17"/>
  <c r="BA224" i="17"/>
  <c r="AE6" i="17"/>
  <c r="M38" i="17"/>
  <c r="AA57" i="17"/>
  <c r="AI197" i="17"/>
  <c r="V240" i="17"/>
  <c r="J31" i="17"/>
  <c r="V239" i="17"/>
  <c r="AW248" i="17"/>
  <c r="L75" i="17"/>
  <c r="V2" i="17"/>
  <c r="J45" i="17"/>
  <c r="AU142" i="17"/>
  <c r="S175" i="17"/>
  <c r="AJ177" i="17"/>
  <c r="K9" i="17"/>
  <c r="AT19" i="17"/>
  <c r="AJ185" i="17"/>
  <c r="R82" i="17"/>
  <c r="R215" i="17"/>
  <c r="AL193" i="17"/>
  <c r="S92" i="17"/>
  <c r="AL12" i="17"/>
  <c r="AR122" i="17"/>
  <c r="AA101" i="17"/>
  <c r="H35" i="17"/>
  <c r="AT175" i="17"/>
  <c r="U86" i="17"/>
  <c r="BA32" i="17"/>
  <c r="G18" i="17"/>
  <c r="F140" i="17"/>
  <c r="E199" i="17"/>
  <c r="T241" i="17"/>
  <c r="AS250" i="17"/>
  <c r="AA117" i="17"/>
  <c r="AS167" i="17"/>
  <c r="R156" i="17"/>
  <c r="Z11" i="17"/>
  <c r="AG179" i="17"/>
  <c r="AV240" i="17"/>
  <c r="G264" i="17"/>
  <c r="K45" i="17"/>
  <c r="AY162" i="17"/>
  <c r="X34" i="17"/>
  <c r="E135" i="17"/>
  <c r="M118" i="17"/>
  <c r="X205" i="17"/>
  <c r="AI110" i="17"/>
  <c r="AW38" i="17"/>
  <c r="U45" i="17"/>
  <c r="I52" i="17"/>
  <c r="S78" i="17"/>
  <c r="R4" i="17"/>
  <c r="AE225" i="17"/>
  <c r="AI248" i="17"/>
  <c r="L201" i="17"/>
  <c r="H59" i="17"/>
  <c r="AG104" i="17"/>
  <c r="AY156" i="17"/>
  <c r="AR155" i="17"/>
  <c r="AJ201" i="17"/>
  <c r="M134" i="17"/>
  <c r="AY129" i="17"/>
  <c r="AL273" i="17"/>
  <c r="AG194" i="17"/>
  <c r="T32" i="17"/>
  <c r="D26" i="17"/>
  <c r="AB21" i="17"/>
  <c r="M80" i="17"/>
  <c r="AC213" i="17"/>
  <c r="AE83" i="17"/>
  <c r="D210" i="17"/>
  <c r="AK122" i="17"/>
  <c r="AG138" i="17"/>
  <c r="AN85" i="17"/>
  <c r="AP251" i="17"/>
  <c r="O87" i="17"/>
  <c r="AB77" i="17"/>
  <c r="H129" i="17"/>
  <c r="AQ22" i="17"/>
  <c r="X123" i="17"/>
  <c r="AS106" i="17"/>
  <c r="Q6" i="17"/>
  <c r="AX7" i="17"/>
  <c r="AK166" i="17"/>
  <c r="O117" i="17"/>
  <c r="L243" i="17"/>
  <c r="T144" i="17"/>
  <c r="AS85" i="17"/>
  <c r="AQ54" i="17"/>
  <c r="AN147" i="17"/>
  <c r="Z156" i="17"/>
  <c r="Q112" i="17"/>
  <c r="AI106" i="17"/>
  <c r="AB91" i="17"/>
  <c r="J51" i="17"/>
  <c r="AK176" i="17"/>
  <c r="E68" i="17"/>
  <c r="AS107" i="17"/>
  <c r="AR12" i="17"/>
  <c r="AI17" i="17"/>
  <c r="U70" i="17"/>
  <c r="AY202" i="17"/>
  <c r="AT90" i="17"/>
  <c r="AY214" i="17"/>
  <c r="T3" i="17"/>
  <c r="P251" i="17"/>
  <c r="AG116" i="17"/>
  <c r="AQ110" i="17"/>
  <c r="AB270" i="17"/>
  <c r="AI105" i="17"/>
  <c r="AF60" i="17"/>
  <c r="I185" i="17"/>
  <c r="AA199" i="17"/>
  <c r="AP74" i="17"/>
  <c r="Y72" i="17"/>
  <c r="AT145" i="17"/>
  <c r="AY53" i="17"/>
  <c r="S8" i="17"/>
  <c r="X147" i="17"/>
  <c r="BA49" i="17"/>
  <c r="AR237" i="17"/>
  <c r="P135" i="17"/>
  <c r="H104" i="17"/>
  <c r="Q50" i="17"/>
  <c r="D136" i="17"/>
  <c r="W87" i="17"/>
  <c r="AI134" i="17"/>
  <c r="AA115" i="17"/>
  <c r="AM58" i="17"/>
  <c r="N195" i="17"/>
  <c r="AI177" i="17"/>
  <c r="AP80" i="17"/>
  <c r="T134" i="17"/>
  <c r="AL102" i="17"/>
  <c r="AT128" i="17"/>
  <c r="W156" i="17"/>
  <c r="P191" i="17"/>
  <c r="Y180" i="17"/>
  <c r="P284" i="17"/>
  <c r="AM185" i="17"/>
  <c r="Y97" i="17"/>
  <c r="AI283" i="17"/>
  <c r="AB216" i="17"/>
  <c r="X29" i="17"/>
  <c r="AZ227" i="17"/>
  <c r="AK106" i="17"/>
  <c r="AM270" i="17"/>
  <c r="AN138" i="17"/>
  <c r="E115" i="17"/>
  <c r="Q3" i="17"/>
  <c r="H67" i="17"/>
  <c r="S45" i="17"/>
  <c r="AQ232" i="17"/>
  <c r="P44" i="17"/>
  <c r="K185" i="17"/>
  <c r="AA218" i="17"/>
  <c r="G286" i="17"/>
  <c r="AJ145" i="17"/>
  <c r="R23" i="17"/>
  <c r="G98" i="17"/>
  <c r="L140" i="17"/>
  <c r="N30" i="17"/>
  <c r="AJ87" i="17"/>
  <c r="N36" i="17"/>
  <c r="AX23" i="17"/>
  <c r="Y100" i="17"/>
  <c r="AH129" i="17"/>
  <c r="I243" i="17"/>
  <c r="I75" i="17"/>
  <c r="AE173" i="17"/>
  <c r="H163" i="17"/>
  <c r="AC140" i="17"/>
  <c r="AJ147" i="17"/>
  <c r="F53" i="17"/>
  <c r="M136" i="17"/>
  <c r="AD248" i="17"/>
  <c r="AB100" i="17"/>
  <c r="AH103" i="17"/>
  <c r="AL7" i="17"/>
  <c r="AN69" i="17"/>
  <c r="AI166" i="17"/>
  <c r="AE215" i="17"/>
  <c r="Z216" i="17"/>
  <c r="S235" i="17"/>
  <c r="Q29" i="17"/>
  <c r="D98" i="17"/>
  <c r="AF241" i="17"/>
  <c r="E170" i="17"/>
  <c r="AB261" i="17"/>
  <c r="AD176" i="17"/>
  <c r="AY303" i="17"/>
  <c r="G86" i="17"/>
  <c r="AE105" i="17"/>
  <c r="V112" i="17"/>
  <c r="L151" i="17"/>
  <c r="M194" i="17"/>
  <c r="AJ179" i="17"/>
  <c r="AK252" i="17"/>
  <c r="L195" i="17"/>
  <c r="AQ152" i="17"/>
  <c r="U189" i="17"/>
  <c r="Q78" i="17"/>
  <c r="AB65" i="17"/>
  <c r="AM221" i="17"/>
  <c r="AZ47" i="17"/>
  <c r="V225" i="17"/>
  <c r="AJ73" i="17"/>
  <c r="G99" i="17"/>
  <c r="BA247" i="17"/>
  <c r="Z200" i="17"/>
  <c r="N100" i="17"/>
  <c r="Q101" i="17"/>
  <c r="S84" i="17"/>
  <c r="AL71" i="17"/>
  <c r="V176" i="17"/>
  <c r="K235" i="17"/>
  <c r="AT51" i="17"/>
  <c r="AH62" i="17"/>
  <c r="V114" i="17"/>
  <c r="AW177" i="17"/>
  <c r="Q221" i="17"/>
  <c r="I199" i="17"/>
  <c r="AQ251" i="17"/>
  <c r="Y86" i="17"/>
  <c r="Q139" i="17"/>
  <c r="S194" i="17"/>
  <c r="AY193" i="17"/>
  <c r="AW95" i="17"/>
  <c r="V16" i="17"/>
  <c r="AY216" i="17"/>
  <c r="V183" i="17"/>
  <c r="AT127" i="17"/>
  <c r="N12" i="17"/>
  <c r="H83" i="17"/>
  <c r="S249" i="17"/>
  <c r="AG156" i="17"/>
  <c r="W26" i="17"/>
  <c r="I175" i="17"/>
  <c r="P179" i="17"/>
  <c r="AJ213" i="17"/>
  <c r="L95" i="17"/>
  <c r="O165" i="17"/>
  <c r="Z177" i="17"/>
  <c r="AA242" i="17"/>
  <c r="AV204" i="17"/>
  <c r="AO176" i="17"/>
  <c r="J25" i="17"/>
  <c r="Y49" i="17"/>
  <c r="X58" i="17"/>
  <c r="H36" i="17"/>
  <c r="Q214" i="17"/>
  <c r="AH238" i="17"/>
  <c r="AH197" i="17"/>
  <c r="AH53" i="17"/>
  <c r="Z88" i="17"/>
  <c r="AG7" i="17"/>
  <c r="O15" i="17"/>
  <c r="AV3" i="17"/>
  <c r="V35" i="17"/>
  <c r="AI220" i="17"/>
  <c r="AS140" i="17"/>
  <c r="M222" i="17"/>
  <c r="E194" i="17"/>
  <c r="AC227" i="17"/>
  <c r="N116" i="17"/>
  <c r="R33" i="17"/>
  <c r="AL75" i="17"/>
  <c r="J94" i="17"/>
  <c r="AE196" i="17"/>
  <c r="G192" i="17"/>
  <c r="AY220" i="17"/>
  <c r="I280" i="17"/>
  <c r="I244" i="17"/>
  <c r="N137" i="17"/>
  <c r="J5" i="17"/>
  <c r="U15" i="17"/>
  <c r="K56" i="17"/>
  <c r="M115" i="17"/>
  <c r="BA116" i="17"/>
  <c r="AE129" i="17"/>
  <c r="V200" i="17"/>
  <c r="AQ13" i="17"/>
  <c r="AY204" i="17"/>
  <c r="Q247" i="17"/>
  <c r="P223" i="17"/>
  <c r="AX224" i="17"/>
  <c r="AM120" i="17"/>
  <c r="AG163" i="17"/>
  <c r="AB4" i="17"/>
  <c r="AH23" i="17"/>
  <c r="T96" i="17"/>
  <c r="AN257" i="17"/>
  <c r="AB94" i="17"/>
  <c r="AF8" i="17"/>
  <c r="AT92" i="17"/>
  <c r="AN71" i="17"/>
  <c r="AJ77" i="17"/>
  <c r="AI136" i="17"/>
  <c r="X101" i="17"/>
  <c r="AA145" i="17"/>
  <c r="AY95" i="17"/>
  <c r="AC100" i="17"/>
  <c r="L152" i="17"/>
  <c r="Q185" i="17"/>
  <c r="T82" i="17"/>
  <c r="T146" i="17"/>
  <c r="AN218" i="17"/>
  <c r="Y213" i="17"/>
  <c r="AM205" i="17"/>
  <c r="G101" i="17"/>
  <c r="Z117" i="17"/>
  <c r="AW195" i="17"/>
  <c r="AH136" i="17"/>
  <c r="AY9" i="17"/>
  <c r="Z42" i="17"/>
  <c r="AJ127" i="17"/>
  <c r="J189" i="17"/>
  <c r="AM139" i="17"/>
  <c r="AW183" i="17"/>
  <c r="H60" i="17"/>
  <c r="AL186" i="17"/>
  <c r="AW121" i="17"/>
  <c r="AH65" i="17"/>
  <c r="K137" i="17"/>
  <c r="K165" i="17"/>
  <c r="I46" i="17"/>
  <c r="T150" i="17"/>
  <c r="W165" i="17"/>
  <c r="U220" i="17"/>
  <c r="N190" i="17"/>
  <c r="D156" i="17"/>
  <c r="AT224" i="17"/>
  <c r="AA85" i="17"/>
  <c r="L196" i="17"/>
  <c r="AN49" i="17"/>
  <c r="AE34" i="17"/>
  <c r="P151" i="17"/>
  <c r="AU76" i="17"/>
  <c r="U263" i="17"/>
  <c r="P88" i="17"/>
  <c r="Z224" i="17"/>
  <c r="AE229" i="17"/>
  <c r="T2" i="17"/>
  <c r="O100" i="17"/>
  <c r="D132" i="17"/>
  <c r="AA7" i="17"/>
  <c r="AH154" i="17"/>
  <c r="AO48" i="17"/>
  <c r="E91" i="17"/>
  <c r="AM21" i="17"/>
  <c r="AO74" i="17"/>
  <c r="AP54" i="17"/>
  <c r="Z212" i="17"/>
  <c r="AR85" i="17"/>
  <c r="P286" i="17"/>
  <c r="AL62" i="17"/>
  <c r="AV201" i="17"/>
  <c r="AE50" i="17"/>
  <c r="AP186" i="17"/>
  <c r="AA156" i="17"/>
  <c r="G162" i="17"/>
  <c r="AY232" i="17"/>
  <c r="AI33" i="17"/>
  <c r="X194" i="17"/>
  <c r="AT23" i="17"/>
  <c r="T83" i="17"/>
  <c r="AS278" i="17"/>
  <c r="Q175" i="17"/>
  <c r="AG216" i="17"/>
  <c r="O234" i="17"/>
  <c r="M70" i="17"/>
  <c r="AW89" i="17"/>
  <c r="AM32" i="17"/>
  <c r="L17" i="17"/>
  <c r="AY217" i="17"/>
  <c r="BA89" i="17"/>
  <c r="AQ102" i="17"/>
  <c r="Z241" i="17"/>
  <c r="M170" i="17"/>
  <c r="E160" i="17"/>
  <c r="J50" i="17"/>
  <c r="AB99" i="17"/>
  <c r="AZ228" i="17"/>
  <c r="X54" i="17"/>
  <c r="AO55" i="17"/>
  <c r="AE113" i="17"/>
  <c r="AD39" i="17"/>
  <c r="AE197" i="17"/>
  <c r="AJ208" i="17"/>
  <c r="K23" i="17"/>
  <c r="AD158" i="17"/>
  <c r="AO153" i="17"/>
  <c r="AD172" i="17"/>
  <c r="I183" i="17"/>
  <c r="AJ119" i="17"/>
  <c r="N99" i="17"/>
  <c r="U150" i="17"/>
  <c r="AR182" i="17"/>
  <c r="AH178" i="17"/>
  <c r="P116" i="17"/>
  <c r="AW54" i="17"/>
  <c r="W79" i="17"/>
  <c r="AK65" i="17"/>
  <c r="AH262" i="17"/>
  <c r="S245" i="17"/>
  <c r="AL114" i="17"/>
  <c r="AN260" i="17"/>
  <c r="O142" i="17"/>
  <c r="H130" i="17"/>
  <c r="T89" i="17"/>
  <c r="AA118" i="17"/>
  <c r="Y208" i="17"/>
  <c r="AZ245" i="17"/>
  <c r="AM16" i="17"/>
  <c r="AT106" i="17"/>
  <c r="V95" i="17"/>
  <c r="AO241" i="17"/>
  <c r="AB50" i="17"/>
  <c r="O49" i="17"/>
  <c r="AA79" i="17"/>
  <c r="I18" i="17"/>
  <c r="AH183" i="17"/>
  <c r="Y18" i="17"/>
  <c r="AS27" i="17"/>
  <c r="G91" i="17"/>
  <c r="Z2" i="17"/>
  <c r="AT4" i="17"/>
  <c r="Z148" i="17"/>
  <c r="W34" i="17"/>
  <c r="U231" i="17"/>
  <c r="AD99" i="17"/>
  <c r="AP63" i="17"/>
  <c r="R185" i="17"/>
  <c r="Q201" i="17"/>
  <c r="AZ154" i="17"/>
  <c r="AQ86" i="17"/>
  <c r="AZ220" i="17"/>
  <c r="AE177" i="17"/>
  <c r="AF181" i="17"/>
  <c r="AG211" i="17"/>
  <c r="V101" i="17"/>
  <c r="K49" i="17"/>
  <c r="P252" i="17"/>
  <c r="AI254" i="17"/>
  <c r="AF145" i="17"/>
  <c r="AU231" i="17"/>
  <c r="I101" i="17"/>
  <c r="AS87" i="17"/>
  <c r="F188" i="17"/>
  <c r="Y104" i="17"/>
  <c r="AF185" i="17"/>
  <c r="V221" i="17"/>
  <c r="I40" i="17"/>
  <c r="S130" i="17"/>
  <c r="AK261" i="17"/>
  <c r="I82" i="17"/>
  <c r="R173" i="17"/>
  <c r="AC48" i="17"/>
  <c r="AT162" i="17"/>
  <c r="Z222" i="17"/>
  <c r="H52" i="17"/>
  <c r="AI66" i="17"/>
  <c r="W205" i="17"/>
  <c r="AM28" i="17"/>
  <c r="L116" i="17"/>
  <c r="AC137" i="17"/>
  <c r="AM155" i="17"/>
  <c r="K209" i="17"/>
  <c r="AE208" i="17"/>
  <c r="W273" i="17"/>
  <c r="AC199" i="17"/>
  <c r="Q227" i="17"/>
  <c r="AR235" i="17"/>
  <c r="J289" i="17"/>
  <c r="G118" i="17"/>
  <c r="AB174" i="17"/>
  <c r="U101" i="17"/>
  <c r="O59" i="17"/>
  <c r="Z203" i="17"/>
  <c r="AK41" i="17"/>
  <c r="U242" i="17"/>
  <c r="N158" i="17"/>
  <c r="AK113" i="17"/>
  <c r="AJ66" i="17"/>
  <c r="H92" i="17"/>
  <c r="E211" i="17"/>
  <c r="H79" i="17"/>
  <c r="H244" i="17"/>
  <c r="E268" i="17"/>
  <c r="AZ232" i="17"/>
  <c r="AQ109" i="17"/>
  <c r="AC58" i="17"/>
  <c r="K52" i="17"/>
  <c r="AW178" i="17"/>
  <c r="U2" i="17"/>
  <c r="W282" i="17"/>
  <c r="AV90" i="17"/>
  <c r="T183" i="17"/>
  <c r="AB179" i="17"/>
  <c r="Z35" i="17"/>
  <c r="AL118" i="17"/>
  <c r="AF247" i="17"/>
  <c r="AV36" i="17"/>
  <c r="H209" i="17"/>
  <c r="U234" i="17"/>
  <c r="AU24" i="17"/>
  <c r="AJ186" i="17"/>
  <c r="E81" i="17"/>
  <c r="T175" i="17"/>
  <c r="U178" i="17"/>
  <c r="G147" i="17"/>
  <c r="G31" i="17"/>
  <c r="AC142" i="17"/>
  <c r="AX185" i="17"/>
  <c r="AU44" i="17"/>
  <c r="AT205" i="17"/>
  <c r="AV222" i="17"/>
  <c r="AD21" i="17"/>
  <c r="M255" i="17"/>
  <c r="AJ58" i="17"/>
  <c r="AP12" i="17"/>
  <c r="F130" i="17"/>
  <c r="X218" i="17"/>
  <c r="O102" i="17"/>
  <c r="Q26" i="17"/>
  <c r="AS48" i="17"/>
  <c r="AS130" i="17"/>
  <c r="Q114" i="17"/>
  <c r="K144" i="17"/>
  <c r="AN5" i="17"/>
  <c r="H20" i="17"/>
  <c r="W212" i="17"/>
  <c r="L183" i="17"/>
  <c r="AI157" i="17"/>
  <c r="R97" i="17"/>
  <c r="T27" i="17"/>
  <c r="E130" i="17"/>
  <c r="Z86" i="17"/>
  <c r="AR20" i="17"/>
  <c r="D93" i="17"/>
  <c r="O255" i="17"/>
  <c r="AU279" i="17"/>
  <c r="AN106" i="17"/>
  <c r="H167" i="17"/>
  <c r="AA24" i="17"/>
  <c r="D199" i="17"/>
  <c r="I223" i="17"/>
  <c r="T231" i="17"/>
  <c r="U78" i="17"/>
  <c r="P21" i="17"/>
  <c r="AI147" i="17"/>
  <c r="S236" i="17"/>
  <c r="E8" i="17"/>
  <c r="S35" i="17"/>
  <c r="F113" i="17"/>
  <c r="U41" i="17"/>
  <c r="P79" i="17"/>
  <c r="AU26" i="17"/>
  <c r="AZ153" i="17"/>
  <c r="AS202" i="17"/>
  <c r="G226" i="17"/>
  <c r="F210" i="17"/>
  <c r="Y108" i="17"/>
  <c r="AD143" i="17"/>
  <c r="N204" i="17"/>
  <c r="L63" i="17"/>
  <c r="AL144" i="17"/>
  <c r="AC109" i="17"/>
  <c r="G120" i="17"/>
  <c r="V74" i="17"/>
  <c r="AL198" i="17"/>
  <c r="G10" i="17"/>
  <c r="BA56" i="17"/>
  <c r="AK4" i="17"/>
  <c r="X19" i="17"/>
  <c r="N59" i="17"/>
  <c r="AY191" i="17"/>
  <c r="AS157" i="17"/>
  <c r="AQ123" i="17"/>
  <c r="AL76" i="17"/>
  <c r="AW267" i="17"/>
  <c r="J42" i="17"/>
  <c r="AW107" i="17"/>
  <c r="H26" i="17"/>
  <c r="T52" i="17"/>
  <c r="AF248" i="17"/>
  <c r="P65" i="17"/>
  <c r="AR132" i="17"/>
  <c r="J181" i="17"/>
  <c r="AE153" i="17"/>
  <c r="L206" i="17"/>
  <c r="O77" i="17"/>
  <c r="AO145" i="17"/>
  <c r="AS86" i="17"/>
  <c r="E72" i="17"/>
  <c r="AZ162" i="17"/>
  <c r="AN167" i="17"/>
  <c r="N162" i="17"/>
  <c r="L38" i="17"/>
  <c r="AR131" i="17"/>
  <c r="V57" i="17"/>
  <c r="AG6" i="17"/>
  <c r="M52" i="17"/>
  <c r="AO215" i="17"/>
  <c r="H146" i="17"/>
  <c r="AF99" i="17"/>
  <c r="AK167" i="17"/>
  <c r="K206" i="17"/>
  <c r="U202" i="17"/>
  <c r="AX17" i="17"/>
  <c r="AK216" i="17"/>
  <c r="U195" i="17"/>
  <c r="AY63" i="17"/>
  <c r="AW50" i="17"/>
  <c r="AA46" i="17"/>
  <c r="AA78" i="17"/>
  <c r="AM181" i="17"/>
  <c r="J91" i="17"/>
  <c r="AH219" i="17"/>
  <c r="E5" i="17"/>
  <c r="AN228" i="17"/>
  <c r="W256" i="17"/>
  <c r="O159" i="17"/>
  <c r="N159" i="17"/>
  <c r="G77" i="17"/>
  <c r="Z45" i="17"/>
  <c r="M119" i="17"/>
  <c r="AQ252" i="17"/>
  <c r="P162" i="17"/>
  <c r="AG17" i="17"/>
  <c r="AK258" i="17"/>
  <c r="D49" i="17"/>
  <c r="S232" i="17"/>
  <c r="G166" i="17"/>
  <c r="AR140" i="17"/>
  <c r="K237" i="17"/>
  <c r="AI214" i="17"/>
  <c r="AS2" i="17"/>
  <c r="AR289" i="17"/>
  <c r="S259" i="17"/>
  <c r="M258" i="17"/>
  <c r="Q126" i="17"/>
  <c r="AT268" i="17"/>
  <c r="AH72" i="17"/>
  <c r="M141" i="17"/>
  <c r="AQ126" i="17"/>
  <c r="AQ178" i="17"/>
  <c r="AX179" i="17"/>
  <c r="M76" i="17"/>
  <c r="AO141" i="17"/>
  <c r="AX250" i="17"/>
  <c r="H95" i="17"/>
  <c r="AK77" i="17"/>
  <c r="AY61" i="17"/>
  <c r="AS177" i="17"/>
  <c r="AT180" i="17"/>
  <c r="J139" i="17"/>
  <c r="Y113" i="17"/>
  <c r="AB187" i="17"/>
  <c r="V65" i="17"/>
  <c r="AF37" i="17"/>
  <c r="AA138" i="17"/>
  <c r="U129" i="17"/>
  <c r="U107" i="17"/>
  <c r="K90" i="17"/>
  <c r="Y167" i="17"/>
  <c r="V207" i="17"/>
  <c r="R197" i="17"/>
  <c r="J243" i="17"/>
  <c r="Z3" i="17"/>
  <c r="I226" i="17"/>
  <c r="M172" i="17"/>
  <c r="X61" i="17"/>
  <c r="AC202" i="17"/>
  <c r="AG112" i="17"/>
  <c r="L33" i="17"/>
  <c r="U290" i="17"/>
  <c r="R86" i="17"/>
  <c r="D275" i="17"/>
  <c r="AI107" i="17"/>
  <c r="K18" i="17"/>
  <c r="T42" i="17"/>
  <c r="AT37" i="17"/>
  <c r="G83" i="17"/>
  <c r="G76" i="17"/>
  <c r="AJ275" i="17"/>
  <c r="AV54" i="17"/>
  <c r="H15" i="17"/>
  <c r="U82" i="17"/>
  <c r="R56" i="17"/>
  <c r="U35" i="17"/>
  <c r="T57" i="17"/>
  <c r="BA228" i="17"/>
  <c r="Z253" i="17"/>
  <c r="X124" i="17"/>
  <c r="U209" i="17"/>
  <c r="AU129" i="17"/>
  <c r="M228" i="17"/>
  <c r="W13" i="17"/>
  <c r="AI68" i="17"/>
  <c r="F22" i="17"/>
  <c r="N174" i="17"/>
  <c r="E188" i="17"/>
  <c r="H200" i="17"/>
  <c r="Y243" i="17"/>
  <c r="F144" i="17"/>
  <c r="P91" i="17"/>
  <c r="AX45" i="17"/>
  <c r="BA38" i="17"/>
  <c r="F153" i="17"/>
  <c r="AC11" i="17"/>
  <c r="AK238" i="17"/>
  <c r="T172" i="17"/>
  <c r="AG54" i="17"/>
  <c r="Y59" i="17"/>
  <c r="D85" i="17"/>
  <c r="AG277" i="17"/>
  <c r="AH42" i="17"/>
  <c r="AY42" i="17"/>
  <c r="AZ80" i="17"/>
  <c r="AF293" i="17"/>
  <c r="AU61" i="17"/>
  <c r="P244" i="17"/>
  <c r="H267" i="17"/>
  <c r="AN32" i="17"/>
  <c r="Z87" i="17"/>
  <c r="E89" i="17"/>
  <c r="AL110" i="17"/>
  <c r="AV182" i="17"/>
  <c r="G279" i="17"/>
  <c r="AS192" i="17"/>
  <c r="AS216" i="17"/>
  <c r="W2" i="17"/>
  <c r="BA101" i="17"/>
  <c r="O157" i="17"/>
  <c r="W46" i="17"/>
  <c r="V46" i="17"/>
  <c r="O89" i="17"/>
  <c r="AU120" i="17"/>
  <c r="AK178" i="17"/>
  <c r="X93" i="17"/>
  <c r="J175" i="17"/>
  <c r="D227" i="17"/>
  <c r="O182" i="17"/>
  <c r="AP151" i="17"/>
  <c r="O192" i="17"/>
  <c r="Z30" i="17"/>
  <c r="AI84" i="17"/>
  <c r="AR170" i="17"/>
  <c r="G238" i="17"/>
  <c r="AV123" i="17"/>
  <c r="AV105" i="17"/>
  <c r="J123" i="17"/>
  <c r="V193" i="17"/>
  <c r="AI202" i="17"/>
  <c r="M268" i="17"/>
  <c r="Q34" i="17"/>
  <c r="E178" i="17"/>
  <c r="M21" i="17"/>
  <c r="AT26" i="17"/>
  <c r="T104" i="17"/>
  <c r="V60" i="17"/>
  <c r="H135" i="17"/>
  <c r="AW63" i="17"/>
  <c r="AH87" i="17"/>
  <c r="G127" i="17"/>
  <c r="J99" i="17"/>
  <c r="K127" i="17"/>
  <c r="F78" i="17"/>
  <c r="AJ204" i="17"/>
  <c r="Z63" i="17"/>
  <c r="R149" i="17"/>
  <c r="Z110" i="17"/>
  <c r="AO138" i="17"/>
  <c r="AQ149" i="17"/>
  <c r="AW236" i="17"/>
  <c r="S238" i="17"/>
  <c r="H168" i="17"/>
  <c r="K97" i="17"/>
  <c r="D206" i="17"/>
  <c r="AI262" i="17"/>
  <c r="AA109" i="17"/>
  <c r="AQ153" i="17"/>
  <c r="AD184" i="17"/>
  <c r="AP19" i="17"/>
  <c r="F48" i="17"/>
  <c r="P20" i="17"/>
  <c r="AV166" i="17"/>
  <c r="T99" i="17"/>
  <c r="AB149" i="17"/>
  <c r="L2" i="17"/>
  <c r="E208" i="17"/>
  <c r="S148" i="17"/>
  <c r="AS50" i="17"/>
  <c r="F203" i="17"/>
  <c r="O135" i="17"/>
  <c r="AO49" i="17"/>
  <c r="M71" i="17"/>
  <c r="W253" i="17"/>
  <c r="BA196" i="17"/>
  <c r="AL200" i="17"/>
  <c r="I161" i="17"/>
  <c r="AA66" i="17"/>
  <c r="AC24" i="17"/>
  <c r="AQ19" i="17"/>
  <c r="AP136" i="17"/>
  <c r="O29" i="17"/>
  <c r="AI132" i="17"/>
  <c r="AX187" i="17"/>
  <c r="AD29" i="17"/>
  <c r="J149" i="17"/>
  <c r="AJ41" i="17"/>
  <c r="AA124" i="17"/>
  <c r="I3" i="17"/>
  <c r="Q108" i="17"/>
  <c r="AL159" i="17"/>
  <c r="AF124" i="17"/>
  <c r="AL275" i="17"/>
  <c r="AG176" i="17"/>
  <c r="E37" i="17"/>
  <c r="AV88" i="17"/>
  <c r="E77" i="17"/>
  <c r="N42" i="17"/>
  <c r="AN7" i="17"/>
  <c r="AZ83" i="17"/>
  <c r="AO150" i="17"/>
  <c r="AK218" i="17"/>
  <c r="AZ213" i="17"/>
  <c r="F29" i="17"/>
  <c r="X87" i="17"/>
  <c r="R54" i="17"/>
  <c r="D190" i="17"/>
  <c r="T126" i="17"/>
  <c r="M168" i="17"/>
  <c r="AT88" i="17"/>
  <c r="T91" i="17"/>
  <c r="AL184" i="17"/>
  <c r="Y66" i="17"/>
  <c r="AL145" i="17"/>
  <c r="AA248" i="17"/>
  <c r="E220" i="17"/>
  <c r="AN108" i="17"/>
  <c r="AN72" i="17"/>
  <c r="U224" i="17"/>
  <c r="AA137" i="17"/>
  <c r="L122" i="17"/>
  <c r="Q4" i="17"/>
  <c r="AK211" i="17"/>
  <c r="AY29" i="17"/>
  <c r="AJ129" i="17"/>
  <c r="Z153" i="17"/>
  <c r="AU87" i="17"/>
  <c r="N107" i="17"/>
  <c r="AD148" i="17"/>
  <c r="AW141" i="17"/>
  <c r="H188" i="17"/>
  <c r="AJ176" i="17"/>
  <c r="V217" i="17"/>
  <c r="Q158" i="17"/>
  <c r="AX10" i="17"/>
  <c r="L213" i="17"/>
  <c r="AV232" i="17"/>
  <c r="AO72" i="17"/>
  <c r="AV187" i="17"/>
  <c r="M199" i="17"/>
  <c r="AA47" i="17"/>
  <c r="D149" i="17"/>
  <c r="H202" i="17"/>
  <c r="AT172" i="17"/>
  <c r="AU98" i="17"/>
  <c r="AG25" i="17"/>
  <c r="AI48" i="17"/>
  <c r="F214" i="17"/>
  <c r="Z103" i="17"/>
  <c r="S173" i="17"/>
  <c r="AD23" i="17"/>
  <c r="AU97" i="17"/>
  <c r="K250" i="17"/>
  <c r="AK205" i="17"/>
  <c r="Z244" i="17"/>
  <c r="K280" i="17"/>
  <c r="AG66" i="17"/>
  <c r="AM107" i="17"/>
  <c r="AH40" i="17"/>
  <c r="Y287" i="17"/>
  <c r="AD81" i="17"/>
  <c r="AH193" i="17"/>
  <c r="J256" i="17"/>
  <c r="AC14" i="17"/>
  <c r="F103" i="17"/>
  <c r="Z252" i="17"/>
  <c r="AF205" i="17"/>
  <c r="G144" i="17"/>
  <c r="U236" i="17"/>
  <c r="AY212" i="17"/>
  <c r="W211" i="17"/>
  <c r="AN99" i="17"/>
  <c r="R69" i="17"/>
  <c r="AB255" i="17"/>
  <c r="W111" i="17"/>
  <c r="AR105" i="17"/>
  <c r="AA219" i="17"/>
  <c r="G14" i="17"/>
  <c r="Z191" i="17"/>
  <c r="V68" i="17"/>
  <c r="AM146" i="17"/>
  <c r="R129" i="17"/>
  <c r="AX177" i="17"/>
  <c r="X250" i="17"/>
  <c r="J110" i="17"/>
  <c r="AZ40" i="17"/>
  <c r="H84" i="17"/>
  <c r="AG128" i="17"/>
  <c r="P200" i="17"/>
  <c r="D274" i="17"/>
  <c r="AA178" i="17"/>
  <c r="AT49" i="17"/>
  <c r="AW120" i="17"/>
  <c r="V220" i="17"/>
  <c r="J77" i="17"/>
  <c r="U185" i="17"/>
  <c r="AS251" i="17"/>
  <c r="O62" i="17"/>
  <c r="H105" i="17"/>
  <c r="AR56" i="17"/>
  <c r="AS69" i="17"/>
  <c r="AZ150" i="17"/>
  <c r="S49" i="17"/>
  <c r="M174" i="17"/>
  <c r="F147" i="17"/>
  <c r="AW198" i="17"/>
  <c r="AU110" i="17"/>
  <c r="AC149" i="17"/>
  <c r="S57" i="17"/>
  <c r="AD95" i="17"/>
  <c r="AF216" i="17"/>
  <c r="Y57" i="17"/>
  <c r="P52" i="17"/>
  <c r="H110" i="17"/>
  <c r="T222" i="17"/>
  <c r="M73" i="17"/>
  <c r="AL89" i="17"/>
  <c r="AC96" i="17"/>
  <c r="I117" i="17"/>
  <c r="AT99" i="17"/>
  <c r="E114" i="17"/>
  <c r="W247" i="17"/>
  <c r="AT55" i="17"/>
  <c r="G50" i="17"/>
  <c r="AN129" i="17"/>
  <c r="AU33" i="17"/>
  <c r="E90" i="17"/>
  <c r="N210" i="17"/>
  <c r="AR139" i="17"/>
  <c r="AD71" i="17"/>
  <c r="N149" i="17"/>
  <c r="G41" i="17"/>
  <c r="AV145" i="17"/>
  <c r="L18" i="17"/>
  <c r="AA103" i="17"/>
  <c r="Q270" i="17"/>
  <c r="AF17" i="17"/>
  <c r="AS206" i="17"/>
  <c r="H253" i="17"/>
  <c r="P185" i="17"/>
  <c r="AT250" i="17"/>
  <c r="AE264" i="17"/>
  <c r="AH84" i="17"/>
  <c r="AY261" i="17"/>
  <c r="Z73" i="17"/>
  <c r="P125" i="17"/>
  <c r="F125" i="17"/>
  <c r="G48" i="17"/>
  <c r="D183" i="17"/>
  <c r="G139" i="17"/>
  <c r="AP43" i="17"/>
  <c r="I7" i="17"/>
  <c r="AQ199" i="17"/>
  <c r="AR54" i="17"/>
  <c r="D2" i="17"/>
  <c r="BA295" i="17"/>
  <c r="AT5" i="17"/>
  <c r="G88" i="17"/>
  <c r="AC39" i="17"/>
  <c r="BA146" i="17"/>
  <c r="L31" i="17"/>
  <c r="AN98" i="17"/>
  <c r="AG120" i="17"/>
  <c r="AE84" i="17"/>
  <c r="F124" i="17"/>
  <c r="S41" i="17"/>
  <c r="P142" i="17"/>
  <c r="BA129" i="17"/>
  <c r="AT115" i="17"/>
  <c r="AE226" i="17"/>
  <c r="AG115" i="17"/>
  <c r="AG99" i="17"/>
  <c r="D247" i="17"/>
  <c r="Q231" i="17"/>
  <c r="AI139" i="17"/>
  <c r="AY57" i="17"/>
  <c r="T97" i="17"/>
  <c r="AR24" i="17"/>
  <c r="AI29" i="17"/>
  <c r="AO98" i="17"/>
  <c r="AB204" i="17"/>
  <c r="G161" i="17"/>
  <c r="F37" i="17"/>
  <c r="AG266" i="17"/>
  <c r="AX199" i="17"/>
  <c r="E122" i="17"/>
  <c r="AZ123" i="17"/>
  <c r="AR103" i="17"/>
  <c r="AU284" i="17"/>
  <c r="R131" i="17"/>
  <c r="K37" i="17"/>
  <c r="P49" i="17"/>
  <c r="Z26" i="17"/>
  <c r="X120" i="17"/>
  <c r="R249" i="17"/>
  <c r="W27" i="17"/>
  <c r="T94" i="17"/>
  <c r="AP103" i="17"/>
  <c r="V232" i="17"/>
  <c r="I87" i="17"/>
  <c r="J157" i="17"/>
  <c r="AB230" i="17"/>
  <c r="AL216" i="17"/>
  <c r="AO142" i="17"/>
  <c r="Y14" i="17"/>
  <c r="AF24" i="17"/>
  <c r="AT6" i="17"/>
  <c r="AH18" i="17"/>
  <c r="S79" i="17"/>
  <c r="AJ254" i="17"/>
  <c r="AD137" i="17"/>
  <c r="U179" i="17"/>
  <c r="Y174" i="17"/>
  <c r="X108" i="17"/>
  <c r="Q132" i="17"/>
  <c r="AP138" i="17"/>
  <c r="Y51" i="17"/>
  <c r="G121" i="17"/>
  <c r="K195" i="17"/>
  <c r="AD195" i="17"/>
  <c r="AN76" i="17"/>
  <c r="D7" i="17"/>
  <c r="M89" i="17"/>
  <c r="J67" i="17"/>
  <c r="M110" i="17"/>
  <c r="O114" i="17"/>
  <c r="S242" i="17"/>
  <c r="N145" i="17"/>
  <c r="J288" i="17"/>
  <c r="AA110" i="17"/>
  <c r="S91" i="17"/>
  <c r="L97" i="17"/>
  <c r="AE134" i="17"/>
  <c r="Z105" i="17"/>
  <c r="M171" i="17"/>
  <c r="AJ51" i="17"/>
  <c r="I68" i="17"/>
  <c r="X208" i="17"/>
  <c r="Q53" i="17"/>
  <c r="I98" i="17"/>
  <c r="M195" i="17"/>
  <c r="AJ18" i="17"/>
  <c r="G132" i="17"/>
  <c r="M15" i="17"/>
  <c r="AQ30" i="17"/>
  <c r="AV61" i="17"/>
  <c r="AE166" i="17"/>
  <c r="AV133" i="17"/>
  <c r="G126" i="17"/>
  <c r="AE176" i="17"/>
  <c r="V218" i="17"/>
  <c r="P180" i="17"/>
  <c r="AY102" i="17"/>
  <c r="AM260" i="17"/>
  <c r="J160" i="17"/>
  <c r="AY128" i="17"/>
  <c r="Z170" i="17"/>
  <c r="AQ34" i="17"/>
  <c r="AE155" i="17"/>
  <c r="AY127" i="17"/>
  <c r="AD138" i="17"/>
  <c r="AH63" i="17"/>
  <c r="J128" i="17"/>
  <c r="U51" i="17"/>
  <c r="Q33" i="17"/>
  <c r="AG45" i="17"/>
  <c r="O44" i="17"/>
  <c r="M135" i="17"/>
  <c r="AM59" i="17"/>
  <c r="AP18" i="17"/>
  <c r="AM77" i="17"/>
  <c r="T154" i="17"/>
  <c r="Y90" i="17"/>
  <c r="BA264" i="17"/>
  <c r="AE81" i="17"/>
  <c r="AG9" i="17"/>
  <c r="AX207" i="17"/>
  <c r="BA262" i="17"/>
  <c r="AU25" i="17"/>
  <c r="AO200" i="17"/>
  <c r="AA259" i="17"/>
  <c r="Q147" i="17"/>
  <c r="X62" i="17"/>
  <c r="O221" i="17"/>
  <c r="H179" i="17"/>
  <c r="N81" i="17"/>
  <c r="F157" i="17"/>
  <c r="X179" i="17"/>
  <c r="AG237" i="17"/>
  <c r="AE270" i="17"/>
  <c r="W214" i="17"/>
  <c r="J214" i="17"/>
  <c r="AO258" i="17"/>
  <c r="U155" i="17"/>
  <c r="AM110" i="17"/>
  <c r="AB103" i="17"/>
  <c r="H139" i="17"/>
  <c r="I79" i="17"/>
  <c r="E97" i="17"/>
  <c r="AU234" i="17"/>
  <c r="L10" i="17"/>
  <c r="S241" i="17"/>
  <c r="AJ211" i="17"/>
  <c r="AZ67" i="17"/>
  <c r="V69" i="17"/>
  <c r="AT25" i="17"/>
  <c r="L134" i="17"/>
  <c r="AA90" i="17"/>
  <c r="G85" i="17"/>
  <c r="AK160" i="17"/>
  <c r="U97" i="17"/>
  <c r="O155" i="17"/>
  <c r="AC138" i="17"/>
  <c r="AD44" i="17"/>
  <c r="AT182" i="17"/>
  <c r="W24" i="17"/>
  <c r="H132" i="17"/>
  <c r="L263" i="17"/>
  <c r="AI85" i="17"/>
  <c r="AE146" i="17"/>
  <c r="AM103" i="17"/>
  <c r="AV52" i="17"/>
  <c r="J210" i="17"/>
  <c r="Y248" i="17"/>
  <c r="D201" i="17"/>
  <c r="AO22" i="17"/>
  <c r="AJ235" i="17"/>
  <c r="AZ290" i="17"/>
  <c r="AD16" i="17"/>
  <c r="T133" i="17"/>
  <c r="AH171" i="17"/>
  <c r="AM175" i="17"/>
  <c r="T39" i="17"/>
  <c r="S29" i="17"/>
  <c r="T22" i="17"/>
  <c r="F279" i="17"/>
  <c r="AP72" i="17"/>
  <c r="AX167" i="17"/>
  <c r="Y102" i="17"/>
  <c r="T238" i="17"/>
  <c r="I63" i="17"/>
  <c r="N205" i="17"/>
  <c r="BA232" i="17"/>
  <c r="W195" i="17"/>
  <c r="T55" i="17"/>
  <c r="AE2" i="17"/>
  <c r="H156" i="17"/>
  <c r="N88" i="17"/>
  <c r="AY200" i="17"/>
  <c r="J97" i="17"/>
  <c r="AC139" i="17"/>
  <c r="J115" i="17"/>
  <c r="Q46" i="17"/>
  <c r="Q237" i="17"/>
  <c r="AV64" i="17"/>
  <c r="AV106" i="17"/>
  <c r="P8" i="17"/>
  <c r="W69" i="17"/>
  <c r="X129" i="17"/>
  <c r="G63" i="17"/>
  <c r="AV73" i="17"/>
  <c r="H89" i="17"/>
  <c r="L188" i="17"/>
  <c r="AU55" i="17"/>
  <c r="O106" i="17"/>
  <c r="O41" i="17"/>
  <c r="AW210" i="17"/>
  <c r="E111" i="17"/>
  <c r="AV7" i="17"/>
  <c r="D182" i="17"/>
  <c r="AY159" i="17"/>
  <c r="AK123" i="17"/>
  <c r="G33" i="17"/>
  <c r="T212" i="17"/>
  <c r="AW92" i="17"/>
  <c r="AG241" i="17"/>
  <c r="K118" i="17"/>
  <c r="AG146" i="17"/>
  <c r="AJ62" i="17"/>
  <c r="AI92" i="17"/>
  <c r="AL40" i="17"/>
  <c r="BA110" i="17"/>
  <c r="T93" i="17"/>
  <c r="AV268" i="17"/>
  <c r="M138" i="17"/>
  <c r="AX3" i="17"/>
  <c r="AN159" i="17"/>
  <c r="AV92" i="17"/>
  <c r="AV29" i="17"/>
  <c r="AX82" i="17"/>
  <c r="S136" i="17"/>
  <c r="BA106" i="17"/>
  <c r="AC224" i="17"/>
  <c r="AB97" i="17"/>
  <c r="Z68" i="17"/>
  <c r="I45" i="17"/>
  <c r="Y91" i="17"/>
  <c r="Z83" i="17"/>
  <c r="AZ129" i="17"/>
  <c r="Z135" i="17"/>
  <c r="AM133" i="17"/>
  <c r="AF212" i="17"/>
  <c r="Y300" i="17"/>
  <c r="O71" i="17"/>
  <c r="AC247" i="17"/>
  <c r="AD154" i="17"/>
  <c r="AP84" i="17"/>
  <c r="AZ41" i="17"/>
  <c r="AK174" i="17"/>
  <c r="Q95" i="17"/>
  <c r="BA209" i="17"/>
  <c r="AW2" i="17"/>
  <c r="AX265" i="17"/>
  <c r="N74" i="17"/>
  <c r="S33" i="17"/>
  <c r="AH214" i="17"/>
  <c r="P102" i="17"/>
  <c r="AM159" i="17"/>
  <c r="H44" i="17"/>
  <c r="R123" i="17"/>
  <c r="M14" i="17"/>
  <c r="BA160" i="17"/>
  <c r="AW83" i="17"/>
  <c r="AP131" i="17"/>
  <c r="AA263" i="17"/>
  <c r="AE71" i="17"/>
  <c r="X187" i="17"/>
  <c r="AC65" i="17"/>
  <c r="AH37" i="17"/>
  <c r="S201" i="17"/>
  <c r="AP248" i="17"/>
  <c r="AH206" i="17"/>
  <c r="N276" i="17"/>
  <c r="AI63" i="17"/>
  <c r="T225" i="17"/>
  <c r="J152" i="17"/>
  <c r="AA202" i="17"/>
  <c r="AW23" i="17"/>
  <c r="BA90" i="17"/>
  <c r="X157" i="17"/>
  <c r="D222" i="17"/>
  <c r="P199" i="17"/>
  <c r="S214" i="17"/>
  <c r="AA23" i="17"/>
  <c r="E49" i="17"/>
  <c r="V165" i="17"/>
  <c r="F225" i="17"/>
  <c r="E75" i="17"/>
  <c r="AT171" i="17"/>
  <c r="W171" i="17"/>
  <c r="AF35" i="17"/>
  <c r="AE172" i="17"/>
  <c r="AR23" i="17"/>
  <c r="AX138" i="17"/>
  <c r="AO217" i="17"/>
  <c r="Y152" i="17"/>
  <c r="AL246" i="17"/>
  <c r="AU148" i="17"/>
  <c r="AC33" i="17"/>
  <c r="AU79" i="17"/>
  <c r="AY114" i="17"/>
  <c r="V56" i="17"/>
  <c r="AJ244" i="17"/>
  <c r="X63" i="17"/>
  <c r="AW170" i="17"/>
  <c r="AZ121" i="17"/>
  <c r="BA156" i="17"/>
  <c r="Z178" i="17"/>
  <c r="J154" i="17"/>
  <c r="Y29" i="17"/>
  <c r="BA22" i="17"/>
  <c r="X207" i="17"/>
  <c r="D11" i="17"/>
  <c r="AA244" i="17"/>
  <c r="E105" i="17"/>
  <c r="AI32" i="17"/>
  <c r="AC218" i="17"/>
  <c r="H81" i="17"/>
  <c r="AB218" i="17"/>
  <c r="G129" i="17"/>
  <c r="AN288" i="17"/>
  <c r="P196" i="17"/>
  <c r="AP153" i="17"/>
  <c r="F185" i="17"/>
  <c r="U90" i="17"/>
  <c r="I123" i="17"/>
  <c r="BA62" i="17"/>
  <c r="AF54" i="17"/>
  <c r="U31" i="17"/>
  <c r="L190" i="17"/>
  <c r="E103" i="17"/>
  <c r="U207" i="17"/>
  <c r="K96" i="17"/>
  <c r="J141" i="17"/>
  <c r="U42" i="17"/>
  <c r="Q104" i="17"/>
  <c r="AQ55" i="17"/>
  <c r="N47" i="17"/>
  <c r="AS149" i="17"/>
  <c r="AI104" i="17"/>
  <c r="O226" i="17"/>
  <c r="U125" i="17"/>
  <c r="E293" i="17"/>
  <c r="S52" i="17"/>
  <c r="O81" i="17"/>
  <c r="K194" i="17"/>
  <c r="AM60" i="17"/>
  <c r="J34" i="17"/>
  <c r="K228" i="17"/>
  <c r="H102" i="17"/>
  <c r="Y260" i="17"/>
  <c r="AP49" i="17"/>
  <c r="Q67" i="17"/>
  <c r="O109" i="17"/>
  <c r="AU16" i="17"/>
  <c r="AD149" i="17"/>
  <c r="AA107" i="17"/>
  <c r="AK246" i="17"/>
  <c r="AZ134" i="17"/>
  <c r="E189" i="17"/>
  <c r="W203" i="17"/>
  <c r="W95" i="17"/>
  <c r="M125" i="17"/>
  <c r="T120" i="17"/>
  <c r="AS168" i="17"/>
  <c r="W219" i="17"/>
  <c r="U133" i="17"/>
  <c r="H177" i="17"/>
  <c r="W54" i="17"/>
  <c r="AH122" i="17"/>
  <c r="T35" i="17"/>
  <c r="AD55" i="17"/>
  <c r="AS232" i="17"/>
  <c r="AW91" i="17"/>
  <c r="U85" i="17"/>
  <c r="AO184" i="17"/>
  <c r="AB82" i="17"/>
  <c r="M182" i="17"/>
  <c r="X127" i="17"/>
  <c r="AY122" i="17"/>
  <c r="AF69" i="17"/>
  <c r="K111" i="17"/>
  <c r="L94" i="17"/>
  <c r="AG131" i="17"/>
  <c r="AT121" i="17"/>
  <c r="J127" i="17"/>
  <c r="AJ126" i="17"/>
  <c r="AL237" i="17"/>
  <c r="AG60" i="17"/>
  <c r="L80" i="17"/>
  <c r="F83" i="17"/>
  <c r="AU302" i="17"/>
  <c r="D51" i="17"/>
  <c r="AP24" i="17"/>
  <c r="S15" i="17"/>
  <c r="I138" i="17"/>
  <c r="AK135" i="17"/>
  <c r="Z71" i="17"/>
  <c r="AQ288" i="17"/>
  <c r="AP76" i="17"/>
  <c r="AL220" i="17"/>
  <c r="AP193" i="17"/>
  <c r="AU4" i="17"/>
  <c r="AP182" i="17"/>
  <c r="AD140" i="17"/>
  <c r="H115" i="17"/>
  <c r="AE174" i="17"/>
  <c r="J90" i="17"/>
  <c r="AF21" i="17"/>
  <c r="AE151" i="17"/>
  <c r="AQ233" i="17"/>
  <c r="AH102" i="17"/>
  <c r="Y105" i="17"/>
  <c r="AY158" i="17"/>
  <c r="R52" i="17"/>
  <c r="AT54" i="17"/>
  <c r="T109" i="17"/>
  <c r="M265" i="17"/>
  <c r="AI56" i="17"/>
  <c r="E198" i="17"/>
  <c r="AU167" i="17"/>
  <c r="X182" i="17"/>
  <c r="D134" i="17"/>
  <c r="F10" i="17"/>
  <c r="L144" i="17"/>
  <c r="I125" i="17"/>
  <c r="AR28" i="17"/>
  <c r="AB145" i="17"/>
  <c r="AK133" i="17"/>
  <c r="H88" i="17"/>
  <c r="AY168" i="17"/>
  <c r="AO155" i="17"/>
  <c r="AO32" i="17"/>
  <c r="AG48" i="17"/>
  <c r="AB245" i="17"/>
  <c r="AA3" i="17"/>
  <c r="AF10" i="17"/>
  <c r="AJ19" i="17"/>
  <c r="I134" i="17"/>
  <c r="AV120" i="17"/>
  <c r="AY281" i="17"/>
  <c r="J178" i="17"/>
  <c r="I142" i="17"/>
  <c r="I236" i="17"/>
  <c r="R139" i="17"/>
  <c r="AI143" i="17"/>
  <c r="AN137" i="17"/>
  <c r="AY87" i="17"/>
  <c r="N198" i="17"/>
  <c r="N71" i="17"/>
  <c r="AH99" i="17"/>
  <c r="W66" i="17"/>
  <c r="I80" i="17"/>
  <c r="E217" i="17"/>
  <c r="AR177" i="17"/>
  <c r="T28" i="17"/>
  <c r="AS227" i="17"/>
  <c r="T220" i="17"/>
  <c r="D147" i="17"/>
  <c r="AV14" i="17"/>
  <c r="AE112" i="17"/>
  <c r="AK108" i="17"/>
  <c r="M146" i="17"/>
  <c r="AZ168" i="17"/>
  <c r="AJ69" i="17"/>
  <c r="AF97" i="17"/>
  <c r="G169" i="17"/>
  <c r="J205" i="17"/>
  <c r="AS253" i="17"/>
  <c r="N103" i="17"/>
  <c r="BA157" i="17"/>
  <c r="BA99" i="17"/>
  <c r="AC97" i="17"/>
  <c r="AB224" i="17"/>
  <c r="AM206" i="17"/>
  <c r="I50" i="17"/>
  <c r="AM134" i="17"/>
  <c r="BA81" i="17"/>
  <c r="AI218" i="17"/>
  <c r="AJ243" i="17"/>
  <c r="AO61" i="17"/>
  <c r="U206" i="17"/>
  <c r="F193" i="17"/>
  <c r="AW171" i="17"/>
  <c r="AZ95" i="17"/>
  <c r="X31" i="17"/>
  <c r="P16" i="17"/>
  <c r="R119" i="17"/>
  <c r="I248" i="17"/>
  <c r="Z24" i="17"/>
  <c r="AE125" i="17"/>
  <c r="AH172" i="17"/>
  <c r="AD179" i="17"/>
  <c r="D231" i="17"/>
  <c r="AC131" i="17"/>
  <c r="AA140" i="17"/>
  <c r="X275" i="17"/>
  <c r="AJ251" i="17"/>
  <c r="X143" i="17"/>
  <c r="R241" i="17"/>
  <c r="AG207" i="17"/>
  <c r="AG206" i="17"/>
  <c r="AF29" i="17"/>
  <c r="F80" i="17"/>
  <c r="P170" i="17"/>
  <c r="H13" i="17"/>
  <c r="BA184" i="17"/>
  <c r="AU176" i="17"/>
  <c r="AE272" i="17"/>
  <c r="AH70" i="17"/>
  <c r="AU83" i="17"/>
  <c r="AF170" i="17"/>
  <c r="S146" i="17"/>
  <c r="Y209" i="17"/>
  <c r="AV86" i="17"/>
  <c r="AM218" i="17"/>
  <c r="T176" i="17"/>
  <c r="AL85" i="17"/>
  <c r="X133" i="17"/>
  <c r="N241" i="17"/>
  <c r="U227" i="17"/>
  <c r="AQ158" i="17"/>
  <c r="P108" i="17"/>
  <c r="AB252" i="17"/>
  <c r="AA16" i="17"/>
  <c r="AL148" i="17"/>
  <c r="H148" i="17"/>
  <c r="R194" i="17"/>
  <c r="AG119" i="17"/>
  <c r="S174" i="17"/>
  <c r="E203" i="17"/>
  <c r="AE135" i="17"/>
  <c r="AA226" i="17"/>
  <c r="AT117" i="17"/>
  <c r="AC78" i="17"/>
  <c r="D198" i="17"/>
  <c r="W55" i="17"/>
  <c r="AC17" i="17"/>
  <c r="AE290" i="17"/>
  <c r="M151" i="17"/>
  <c r="AW42" i="17"/>
  <c r="AB53" i="17"/>
  <c r="F32" i="17"/>
  <c r="Y193" i="17"/>
  <c r="AO246" i="17"/>
  <c r="AH123" i="17"/>
  <c r="AG70" i="17"/>
  <c r="O189" i="17"/>
  <c r="Y81" i="17"/>
  <c r="O122" i="17"/>
  <c r="J153" i="17"/>
  <c r="AI64" i="17"/>
  <c r="AX60" i="17"/>
  <c r="H221" i="17"/>
  <c r="X81" i="17"/>
  <c r="AZ76" i="17"/>
  <c r="BA251" i="17"/>
  <c r="AK257" i="17"/>
  <c r="AJ49" i="17"/>
  <c r="AC179" i="17"/>
  <c r="S154" i="17"/>
  <c r="AD90" i="17"/>
  <c r="AQ273" i="17"/>
  <c r="AV159" i="17"/>
  <c r="AB9" i="17"/>
  <c r="R21" i="17"/>
  <c r="AK162" i="17"/>
  <c r="S19" i="17"/>
  <c r="AS103" i="17"/>
  <c r="L127" i="17"/>
  <c r="L186" i="17"/>
  <c r="AD173" i="17"/>
  <c r="I89" i="17"/>
  <c r="AC184" i="17"/>
  <c r="AI194" i="17"/>
  <c r="D258" i="17"/>
  <c r="L287" i="17"/>
  <c r="E239" i="17"/>
  <c r="E44" i="17"/>
  <c r="Y92" i="17"/>
  <c r="AB17" i="17"/>
  <c r="E207" i="17"/>
  <c r="U104" i="17"/>
  <c r="J16" i="17"/>
  <c r="AI228" i="17"/>
  <c r="T29" i="17"/>
  <c r="H218" i="17"/>
  <c r="AA74" i="17"/>
  <c r="AO229" i="17"/>
  <c r="AE163" i="17"/>
  <c r="AV180" i="17"/>
  <c r="AD225" i="17"/>
  <c r="L138" i="17"/>
  <c r="AW130" i="17"/>
  <c r="AS31" i="17"/>
  <c r="Y123" i="17"/>
  <c r="AR250" i="17"/>
  <c r="AF148" i="17"/>
  <c r="O10" i="17"/>
  <c r="AL232" i="17"/>
  <c r="V194" i="17"/>
  <c r="O293" i="17"/>
  <c r="Z6" i="17"/>
  <c r="W126" i="17"/>
  <c r="AT70" i="17"/>
  <c r="AS235" i="17"/>
  <c r="AK209" i="17"/>
  <c r="AE64" i="17"/>
  <c r="K119" i="17"/>
  <c r="E123" i="17"/>
  <c r="W267" i="17"/>
  <c r="E41" i="17"/>
  <c r="AZ210" i="17"/>
  <c r="AU106" i="17"/>
  <c r="AF70" i="17"/>
  <c r="AK53" i="17"/>
  <c r="J93" i="17"/>
  <c r="AM167" i="17"/>
  <c r="AZ103" i="17"/>
  <c r="AV68" i="17"/>
  <c r="T254" i="17"/>
  <c r="AN74" i="17"/>
  <c r="BA192" i="17"/>
  <c r="R172" i="17"/>
  <c r="AL44" i="17"/>
  <c r="F205" i="17"/>
  <c r="AH118" i="17"/>
  <c r="W249" i="17"/>
  <c r="Q61" i="17"/>
  <c r="E185" i="17"/>
  <c r="AR205" i="17"/>
  <c r="J32" i="17"/>
  <c r="R94" i="17"/>
  <c r="P32" i="17"/>
  <c r="I147" i="17"/>
  <c r="L55" i="17"/>
  <c r="O50" i="17"/>
  <c r="O278" i="17"/>
  <c r="AI156" i="17"/>
  <c r="AH94" i="17"/>
  <c r="F59" i="17"/>
  <c r="J283" i="17"/>
  <c r="U171" i="17"/>
  <c r="AV27" i="17"/>
  <c r="W215" i="17"/>
  <c r="AP167" i="17"/>
  <c r="AV173" i="17"/>
  <c r="U21" i="17"/>
  <c r="AP25" i="17"/>
  <c r="AK215" i="17"/>
  <c r="AH139" i="17"/>
  <c r="AT75" i="17"/>
  <c r="AQ24" i="17"/>
  <c r="E71" i="17"/>
  <c r="AL205" i="17"/>
  <c r="AK244" i="17"/>
  <c r="O35" i="17"/>
  <c r="AB138" i="17"/>
  <c r="AA275" i="17"/>
  <c r="G237" i="17"/>
  <c r="O244" i="17"/>
  <c r="T157" i="17"/>
  <c r="M155" i="17"/>
  <c r="O23" i="17"/>
  <c r="AT223" i="17"/>
  <c r="Z206" i="17"/>
  <c r="AC160" i="17"/>
  <c r="AJ234" i="17"/>
  <c r="U79" i="17"/>
  <c r="G177" i="17"/>
  <c r="S118" i="17"/>
  <c r="E224" i="17"/>
  <c r="AU177" i="17"/>
  <c r="S186" i="17"/>
  <c r="AE29" i="17"/>
  <c r="AL212" i="17"/>
  <c r="P159" i="17"/>
  <c r="T113" i="17"/>
  <c r="E39" i="17"/>
  <c r="AL149" i="17"/>
  <c r="F189" i="17"/>
  <c r="AC163" i="17"/>
  <c r="AV13" i="17"/>
  <c r="AU66" i="17"/>
  <c r="S67" i="17"/>
  <c r="I132" i="17"/>
  <c r="AC49" i="17"/>
  <c r="AR225" i="17"/>
  <c r="N229" i="17"/>
  <c r="AR110" i="17"/>
  <c r="AC123" i="17"/>
  <c r="AR11" i="17"/>
  <c r="AI159" i="17"/>
  <c r="AX213" i="17"/>
  <c r="AX175" i="17"/>
  <c r="O17" i="17"/>
  <c r="U62" i="17"/>
  <c r="Q69" i="17"/>
  <c r="L159" i="17"/>
  <c r="F36" i="17"/>
  <c r="AM186" i="17"/>
  <c r="AX153" i="17"/>
  <c r="L86" i="17"/>
  <c r="AD125" i="17"/>
  <c r="O123" i="17"/>
  <c r="L21" i="17"/>
  <c r="W100" i="17"/>
  <c r="P212" i="17"/>
  <c r="F24" i="17"/>
  <c r="AH187" i="17"/>
  <c r="AI4" i="17"/>
  <c r="AQ139" i="17"/>
  <c r="X30" i="17"/>
  <c r="E168" i="17"/>
  <c r="Z176" i="17"/>
  <c r="BA14" i="17"/>
  <c r="AA194" i="17"/>
  <c r="R73" i="17"/>
  <c r="AN155" i="17"/>
  <c r="E129" i="17"/>
  <c r="O217" i="17"/>
  <c r="AC232" i="17"/>
  <c r="H207" i="17"/>
  <c r="AE8" i="17"/>
  <c r="L23" i="17"/>
  <c r="N125" i="17"/>
  <c r="AU85" i="17"/>
  <c r="S153" i="17"/>
  <c r="H32" i="17"/>
  <c r="I107" i="17"/>
  <c r="I155" i="17"/>
  <c r="AW98" i="17"/>
  <c r="G195" i="17"/>
  <c r="AE178" i="17"/>
  <c r="R244" i="17"/>
  <c r="N148" i="17"/>
  <c r="AC241" i="17"/>
  <c r="AC147" i="17"/>
  <c r="AD171" i="17"/>
  <c r="AF68" i="17"/>
  <c r="L118" i="17"/>
  <c r="AL252" i="17"/>
  <c r="AC151" i="17"/>
  <c r="AO198" i="17"/>
  <c r="J48" i="17"/>
  <c r="W7" i="17"/>
  <c r="X291" i="17"/>
  <c r="J188" i="17"/>
  <c r="AQ85" i="17"/>
  <c r="T11" i="17"/>
  <c r="AS141" i="17"/>
  <c r="V153" i="17"/>
  <c r="AR27" i="17"/>
  <c r="J259" i="17"/>
  <c r="V172" i="17"/>
  <c r="E13" i="17"/>
  <c r="AQ84" i="17"/>
  <c r="AX270" i="17"/>
  <c r="S53" i="17"/>
  <c r="AO95" i="17"/>
  <c r="D155" i="17"/>
  <c r="V136" i="17"/>
  <c r="AJ151" i="17"/>
  <c r="AJ290" i="17"/>
  <c r="M112" i="17"/>
  <c r="AV176" i="17"/>
  <c r="Y78" i="17"/>
  <c r="AK29" i="17"/>
  <c r="AR76" i="17"/>
  <c r="AV233" i="17"/>
  <c r="AD193" i="17"/>
  <c r="AK161" i="17"/>
  <c r="AG42" i="17"/>
  <c r="E18" i="17"/>
  <c r="AS193" i="17"/>
  <c r="N199" i="17"/>
  <c r="Z62" i="17"/>
  <c r="AX78" i="17"/>
  <c r="J242" i="17"/>
  <c r="V160" i="17"/>
  <c r="Z207" i="17"/>
  <c r="X232" i="17"/>
  <c r="R163" i="17"/>
  <c r="J62" i="17"/>
  <c r="G87" i="17"/>
  <c r="K224" i="17"/>
  <c r="AP242" i="17"/>
  <c r="U204" i="17"/>
  <c r="G45" i="17"/>
  <c r="AE138" i="17"/>
  <c r="P113" i="17"/>
  <c r="G252" i="17"/>
  <c r="AI22" i="17"/>
  <c r="AV63" i="17"/>
  <c r="S111" i="17"/>
  <c r="L130" i="17"/>
  <c r="S121" i="17"/>
  <c r="AO6" i="17"/>
  <c r="AF25" i="17"/>
  <c r="AO143" i="17"/>
  <c r="AG22" i="17"/>
  <c r="AM117" i="17"/>
  <c r="V173" i="17"/>
  <c r="U122" i="17"/>
  <c r="AP38" i="17"/>
  <c r="K69" i="17"/>
  <c r="J44" i="17"/>
  <c r="G22" i="17"/>
  <c r="W189" i="17"/>
  <c r="S124" i="17"/>
  <c r="L161" i="17"/>
  <c r="AY293" i="17"/>
  <c r="AE207" i="17"/>
  <c r="H210" i="17"/>
  <c r="I164" i="17"/>
  <c r="AG107" i="17"/>
  <c r="AI211" i="17"/>
  <c r="AY96" i="17"/>
  <c r="AL98" i="17"/>
  <c r="AA132" i="17"/>
  <c r="AZ33" i="17"/>
  <c r="AE124" i="17"/>
  <c r="AY133" i="17"/>
  <c r="R62" i="17"/>
  <c r="J18" i="17"/>
  <c r="Y52" i="17"/>
  <c r="K125" i="17"/>
  <c r="AJ166" i="17"/>
  <c r="AD187" i="17"/>
  <c r="AK130" i="17"/>
  <c r="Q137" i="17"/>
  <c r="AC51" i="17"/>
  <c r="AZ10" i="17"/>
  <c r="L7" i="17"/>
  <c r="U143" i="17"/>
  <c r="J104" i="17"/>
  <c r="AC203" i="17"/>
  <c r="AF165" i="17"/>
  <c r="AD253" i="17"/>
  <c r="AI44" i="17"/>
  <c r="M277" i="17"/>
  <c r="AR208" i="17"/>
  <c r="H220" i="17"/>
  <c r="AJ97" i="17"/>
  <c r="AQ95" i="17"/>
  <c r="J201" i="17"/>
  <c r="AT292" i="17"/>
  <c r="U58" i="17"/>
  <c r="V216" i="17"/>
  <c r="AF2" i="17"/>
  <c r="AI112" i="17"/>
  <c r="AP190" i="17"/>
  <c r="AY36" i="17"/>
  <c r="AR175" i="17"/>
  <c r="AJ164" i="17"/>
  <c r="AQ291" i="17"/>
  <c r="AM257" i="17"/>
  <c r="AL160" i="17"/>
  <c r="AK234" i="17"/>
  <c r="AD135" i="17"/>
  <c r="N200" i="17"/>
  <c r="W18" i="17"/>
  <c r="AB62" i="17"/>
  <c r="J38" i="17"/>
  <c r="I179" i="17"/>
  <c r="J147" i="17"/>
  <c r="AL187" i="17"/>
  <c r="AO18" i="17"/>
  <c r="Q100" i="17"/>
  <c r="AU32" i="17"/>
  <c r="AJ155" i="17"/>
  <c r="N138" i="17"/>
  <c r="D29" i="17"/>
  <c r="S63" i="17"/>
  <c r="AL9" i="17"/>
  <c r="AY163" i="17"/>
  <c r="G138" i="17"/>
  <c r="AA154" i="17"/>
  <c r="M302" i="17"/>
  <c r="AK125" i="17"/>
  <c r="BA69" i="17"/>
  <c r="AV93" i="17"/>
  <c r="Z98" i="17"/>
  <c r="AI273" i="17"/>
  <c r="H126" i="17"/>
  <c r="X206" i="17"/>
  <c r="AC122" i="17"/>
  <c r="H99" i="17"/>
  <c r="AF260" i="17"/>
  <c r="U72" i="17"/>
  <c r="AM204" i="17"/>
  <c r="AT110" i="17"/>
  <c r="J13" i="17"/>
  <c r="O224" i="17"/>
  <c r="AB140" i="17"/>
  <c r="BA25" i="17"/>
  <c r="R273" i="17"/>
  <c r="AJ265" i="17"/>
  <c r="O288" i="17"/>
  <c r="L173" i="17"/>
  <c r="O47" i="17"/>
  <c r="H240" i="17"/>
  <c r="AD9" i="17"/>
  <c r="AM44" i="17"/>
  <c r="AW157" i="17"/>
  <c r="AN118" i="17"/>
  <c r="D287" i="17"/>
  <c r="AF78" i="17"/>
  <c r="Q170" i="17"/>
  <c r="N189" i="17"/>
  <c r="AK208" i="17"/>
  <c r="H192" i="17"/>
  <c r="BA306" i="17"/>
  <c r="AU30" i="17"/>
  <c r="AL88" i="17"/>
  <c r="G92" i="17"/>
  <c r="AX296" i="17"/>
  <c r="U24" i="17"/>
  <c r="AD14" i="17"/>
  <c r="AV263" i="17"/>
  <c r="L185" i="17"/>
  <c r="AR143" i="17"/>
  <c r="AX303" i="17"/>
  <c r="AS88" i="17"/>
  <c r="P126" i="17"/>
  <c r="O266" i="17"/>
  <c r="AK217" i="17"/>
  <c r="AV122" i="17"/>
  <c r="AY37" i="17"/>
  <c r="AC64" i="17"/>
  <c r="U221" i="17"/>
  <c r="Z214" i="17"/>
  <c r="AR115" i="17"/>
  <c r="K188" i="17"/>
  <c r="AP157" i="17"/>
  <c r="I86" i="17"/>
  <c r="S216" i="17"/>
  <c r="AJ283" i="17"/>
  <c r="G69" i="17"/>
  <c r="O115" i="17"/>
  <c r="P189" i="17"/>
  <c r="AW82" i="17"/>
  <c r="AN225" i="17"/>
  <c r="AC183" i="17"/>
  <c r="AY161" i="17"/>
  <c r="L124" i="17"/>
  <c r="AE46" i="17"/>
  <c r="X213" i="17"/>
  <c r="L22" i="17"/>
  <c r="O169" i="17"/>
  <c r="AM277" i="17"/>
  <c r="K213" i="17"/>
  <c r="D37" i="17"/>
  <c r="E20" i="17"/>
  <c r="AJ239" i="17"/>
  <c r="I232" i="17"/>
  <c r="E139" i="17"/>
  <c r="O25" i="17"/>
  <c r="AA106" i="17"/>
  <c r="N60" i="17"/>
  <c r="AJ142" i="17"/>
  <c r="AN265" i="17"/>
  <c r="G201" i="17"/>
  <c r="T124" i="17"/>
  <c r="AI14" i="17"/>
  <c r="T9" i="17"/>
  <c r="AZ151" i="17"/>
  <c r="AH86" i="17"/>
  <c r="U89" i="17"/>
  <c r="J168" i="17"/>
  <c r="AD174" i="17"/>
  <c r="AJ262" i="17"/>
  <c r="W82" i="17"/>
  <c r="AS9" i="17"/>
  <c r="AX33" i="17"/>
  <c r="AG202" i="17"/>
  <c r="AX20" i="17"/>
  <c r="E144" i="17"/>
  <c r="AK124" i="17"/>
  <c r="AW292" i="17"/>
  <c r="K91" i="17"/>
  <c r="AE33" i="17"/>
  <c r="G182" i="17"/>
  <c r="AS111" i="17"/>
  <c r="AQ127" i="17"/>
  <c r="AR51" i="17"/>
  <c r="AW152" i="17"/>
  <c r="J117" i="17"/>
  <c r="AQ43" i="17"/>
  <c r="X84" i="17"/>
  <c r="W228" i="17"/>
  <c r="AC85" i="17"/>
  <c r="U212" i="17"/>
  <c r="AA190" i="17"/>
  <c r="AL228" i="17"/>
  <c r="AB211" i="17"/>
  <c r="AF290" i="17"/>
  <c r="AP254" i="17"/>
  <c r="N132" i="17"/>
  <c r="AA26" i="17"/>
  <c r="BA7" i="17"/>
  <c r="E165" i="17"/>
  <c r="V174" i="17"/>
  <c r="K254" i="17"/>
  <c r="AI242" i="17"/>
  <c r="O166" i="17"/>
  <c r="Z197" i="17"/>
  <c r="T185" i="17"/>
  <c r="AZ59" i="17"/>
  <c r="AE47" i="17"/>
  <c r="AJ256" i="17"/>
  <c r="AR145" i="17"/>
  <c r="V201" i="17"/>
  <c r="AO160" i="17"/>
  <c r="AO78" i="17"/>
  <c r="Z205" i="17"/>
  <c r="N40" i="17"/>
  <c r="X102" i="17"/>
  <c r="AM174" i="17"/>
  <c r="I229" i="17"/>
  <c r="AC188" i="17"/>
  <c r="AZ185" i="17"/>
  <c r="AH74" i="17"/>
  <c r="AG40" i="17"/>
  <c r="Q271" i="17"/>
  <c r="AW211" i="17"/>
  <c r="W85" i="17"/>
  <c r="AT230" i="17"/>
  <c r="AR99" i="17"/>
  <c r="AZ186" i="17"/>
  <c r="AS194" i="17"/>
  <c r="F126" i="17"/>
  <c r="AV70" i="17"/>
  <c r="BA45" i="17"/>
  <c r="AD259" i="17"/>
  <c r="U144" i="17"/>
  <c r="E33" i="17"/>
  <c r="T265" i="17"/>
  <c r="AW28" i="17"/>
  <c r="W261" i="17"/>
  <c r="AI52" i="17"/>
  <c r="N134" i="17"/>
  <c r="AK175" i="17"/>
  <c r="P140" i="17"/>
  <c r="K135" i="17"/>
  <c r="O88" i="17"/>
  <c r="AK269" i="17"/>
  <c r="AK153" i="17"/>
  <c r="AO197" i="17"/>
  <c r="S296" i="17"/>
  <c r="AM281" i="17"/>
  <c r="F66" i="17"/>
  <c r="G210" i="17"/>
  <c r="D48" i="17"/>
  <c r="W243" i="17"/>
  <c r="AA97" i="17"/>
  <c r="T136" i="17"/>
  <c r="AD56" i="17"/>
  <c r="AL11" i="17"/>
  <c r="AR216" i="17"/>
  <c r="AI13" i="17"/>
  <c r="AY208" i="17"/>
  <c r="AR93" i="17"/>
  <c r="R100" i="17"/>
  <c r="AC50" i="17"/>
  <c r="AJ14" i="17"/>
  <c r="J234" i="17"/>
  <c r="AI24" i="17"/>
  <c r="AF307" i="17"/>
  <c r="AB86" i="17"/>
  <c r="O152" i="17"/>
  <c r="AL219" i="17"/>
  <c r="S60" i="17"/>
  <c r="AE25" i="17"/>
  <c r="P201" i="17"/>
  <c r="AD89" i="17"/>
  <c r="AN277" i="17"/>
  <c r="P89" i="17"/>
  <c r="Q187" i="17"/>
  <c r="AM166" i="17"/>
  <c r="O124" i="17"/>
  <c r="AA262" i="17"/>
  <c r="E210" i="17"/>
  <c r="AB190" i="17"/>
  <c r="AX29" i="17"/>
  <c r="AO267" i="17"/>
  <c r="AX50" i="17"/>
  <c r="M209" i="17"/>
  <c r="AR43" i="17"/>
  <c r="AQ20" i="17"/>
  <c r="O144" i="17"/>
  <c r="AN68" i="17"/>
  <c r="AL58" i="17"/>
  <c r="M127" i="17"/>
  <c r="AO281" i="17"/>
  <c r="Z147" i="17"/>
  <c r="J284" i="17"/>
  <c r="K279" i="17"/>
  <c r="K306" i="17"/>
  <c r="F56" i="17"/>
  <c r="P249" i="17"/>
  <c r="G36" i="17"/>
  <c r="AG29" i="17"/>
  <c r="AV184" i="17"/>
  <c r="F208" i="17"/>
  <c r="AJ31" i="17"/>
  <c r="AN298" i="17"/>
  <c r="AV260" i="17"/>
  <c r="V45" i="17"/>
  <c r="AQ220" i="17"/>
  <c r="AR162" i="17"/>
  <c r="K78" i="17"/>
  <c r="D288" i="17"/>
  <c r="AM177" i="17"/>
  <c r="I104" i="17"/>
  <c r="D224" i="17"/>
  <c r="AX66" i="17"/>
  <c r="E197" i="17"/>
  <c r="AO250" i="17"/>
  <c r="N249" i="17"/>
  <c r="AC162" i="17"/>
  <c r="AT246" i="17"/>
  <c r="AP160" i="17"/>
  <c r="H28" i="17"/>
  <c r="AJ148" i="17"/>
  <c r="AS145" i="17"/>
  <c r="F181" i="17"/>
  <c r="N122" i="17"/>
  <c r="S25" i="17"/>
  <c r="AS154" i="17"/>
  <c r="AC124" i="17"/>
  <c r="AU115" i="17"/>
  <c r="O246" i="17"/>
  <c r="I26" i="17"/>
  <c r="AL136" i="17"/>
  <c r="T139" i="17"/>
  <c r="Z5" i="17"/>
  <c r="N86" i="17"/>
  <c r="AY189" i="17"/>
  <c r="P23" i="17"/>
  <c r="I23" i="17"/>
  <c r="AR88" i="17"/>
  <c r="U48" i="17"/>
  <c r="AD234" i="17"/>
  <c r="S110" i="17"/>
  <c r="Y178" i="17"/>
  <c r="AF102" i="17"/>
  <c r="AB126" i="17"/>
  <c r="P106" i="17"/>
  <c r="AZ261" i="17"/>
  <c r="AN109" i="17"/>
  <c r="H197" i="17"/>
  <c r="R212" i="17"/>
  <c r="AT21" i="17"/>
  <c r="N155" i="17"/>
  <c r="AS77" i="17"/>
  <c r="AU256" i="17"/>
  <c r="I225" i="17"/>
  <c r="L142" i="17"/>
  <c r="AZ57" i="17"/>
  <c r="AD101" i="17"/>
  <c r="AB158" i="17"/>
  <c r="X161" i="17"/>
  <c r="AP233" i="17"/>
  <c r="W141" i="17"/>
  <c r="AQ26" i="17"/>
  <c r="AN212" i="17"/>
  <c r="M27" i="17"/>
  <c r="AF166" i="17"/>
  <c r="AB88" i="17"/>
  <c r="AK66" i="17"/>
  <c r="S209" i="17"/>
  <c r="Q52" i="17"/>
  <c r="AV119" i="17"/>
  <c r="U196" i="17"/>
  <c r="AH294" i="17"/>
  <c r="S26" i="17"/>
  <c r="L126" i="17"/>
  <c r="E244" i="17"/>
  <c r="J215" i="17"/>
  <c r="K122" i="17"/>
  <c r="AM43" i="17"/>
  <c r="AK183" i="17"/>
  <c r="AD88" i="17"/>
  <c r="AF139" i="17"/>
  <c r="V91" i="17"/>
  <c r="Q70" i="17"/>
  <c r="P238" i="17"/>
  <c r="U211" i="17"/>
  <c r="R35" i="17"/>
  <c r="T23" i="17"/>
  <c r="AT199" i="17"/>
  <c r="AB44" i="17"/>
  <c r="AA256" i="17"/>
  <c r="AZ188" i="17"/>
  <c r="V223" i="17"/>
  <c r="D150" i="17"/>
  <c r="AB29" i="17"/>
  <c r="J15" i="17"/>
  <c r="AK7" i="17"/>
  <c r="R85" i="17"/>
  <c r="V149" i="17"/>
  <c r="AZ137" i="17"/>
  <c r="AS240" i="17"/>
  <c r="AF262" i="17"/>
  <c r="W134" i="17"/>
  <c r="I15" i="17"/>
  <c r="AB38" i="17"/>
  <c r="M159" i="17"/>
  <c r="K73" i="17"/>
  <c r="AQ171" i="17"/>
  <c r="AO248" i="17"/>
  <c r="AE180" i="17"/>
  <c r="K79" i="17"/>
  <c r="Q278" i="17"/>
  <c r="G20" i="17"/>
  <c r="L109" i="17"/>
  <c r="E102" i="17"/>
  <c r="V156" i="17"/>
  <c r="AN61" i="17"/>
  <c r="AE23" i="17"/>
  <c r="AX287" i="17"/>
  <c r="AJ32" i="17"/>
  <c r="F93" i="17"/>
  <c r="Z154" i="17"/>
  <c r="X186" i="17"/>
  <c r="G39" i="17"/>
  <c r="O260" i="17"/>
  <c r="AY210" i="17"/>
  <c r="L40" i="17"/>
  <c r="G103" i="17"/>
  <c r="AH158" i="17"/>
  <c r="Q124" i="17"/>
  <c r="AG154" i="17"/>
  <c r="Q96" i="17"/>
  <c r="Y240" i="17"/>
  <c r="Z133" i="17"/>
  <c r="AS284" i="17"/>
  <c r="AZ77" i="17"/>
  <c r="W127" i="17"/>
  <c r="AF75" i="17"/>
  <c r="Q177" i="17"/>
  <c r="AB117" i="17"/>
  <c r="AD20" i="17"/>
  <c r="AO39" i="17"/>
  <c r="P128" i="17"/>
  <c r="AX101" i="17"/>
  <c r="AS41" i="17"/>
  <c r="AU77" i="17"/>
  <c r="BA29" i="17"/>
  <c r="AB183" i="17"/>
  <c r="AY215" i="17"/>
  <c r="BA59" i="17"/>
  <c r="V185" i="17"/>
  <c r="AV164" i="17"/>
  <c r="F123" i="17"/>
  <c r="R243" i="17"/>
  <c r="AX32" i="17"/>
  <c r="Y155" i="17"/>
  <c r="AU100" i="17"/>
  <c r="H213" i="17"/>
  <c r="AU213" i="17"/>
  <c r="AE260" i="17"/>
  <c r="J273" i="17"/>
  <c r="AV72" i="17"/>
  <c r="W120" i="17"/>
  <c r="AJ25" i="17"/>
  <c r="AU140" i="17"/>
  <c r="T204" i="17"/>
  <c r="AT48" i="17"/>
  <c r="O38" i="17"/>
  <c r="N31" i="17"/>
  <c r="D255" i="17"/>
  <c r="G160" i="17"/>
  <c r="D114" i="17"/>
  <c r="AJ203" i="17"/>
  <c r="U147" i="17"/>
  <c r="AC121" i="17"/>
  <c r="AJ30" i="17"/>
  <c r="AE48" i="17"/>
  <c r="AU242" i="17"/>
  <c r="M101" i="17"/>
  <c r="H56" i="17"/>
  <c r="V72" i="17"/>
  <c r="AH254" i="17"/>
  <c r="AB168" i="17"/>
  <c r="D162" i="17"/>
  <c r="AJ263" i="17"/>
  <c r="Z198" i="17"/>
  <c r="AW196" i="17"/>
  <c r="I238" i="17"/>
  <c r="T189" i="17"/>
  <c r="O20" i="17"/>
  <c r="M69" i="17"/>
  <c r="AP144" i="17"/>
  <c r="V198" i="17"/>
  <c r="AW285" i="17"/>
  <c r="Z218" i="17"/>
  <c r="AN131" i="17"/>
  <c r="AJ168" i="17"/>
  <c r="AW36" i="17"/>
  <c r="X89" i="17"/>
  <c r="AG105" i="17"/>
  <c r="AG83" i="17"/>
  <c r="AZ94" i="17"/>
  <c r="U59" i="17"/>
  <c r="Q123" i="17"/>
  <c r="K85" i="17"/>
  <c r="AW144" i="17"/>
  <c r="K216" i="17"/>
  <c r="BA5" i="17"/>
  <c r="H185" i="17"/>
  <c r="Z99" i="17"/>
  <c r="AW74" i="17"/>
  <c r="L123" i="17"/>
  <c r="Y21" i="17"/>
  <c r="O69" i="17"/>
  <c r="AP285" i="17"/>
  <c r="AD4" i="17"/>
  <c r="P213" i="17"/>
  <c r="AC57" i="17"/>
  <c r="P243" i="17"/>
  <c r="Q74" i="17"/>
  <c r="AV2" i="17"/>
  <c r="I77" i="17"/>
  <c r="AZ255" i="17"/>
  <c r="AT227" i="17"/>
  <c r="L200" i="17"/>
  <c r="U120" i="17"/>
  <c r="G176" i="17"/>
  <c r="AP239" i="17"/>
  <c r="AV51" i="17"/>
  <c r="AR242" i="17"/>
  <c r="U117" i="17"/>
  <c r="BA166" i="17"/>
  <c r="AK63" i="17"/>
  <c r="E65" i="17"/>
  <c r="AR30" i="17"/>
  <c r="BA65" i="17"/>
  <c r="N161" i="17"/>
  <c r="AZ240" i="17"/>
  <c r="X142" i="17"/>
  <c r="U165" i="17"/>
  <c r="J171" i="17"/>
  <c r="T13" i="17"/>
  <c r="AA171" i="17"/>
  <c r="Y241" i="17"/>
  <c r="D200" i="17"/>
  <c r="AH51" i="17"/>
  <c r="AB192" i="17"/>
  <c r="AC302" i="17"/>
  <c r="I133" i="17"/>
  <c r="K131" i="17"/>
  <c r="N72" i="17"/>
  <c r="AE3" i="17"/>
  <c r="G242" i="17"/>
  <c r="AS80" i="17"/>
  <c r="R167" i="17"/>
  <c r="AL33" i="17"/>
  <c r="AD203" i="17"/>
  <c r="AF191" i="17"/>
  <c r="Z33" i="17"/>
  <c r="AG280" i="17"/>
  <c r="AY21" i="17"/>
  <c r="AC200" i="17"/>
  <c r="D146" i="17"/>
  <c r="AX249" i="17"/>
  <c r="G165" i="17"/>
  <c r="I24" i="17"/>
  <c r="F148" i="17"/>
  <c r="R55" i="17"/>
  <c r="T121" i="17"/>
  <c r="AP192" i="17"/>
  <c r="AU64" i="17"/>
  <c r="AS40" i="17"/>
  <c r="V145" i="17"/>
  <c r="H268" i="17"/>
  <c r="L16" i="17"/>
  <c r="F234" i="17"/>
  <c r="AW202" i="17"/>
  <c r="AP189" i="17"/>
  <c r="AL109" i="17"/>
  <c r="AF222" i="17"/>
  <c r="AC76" i="17"/>
  <c r="AD32" i="17"/>
  <c r="AD50" i="17"/>
  <c r="F74" i="17"/>
  <c r="D45" i="17"/>
  <c r="AE30" i="17"/>
  <c r="AN270" i="17"/>
  <c r="L229" i="17"/>
  <c r="M178" i="17"/>
  <c r="V205" i="17"/>
  <c r="AV262" i="17"/>
  <c r="AZ195" i="17"/>
  <c r="X284" i="17"/>
  <c r="AW251" i="17"/>
  <c r="H153" i="17"/>
  <c r="F95" i="17"/>
  <c r="Y84" i="17"/>
  <c r="U205" i="17"/>
  <c r="AH213" i="17"/>
  <c r="Q17" i="17"/>
  <c r="W29" i="17"/>
  <c r="AI18" i="17"/>
  <c r="AC258" i="17"/>
  <c r="AT279" i="17"/>
  <c r="AM87" i="17"/>
  <c r="W83" i="17"/>
  <c r="Y2" i="17"/>
  <c r="AP145" i="17"/>
  <c r="L176" i="17"/>
  <c r="W40" i="17"/>
  <c r="BA23" i="17"/>
  <c r="AL167" i="17"/>
  <c r="AH31" i="17"/>
  <c r="AK94" i="17"/>
  <c r="AM99" i="17"/>
  <c r="AO38" i="17"/>
  <c r="AA163" i="17"/>
  <c r="L45" i="17"/>
  <c r="AQ2" i="17"/>
  <c r="AP42" i="17"/>
  <c r="AB279" i="17"/>
  <c r="AK92" i="17"/>
  <c r="Q176" i="17"/>
  <c r="AH60" i="17"/>
  <c r="AA222" i="17"/>
  <c r="V243" i="17"/>
  <c r="R145" i="17"/>
  <c r="D122" i="17"/>
  <c r="U137" i="17"/>
  <c r="AO260" i="17"/>
  <c r="AI180" i="17"/>
  <c r="U28" i="17"/>
  <c r="AG141" i="17"/>
  <c r="V219" i="17"/>
  <c r="R41" i="17"/>
  <c r="AA52" i="17"/>
  <c r="L49" i="17"/>
  <c r="AY146" i="17"/>
  <c r="AS110" i="17"/>
  <c r="AS117" i="17"/>
  <c r="J9" i="17"/>
  <c r="AO226" i="17"/>
  <c r="J198" i="17"/>
  <c r="AL125" i="17"/>
  <c r="K153" i="17"/>
  <c r="F169" i="17"/>
  <c r="U148" i="17"/>
  <c r="M124" i="17"/>
  <c r="M37" i="17"/>
  <c r="H47" i="17"/>
  <c r="AL141" i="17"/>
  <c r="F192" i="17"/>
  <c r="AY20" i="17"/>
  <c r="AP229" i="17"/>
  <c r="D65" i="17"/>
  <c r="I149" i="17"/>
  <c r="R205" i="17"/>
  <c r="K108" i="17"/>
  <c r="P144" i="17"/>
  <c r="Z187" i="17"/>
  <c r="P233" i="17"/>
  <c r="AB234" i="17"/>
  <c r="W192" i="17"/>
  <c r="AU34" i="17"/>
  <c r="AS212" i="17"/>
  <c r="O232" i="17"/>
  <c r="AT222" i="17"/>
  <c r="R114" i="17"/>
  <c r="L165" i="17"/>
  <c r="AO133" i="17"/>
  <c r="AO50" i="17"/>
  <c r="R125" i="17"/>
  <c r="AA297" i="17"/>
  <c r="L203" i="17"/>
  <c r="AR173" i="17"/>
  <c r="Y150" i="17"/>
  <c r="R199" i="17"/>
  <c r="AS6" i="17"/>
  <c r="AO181" i="17"/>
  <c r="AB81" i="17"/>
  <c r="W169" i="17"/>
  <c r="AC169" i="17"/>
  <c r="E27" i="17"/>
  <c r="AN154" i="17"/>
  <c r="N23" i="17"/>
  <c r="AD75" i="17"/>
  <c r="Z90" i="17"/>
  <c r="M7" i="17"/>
  <c r="S138" i="17"/>
  <c r="AA67" i="17"/>
  <c r="AO117" i="17"/>
  <c r="J221" i="17"/>
  <c r="H12" i="17"/>
  <c r="AG89" i="17"/>
  <c r="AC56" i="17"/>
  <c r="M232" i="17"/>
  <c r="AH133" i="17"/>
  <c r="AB124" i="17"/>
  <c r="AO21" i="17"/>
  <c r="AT80" i="17"/>
  <c r="AC79" i="17"/>
  <c r="U111" i="17"/>
  <c r="AN133" i="17"/>
  <c r="M4" i="17"/>
  <c r="AQ58" i="17"/>
  <c r="H72" i="17"/>
  <c r="AK172" i="17"/>
  <c r="AD43" i="17"/>
  <c r="J105" i="17"/>
  <c r="H107" i="17"/>
  <c r="AY185" i="17"/>
  <c r="AF121" i="17"/>
  <c r="W45" i="17"/>
  <c r="AB156" i="17"/>
  <c r="AQ147" i="17"/>
  <c r="AF186" i="17"/>
  <c r="AX157" i="17"/>
  <c r="K27" i="17"/>
  <c r="I220" i="17"/>
  <c r="AO173" i="17"/>
  <c r="AL270" i="17"/>
  <c r="K277" i="17"/>
  <c r="AL171" i="17"/>
  <c r="K207" i="17"/>
  <c r="AC115" i="17"/>
  <c r="I126" i="17"/>
  <c r="AO53" i="17"/>
  <c r="J66" i="17"/>
  <c r="J103" i="17"/>
  <c r="AF128" i="17"/>
  <c r="D220" i="17"/>
  <c r="AR37" i="17"/>
  <c r="AZ116" i="17"/>
  <c r="AN139" i="17"/>
  <c r="P198" i="17"/>
  <c r="AN88" i="17"/>
  <c r="D33" i="17"/>
  <c r="AZ91" i="17"/>
  <c r="P42" i="17"/>
  <c r="AP115" i="17"/>
  <c r="AS137" i="17"/>
  <c r="AK90" i="17"/>
  <c r="AQ258" i="17"/>
  <c r="M202" i="17"/>
  <c r="W244" i="17"/>
  <c r="AQ175" i="17"/>
  <c r="AN89" i="17"/>
  <c r="V61" i="17"/>
  <c r="AE283" i="17"/>
  <c r="P145" i="17"/>
  <c r="AG248" i="17"/>
  <c r="Q284" i="17"/>
  <c r="AC228" i="17"/>
  <c r="AL99" i="17"/>
  <c r="D188" i="17"/>
  <c r="AN293" i="17"/>
  <c r="AR46" i="17"/>
  <c r="AJ199" i="17"/>
  <c r="AF228" i="17"/>
  <c r="Y133" i="17"/>
  <c r="AH101" i="17"/>
  <c r="AH138" i="17"/>
  <c r="P175" i="17"/>
  <c r="V297" i="17"/>
  <c r="AC69" i="17"/>
  <c r="E109" i="17"/>
  <c r="AC243" i="17"/>
  <c r="AF264" i="17"/>
  <c r="AZ3" i="17"/>
  <c r="AC264" i="17"/>
  <c r="AO71" i="17"/>
  <c r="AW194" i="17"/>
  <c r="K234" i="17"/>
  <c r="U130" i="17"/>
  <c r="K218" i="17"/>
  <c r="T274" i="17"/>
  <c r="AM64" i="17"/>
  <c r="AZ268" i="17"/>
  <c r="AG35" i="17"/>
  <c r="AO2" i="17"/>
  <c r="AO168" i="17"/>
  <c r="K227" i="17"/>
  <c r="AG256" i="17"/>
  <c r="AA114" i="17"/>
  <c r="AM149" i="17"/>
  <c r="AA186" i="17"/>
  <c r="O107" i="17"/>
  <c r="AQ170" i="17"/>
  <c r="AO106" i="17"/>
  <c r="H118" i="17"/>
  <c r="I206" i="17"/>
  <c r="AM3" i="17"/>
  <c r="AS118" i="17"/>
  <c r="L182" i="17"/>
  <c r="F69" i="17"/>
  <c r="AI25" i="17"/>
  <c r="P248" i="17"/>
  <c r="AO203" i="17"/>
  <c r="AA13" i="17"/>
  <c r="D228" i="17"/>
  <c r="O195" i="17"/>
  <c r="Z78" i="17"/>
  <c r="AS237" i="17"/>
  <c r="AI193" i="17"/>
  <c r="T90" i="17"/>
  <c r="AX47" i="17"/>
  <c r="AW222" i="17"/>
  <c r="S181" i="17"/>
  <c r="AQ27" i="17"/>
  <c r="AQ200" i="17"/>
  <c r="AY78" i="17"/>
  <c r="X42" i="17"/>
  <c r="Y13" i="17"/>
  <c r="W136" i="17"/>
  <c r="M210" i="17"/>
  <c r="AN6" i="17"/>
  <c r="F102" i="17"/>
  <c r="AA20" i="17"/>
  <c r="AC245" i="17"/>
  <c r="P86" i="17"/>
  <c r="D5" i="17"/>
  <c r="S139" i="17"/>
  <c r="AU69" i="17"/>
  <c r="AC75" i="17"/>
  <c r="R155" i="17"/>
  <c r="X35" i="17"/>
  <c r="X24" i="17"/>
  <c r="T186" i="17"/>
  <c r="F171" i="17"/>
  <c r="AN101" i="17"/>
  <c r="T128" i="17"/>
  <c r="G52" i="17"/>
  <c r="AS76" i="17"/>
  <c r="G229" i="17"/>
  <c r="AJ223" i="17"/>
  <c r="AX274" i="17"/>
  <c r="G133" i="17"/>
  <c r="AG161" i="17"/>
  <c r="AY136" i="17"/>
  <c r="AN127" i="17"/>
  <c r="Z211" i="17"/>
  <c r="O209" i="17"/>
  <c r="N233" i="17"/>
  <c r="AQ21" i="17"/>
  <c r="N110" i="17"/>
  <c r="AI5" i="17"/>
  <c r="AF132" i="17"/>
  <c r="AN18" i="17"/>
  <c r="AL225" i="17"/>
  <c r="AM100" i="17"/>
  <c r="AR104" i="17"/>
  <c r="F165" i="17"/>
  <c r="BA169" i="17"/>
  <c r="I120" i="17"/>
  <c r="AG183" i="17"/>
  <c r="P219" i="17"/>
  <c r="P50" i="17"/>
  <c r="U168" i="17"/>
  <c r="V141" i="17"/>
  <c r="AT198" i="17"/>
  <c r="H166" i="17"/>
  <c r="AB236" i="17"/>
  <c r="AE19" i="17"/>
  <c r="Q266" i="17"/>
  <c r="AB194" i="17"/>
  <c r="AE145" i="17"/>
  <c r="P69" i="17"/>
  <c r="AQ134" i="17"/>
  <c r="AO90" i="17"/>
  <c r="AN170" i="17"/>
  <c r="AC186" i="17"/>
  <c r="Z134" i="17"/>
  <c r="AN22" i="17"/>
  <c r="AI232" i="17"/>
  <c r="J17" i="17"/>
  <c r="AM215" i="17"/>
  <c r="AC233" i="17"/>
  <c r="H137" i="17"/>
  <c r="N253" i="17"/>
  <c r="N135" i="17"/>
  <c r="AY123" i="17"/>
  <c r="T219" i="17"/>
  <c r="AZ11" i="17"/>
  <c r="G240" i="17"/>
  <c r="V164" i="17"/>
  <c r="BA226" i="17"/>
  <c r="I35" i="17"/>
  <c r="AO65" i="17"/>
  <c r="U124" i="17"/>
  <c r="P190" i="17"/>
  <c r="R144" i="17"/>
  <c r="AO186" i="17"/>
  <c r="Y142" i="17"/>
  <c r="Y188" i="17"/>
  <c r="AR78" i="17"/>
  <c r="J241" i="17"/>
  <c r="F201" i="17"/>
  <c r="M230" i="17"/>
  <c r="AW8" i="17"/>
  <c r="Z125" i="17"/>
  <c r="E253" i="17"/>
  <c r="Y136" i="17"/>
  <c r="AY274" i="17"/>
  <c r="AM116" i="17"/>
  <c r="AI160" i="17"/>
  <c r="AG143" i="17"/>
  <c r="R221" i="17"/>
  <c r="N11" i="17"/>
  <c r="BA9" i="17"/>
  <c r="AI70" i="17"/>
  <c r="AQ229" i="17"/>
  <c r="AX58" i="17"/>
  <c r="AZ70" i="17"/>
  <c r="AR297" i="17"/>
  <c r="F238" i="17"/>
  <c r="AE43" i="17"/>
  <c r="AF176" i="17"/>
  <c r="AB201" i="17"/>
  <c r="F271" i="17"/>
  <c r="AG142" i="17"/>
  <c r="BA201" i="17"/>
  <c r="AV163" i="17"/>
  <c r="O198" i="17"/>
  <c r="N220" i="17"/>
  <c r="AU14" i="17"/>
  <c r="V36" i="17"/>
  <c r="F23" i="17"/>
  <c r="AF207" i="17"/>
  <c r="I131" i="17"/>
  <c r="AG5" i="17"/>
  <c r="AG62" i="17"/>
  <c r="F38" i="17"/>
  <c r="S217" i="17"/>
  <c r="AG250" i="17"/>
  <c r="AZ239" i="17"/>
  <c r="I190" i="17"/>
  <c r="W229" i="17"/>
  <c r="AM55" i="17"/>
  <c r="S34" i="17"/>
  <c r="AH237" i="17"/>
  <c r="BA76" i="17"/>
  <c r="AN164" i="17"/>
  <c r="R98" i="17"/>
  <c r="AA247" i="17"/>
  <c r="AN90" i="17"/>
  <c r="I231" i="17"/>
  <c r="AL241" i="17"/>
  <c r="D3" i="17"/>
  <c r="AH15" i="17"/>
  <c r="AS96" i="17"/>
  <c r="M181" i="17"/>
  <c r="AH35" i="17"/>
  <c r="D14" i="17"/>
  <c r="AL157" i="17"/>
  <c r="BA74" i="17"/>
  <c r="AT91" i="17"/>
  <c r="AR128" i="17"/>
  <c r="AV165" i="17"/>
  <c r="AH39" i="17"/>
  <c r="AZ15" i="17"/>
  <c r="R193" i="17"/>
  <c r="I196" i="17"/>
  <c r="AK173" i="17"/>
  <c r="X271" i="17"/>
  <c r="L257" i="17"/>
  <c r="AX235" i="17"/>
  <c r="AT245" i="17"/>
  <c r="H310" i="17"/>
  <c r="U203" i="17"/>
  <c r="V96" i="17"/>
  <c r="D225" i="17"/>
  <c r="N131" i="17"/>
  <c r="AL66" i="17"/>
  <c r="AF199" i="17"/>
  <c r="I108" i="17"/>
  <c r="N92" i="17"/>
  <c r="AX273" i="17"/>
  <c r="N94" i="17"/>
  <c r="AL166" i="17"/>
  <c r="S247" i="17"/>
  <c r="AU203" i="17"/>
  <c r="L181" i="17"/>
  <c r="AO148" i="17"/>
  <c r="X64" i="17"/>
  <c r="L96" i="17"/>
  <c r="R63" i="17"/>
  <c r="AC190" i="17"/>
  <c r="AQ234" i="17"/>
  <c r="AE182" i="17"/>
  <c r="R200" i="17"/>
  <c r="V188" i="17"/>
  <c r="AT258" i="17"/>
  <c r="O178" i="17"/>
  <c r="H68" i="17"/>
  <c r="AN50" i="17"/>
  <c r="L267" i="17"/>
  <c r="AB95" i="17"/>
  <c r="W103" i="17"/>
  <c r="AK103" i="17"/>
  <c r="AM214" i="17"/>
  <c r="AA168" i="17"/>
  <c r="AF114" i="17"/>
  <c r="X289" i="17"/>
  <c r="AI81" i="17"/>
  <c r="AP234" i="17"/>
  <c r="AA25" i="17"/>
  <c r="AI31" i="17"/>
  <c r="AI296" i="17"/>
  <c r="AE73" i="17"/>
  <c r="AW153" i="17"/>
  <c r="P143" i="17"/>
  <c r="E252" i="17"/>
  <c r="E155" i="17"/>
  <c r="L210" i="17"/>
  <c r="O92" i="17"/>
  <c r="AC220" i="17"/>
  <c r="AF255" i="17"/>
  <c r="H24" i="17"/>
  <c r="V98" i="17"/>
  <c r="U64" i="17"/>
  <c r="AU185" i="17"/>
  <c r="AM105" i="17"/>
  <c r="O206" i="17"/>
  <c r="AP171" i="17"/>
  <c r="P174" i="17"/>
  <c r="AH82" i="17"/>
  <c r="AC262" i="17"/>
  <c r="T86" i="17"/>
  <c r="AY157" i="17"/>
  <c r="O73" i="17"/>
  <c r="AZ127" i="17"/>
  <c r="P112" i="17"/>
  <c r="AH152" i="17"/>
  <c r="S22" i="17"/>
  <c r="AR58" i="17"/>
  <c r="AK54" i="17"/>
  <c r="I180" i="17"/>
  <c r="AY35" i="17"/>
  <c r="P178" i="17"/>
  <c r="AN21" i="17"/>
  <c r="G34" i="17"/>
  <c r="I162" i="17"/>
  <c r="E287" i="17"/>
  <c r="F229" i="17"/>
  <c r="AI45" i="17"/>
  <c r="AA201" i="17"/>
  <c r="I141" i="17"/>
  <c r="R201" i="17"/>
  <c r="M272" i="17"/>
  <c r="AB175" i="17"/>
  <c r="AW94" i="17"/>
  <c r="AJ44" i="17"/>
  <c r="F118" i="17"/>
  <c r="G124" i="17"/>
  <c r="AU144" i="17"/>
  <c r="AE195" i="17"/>
  <c r="M213" i="17"/>
  <c r="AE92" i="17"/>
  <c r="F40" i="17"/>
  <c r="AC29" i="17"/>
  <c r="AM227" i="17"/>
  <c r="AG106" i="17"/>
  <c r="V55" i="17"/>
  <c r="M30" i="17"/>
  <c r="H182" i="17"/>
  <c r="I158" i="17"/>
  <c r="Y191" i="17"/>
  <c r="W130" i="17"/>
  <c r="AA130" i="17"/>
  <c r="AP196" i="17"/>
  <c r="M51" i="17"/>
  <c r="O70" i="17"/>
  <c r="AV152" i="17"/>
  <c r="AY147" i="17"/>
  <c r="G266" i="17"/>
  <c r="H77" i="17"/>
  <c r="H6" i="17"/>
  <c r="AS101" i="17"/>
  <c r="AM152" i="17"/>
  <c r="BA188" i="17"/>
  <c r="J23" i="17"/>
  <c r="Q222" i="17"/>
  <c r="U76" i="17"/>
  <c r="I72" i="17"/>
  <c r="D207" i="17"/>
  <c r="S215" i="17"/>
  <c r="AQ219" i="17"/>
  <c r="AM71" i="17"/>
  <c r="K211" i="17"/>
  <c r="I76" i="17"/>
  <c r="P271" i="17"/>
  <c r="AG98" i="17"/>
  <c r="AV9" i="17"/>
  <c r="H39" i="17"/>
  <c r="AI126" i="17"/>
  <c r="K141" i="17"/>
  <c r="Z268" i="17"/>
  <c r="AU65" i="17"/>
  <c r="AS268" i="17"/>
  <c r="AG289" i="17"/>
  <c r="AI50" i="17"/>
  <c r="W97" i="17"/>
  <c r="U108" i="17"/>
  <c r="AR269" i="17"/>
  <c r="E182" i="17"/>
  <c r="W63" i="17"/>
  <c r="AI201" i="17"/>
  <c r="AA135" i="17"/>
  <c r="AA64" i="17"/>
  <c r="T256" i="17"/>
  <c r="F43" i="17"/>
  <c r="AS58" i="17"/>
  <c r="E23" i="17"/>
  <c r="AR111" i="17"/>
  <c r="AG153" i="17"/>
  <c r="G171" i="17"/>
  <c r="Y148" i="17"/>
  <c r="AT56" i="17"/>
  <c r="AF244" i="17"/>
  <c r="AN66" i="17"/>
  <c r="AA214" i="17"/>
  <c r="F218" i="17"/>
  <c r="AT188" i="17"/>
  <c r="K14" i="17"/>
  <c r="AA198" i="17"/>
  <c r="AM234" i="17"/>
  <c r="I150" i="17"/>
  <c r="K110" i="17"/>
  <c r="K34" i="17"/>
  <c r="S193" i="17"/>
  <c r="J218" i="17"/>
  <c r="L58" i="17"/>
  <c r="T54" i="17"/>
  <c r="W91" i="17"/>
  <c r="H136" i="17"/>
  <c r="G167" i="17"/>
  <c r="U213" i="17"/>
  <c r="AQ136" i="17"/>
  <c r="K5" i="17"/>
  <c r="AQ210" i="17"/>
  <c r="AO187" i="17"/>
  <c r="AX104" i="17"/>
  <c r="AL206" i="17"/>
  <c r="Y202" i="17"/>
  <c r="N54" i="17"/>
  <c r="AX232" i="17"/>
  <c r="Y112" i="17"/>
  <c r="N80" i="17"/>
  <c r="AP10" i="17"/>
  <c r="AC205" i="17"/>
  <c r="AH64" i="17"/>
  <c r="M131" i="17"/>
  <c r="AT160" i="17"/>
  <c r="Y122" i="17"/>
  <c r="E240" i="17"/>
  <c r="AX225" i="17"/>
  <c r="V62" i="17"/>
  <c r="D35" i="17"/>
  <c r="AJ16" i="17"/>
  <c r="AY52" i="17"/>
  <c r="K180" i="17"/>
  <c r="Y158" i="17"/>
  <c r="AM314" i="17"/>
  <c r="S43" i="17"/>
  <c r="AN46" i="17"/>
  <c r="D40" i="17"/>
  <c r="BA183" i="17"/>
  <c r="O28" i="17"/>
  <c r="AX205" i="17"/>
  <c r="L13" i="17"/>
  <c r="H165" i="17"/>
  <c r="M216" i="17"/>
  <c r="V195" i="17"/>
  <c r="I192" i="17"/>
  <c r="Q76" i="17"/>
  <c r="AJ172" i="17"/>
  <c r="AY17" i="17"/>
  <c r="AJ53" i="17"/>
  <c r="AZ264" i="17"/>
  <c r="AK43" i="17"/>
  <c r="AW247" i="17"/>
  <c r="AO167" i="17"/>
  <c r="AD126" i="17"/>
  <c r="I165" i="17"/>
  <c r="AR75" i="17"/>
  <c r="AN175" i="17"/>
  <c r="L3" i="17"/>
  <c r="V231" i="17"/>
  <c r="S68" i="17"/>
  <c r="T40" i="17"/>
  <c r="AU68" i="17"/>
  <c r="AH164" i="17"/>
  <c r="AY121" i="17"/>
  <c r="Y169" i="17"/>
  <c r="BA13" i="17"/>
  <c r="H171" i="17"/>
  <c r="M60" i="17"/>
  <c r="AR33" i="17"/>
  <c r="AN213" i="17"/>
  <c r="AO270" i="17"/>
  <c r="U57" i="17"/>
  <c r="AD166" i="17"/>
  <c r="U54" i="17"/>
  <c r="S95" i="17"/>
  <c r="U182" i="17"/>
  <c r="R64" i="17"/>
  <c r="J122" i="17"/>
  <c r="S132" i="17"/>
  <c r="AI2" i="17"/>
  <c r="Z97" i="17"/>
  <c r="AX221" i="17"/>
  <c r="AM95" i="17"/>
  <c r="AD222" i="17"/>
  <c r="X86" i="17"/>
  <c r="AZ84" i="17"/>
  <c r="R107" i="17"/>
  <c r="Q133" i="17"/>
  <c r="G186" i="17"/>
  <c r="K134" i="17"/>
  <c r="D77" i="17"/>
  <c r="U219" i="17"/>
  <c r="AV257" i="17"/>
  <c r="AE32" i="17"/>
  <c r="AX254" i="17"/>
  <c r="W238" i="17"/>
  <c r="AG127" i="17"/>
  <c r="T56" i="17"/>
  <c r="X188" i="17"/>
  <c r="AI198" i="17"/>
  <c r="J275" i="17"/>
  <c r="T114" i="17"/>
  <c r="M23" i="17"/>
  <c r="AW56" i="17"/>
  <c r="Z57" i="17"/>
  <c r="AN8" i="17"/>
  <c r="V23" i="17"/>
  <c r="BA193" i="17"/>
  <c r="S179" i="17"/>
  <c r="AU219" i="17"/>
  <c r="AM36" i="17"/>
  <c r="N16" i="17"/>
  <c r="N9" i="17"/>
  <c r="AN209" i="17"/>
  <c r="E195" i="17"/>
  <c r="F45" i="17"/>
  <c r="S56" i="17"/>
  <c r="AJ136" i="17"/>
  <c r="BA161" i="17"/>
  <c r="K219" i="17"/>
  <c r="AA208" i="17"/>
  <c r="E140" i="17"/>
  <c r="O113" i="17"/>
  <c r="X21" i="17"/>
  <c r="AU42" i="17"/>
  <c r="AD93" i="17"/>
  <c r="AI46" i="17"/>
  <c r="AV244" i="17"/>
  <c r="AK104" i="17"/>
  <c r="E153" i="17"/>
  <c r="W167" i="17"/>
  <c r="Y114" i="17"/>
  <c r="Z263" i="17"/>
  <c r="S119" i="17"/>
  <c r="L41" i="17"/>
  <c r="AQ18" i="17"/>
  <c r="H160" i="17"/>
  <c r="AW37" i="17"/>
  <c r="AE273" i="17"/>
  <c r="J272" i="17"/>
  <c r="AU249" i="17"/>
  <c r="N289" i="17"/>
  <c r="J276" i="17"/>
  <c r="F257" i="17"/>
  <c r="AZ110" i="17"/>
  <c r="W135" i="17"/>
  <c r="AP247" i="17"/>
  <c r="AD153" i="17"/>
  <c r="AU246" i="17"/>
  <c r="O22" i="17"/>
  <c r="R78" i="17"/>
  <c r="K100" i="17"/>
  <c r="X80" i="17"/>
  <c r="AJ193" i="17"/>
  <c r="U33" i="17"/>
  <c r="AG305" i="17"/>
  <c r="AU154" i="17"/>
  <c r="U201" i="17"/>
  <c r="U84" i="17"/>
  <c r="J57" i="17"/>
  <c r="AT138" i="17"/>
  <c r="AH78" i="17"/>
  <c r="AF204" i="17"/>
  <c r="J263" i="17"/>
  <c r="X10" i="17"/>
  <c r="W175" i="17"/>
  <c r="AZ146" i="17"/>
  <c r="AP3" i="17"/>
  <c r="AT286" i="17"/>
  <c r="AW268" i="17"/>
  <c r="W227" i="17"/>
  <c r="AJ224" i="17"/>
  <c r="BA67" i="17"/>
  <c r="AK273" i="17"/>
  <c r="X181" i="17"/>
  <c r="Y135" i="17"/>
  <c r="X134" i="17"/>
  <c r="Y9" i="17"/>
  <c r="AF172" i="17"/>
  <c r="AL253" i="17"/>
  <c r="AN64" i="17"/>
  <c r="G164" i="17"/>
  <c r="P100" i="17"/>
  <c r="AO46" i="17"/>
  <c r="AG32" i="17"/>
  <c r="E246" i="17"/>
  <c r="AI240" i="17"/>
  <c r="AS258" i="17"/>
  <c r="AL163" i="17"/>
  <c r="N61" i="17"/>
  <c r="AC172" i="17"/>
  <c r="AE188" i="17"/>
  <c r="Z37" i="17"/>
  <c r="W57" i="17"/>
  <c r="AH96" i="17"/>
  <c r="T123" i="17"/>
  <c r="AJ112" i="17"/>
  <c r="AK260" i="17"/>
  <c r="AA75" i="17"/>
  <c r="AL60" i="17"/>
  <c r="E137" i="17"/>
  <c r="AE130" i="17"/>
  <c r="AE248" i="17"/>
  <c r="X47" i="17"/>
  <c r="AW159" i="17"/>
  <c r="N168" i="17"/>
  <c r="W144" i="17"/>
  <c r="AN140" i="17"/>
  <c r="AF55" i="17"/>
  <c r="AY103" i="17"/>
  <c r="AP275" i="17"/>
  <c r="W32" i="17"/>
  <c r="R211" i="17"/>
  <c r="AQ225" i="17"/>
  <c r="AN119" i="17"/>
  <c r="H299" i="17"/>
  <c r="K138" i="17"/>
  <c r="L222" i="17"/>
  <c r="AL182" i="17"/>
  <c r="X125" i="17"/>
  <c r="AC21" i="17"/>
  <c r="Z50" i="17"/>
  <c r="AC125" i="17"/>
  <c r="K295" i="17"/>
  <c r="X74" i="17"/>
  <c r="M12" i="17"/>
  <c r="AJ101" i="17"/>
  <c r="AK189" i="17"/>
  <c r="AM248" i="17"/>
  <c r="AA204" i="17"/>
  <c r="T16" i="17"/>
  <c r="AM226" i="17"/>
  <c r="D266" i="17"/>
  <c r="G44" i="17"/>
  <c r="F167" i="17"/>
  <c r="AE55" i="17"/>
  <c r="AF265" i="17"/>
  <c r="AM70" i="17"/>
  <c r="AX134" i="17"/>
  <c r="AA184" i="17"/>
  <c r="S61" i="17"/>
  <c r="U177" i="17"/>
  <c r="AG93" i="17"/>
  <c r="O243" i="17"/>
  <c r="AX154" i="17"/>
  <c r="AC177" i="17"/>
  <c r="D212" i="17"/>
  <c r="AT179" i="17"/>
  <c r="AC95" i="17"/>
  <c r="X247" i="17"/>
  <c r="Q121" i="17"/>
  <c r="S156" i="17"/>
  <c r="Q142" i="17"/>
  <c r="I84" i="17"/>
  <c r="AE20" i="17"/>
  <c r="AR14" i="17"/>
  <c r="AB193" i="17"/>
  <c r="AA69" i="17"/>
  <c r="AZ235" i="17"/>
  <c r="BA231" i="17"/>
  <c r="AH273" i="17"/>
  <c r="AK239" i="17"/>
  <c r="N18" i="17"/>
  <c r="V73" i="17"/>
  <c r="AX5" i="17"/>
  <c r="AM119" i="17"/>
  <c r="L192" i="17"/>
  <c r="AV156" i="17"/>
  <c r="K220" i="17"/>
  <c r="AX41" i="17"/>
  <c r="BA108" i="17"/>
  <c r="AQ204" i="17"/>
  <c r="AE244" i="17"/>
  <c r="L212" i="17"/>
  <c r="T14" i="17"/>
  <c r="AR116" i="17"/>
  <c r="AT155" i="17"/>
  <c r="AQ103" i="17"/>
  <c r="AQ63" i="17"/>
  <c r="G243" i="17"/>
  <c r="O52" i="17"/>
  <c r="AP40" i="17"/>
  <c r="Y205" i="17"/>
  <c r="AN11" i="17"/>
  <c r="AR97" i="17"/>
  <c r="AL27" i="17"/>
  <c r="M91" i="17"/>
  <c r="AE122" i="17"/>
  <c r="X117" i="17"/>
  <c r="AD287" i="17"/>
  <c r="AA122" i="17"/>
  <c r="AV191" i="17"/>
  <c r="Q162" i="17"/>
  <c r="AA155" i="17"/>
  <c r="AW9" i="17"/>
  <c r="AN20" i="17"/>
  <c r="AO118" i="17"/>
  <c r="AM279" i="17"/>
  <c r="AU224" i="17"/>
  <c r="BA200" i="17"/>
  <c r="AV231" i="17"/>
  <c r="AF208" i="17"/>
  <c r="K25" i="17"/>
  <c r="Y192" i="17"/>
  <c r="AU8" i="17"/>
  <c r="R220" i="17"/>
  <c r="AQ79" i="17"/>
  <c r="U293" i="17"/>
  <c r="AI168" i="17"/>
  <c r="AB235" i="17"/>
  <c r="V158" i="17"/>
  <c r="I51" i="17"/>
  <c r="AU254" i="17"/>
  <c r="Q117" i="17"/>
  <c r="AV127" i="17"/>
  <c r="T21" i="17"/>
  <c r="I83" i="17"/>
  <c r="BA173" i="17"/>
  <c r="AP232" i="17"/>
  <c r="X141" i="17"/>
  <c r="R105" i="17"/>
  <c r="AD266" i="17"/>
  <c r="AW84" i="17"/>
  <c r="AG12" i="17"/>
  <c r="AF118" i="17"/>
  <c r="AO27" i="17"/>
  <c r="T6" i="17"/>
  <c r="H276" i="17"/>
  <c r="E62" i="17"/>
  <c r="AQ167" i="17"/>
  <c r="P95" i="17"/>
  <c r="BA41" i="17"/>
  <c r="P59" i="17"/>
  <c r="AL156" i="17"/>
  <c r="D104" i="17"/>
  <c r="R53" i="17"/>
  <c r="AU229" i="17"/>
  <c r="F88" i="17"/>
  <c r="E80" i="17"/>
  <c r="AE245" i="17"/>
  <c r="Y70" i="17"/>
  <c r="AH5" i="17"/>
  <c r="E108" i="17"/>
  <c r="U17" i="17"/>
  <c r="I219" i="17"/>
  <c r="W174" i="17"/>
  <c r="U264" i="17"/>
  <c r="AI43" i="17"/>
  <c r="H144" i="17"/>
  <c r="X183" i="17"/>
  <c r="AH223" i="17"/>
  <c r="G57" i="17"/>
  <c r="AS144" i="17"/>
  <c r="AS15" i="17"/>
  <c r="AO116" i="17"/>
  <c r="G143" i="17"/>
  <c r="Y176" i="17"/>
  <c r="V4" i="17"/>
  <c r="V298" i="17"/>
  <c r="P166" i="17"/>
  <c r="N105" i="17"/>
  <c r="T15" i="17"/>
  <c r="N108" i="17"/>
  <c r="AT254" i="17"/>
  <c r="BA72" i="17"/>
  <c r="U194" i="17"/>
  <c r="AS252" i="17"/>
  <c r="AC5" i="17"/>
  <c r="AP158" i="17"/>
  <c r="AU134" i="17"/>
  <c r="N63" i="17"/>
  <c r="AP267" i="17"/>
  <c r="R121" i="17"/>
  <c r="BA50" i="17"/>
  <c r="L48" i="17"/>
  <c r="AK6" i="17"/>
  <c r="L170" i="17"/>
  <c r="AO218" i="17"/>
  <c r="K241" i="17"/>
  <c r="P254" i="17"/>
  <c r="AG268" i="17"/>
  <c r="AF277" i="17"/>
  <c r="AC181" i="17"/>
  <c r="AY279" i="17"/>
  <c r="R192" i="17"/>
  <c r="L8" i="17"/>
  <c r="AM27" i="17"/>
  <c r="BA204" i="17"/>
  <c r="P169" i="17"/>
  <c r="AA126" i="17"/>
  <c r="P187" i="17"/>
  <c r="S87" i="17"/>
  <c r="AJ47" i="17"/>
  <c r="U110" i="17"/>
  <c r="H184" i="17"/>
  <c r="S2" i="17"/>
  <c r="AP261" i="17"/>
  <c r="AJ39" i="17"/>
  <c r="Z116" i="17"/>
  <c r="Y151" i="17"/>
  <c r="S31" i="17"/>
  <c r="AM242" i="17"/>
  <c r="AM212" i="17"/>
  <c r="AQ14" i="17"/>
  <c r="AJ173" i="17"/>
  <c r="AY12" i="17"/>
  <c r="AR91" i="17"/>
  <c r="AC187" i="17"/>
  <c r="D235" i="17"/>
  <c r="AA49" i="17"/>
  <c r="AL61" i="17"/>
  <c r="AP179" i="17"/>
  <c r="AV46" i="17"/>
  <c r="AC229" i="17"/>
  <c r="AX289" i="17"/>
  <c r="AY50" i="17"/>
  <c r="H247" i="17"/>
  <c r="Q167" i="17"/>
  <c r="AB146" i="17"/>
  <c r="K82" i="17"/>
  <c r="L14" i="17"/>
  <c r="M74" i="17"/>
  <c r="AE49" i="17"/>
  <c r="K278" i="17"/>
  <c r="G234" i="17"/>
  <c r="AM68" i="17"/>
  <c r="K290" i="17"/>
  <c r="M220" i="17"/>
  <c r="M49" i="17"/>
  <c r="N206" i="17"/>
  <c r="AT139" i="17"/>
  <c r="AC197" i="17"/>
  <c r="N254" i="17"/>
  <c r="T233" i="17"/>
  <c r="AW234" i="17"/>
  <c r="R230" i="17"/>
  <c r="V178" i="17"/>
  <c r="AX279" i="17"/>
  <c r="M104" i="17"/>
  <c r="AA92" i="17"/>
  <c r="O16" i="17"/>
  <c r="X222" i="17"/>
  <c r="W190" i="17"/>
  <c r="N51" i="17"/>
  <c r="X216" i="17"/>
  <c r="AE77" i="17"/>
  <c r="AQ107" i="17"/>
  <c r="AO35" i="17"/>
  <c r="AZ181" i="17"/>
  <c r="AJ99" i="17"/>
  <c r="U63" i="17"/>
  <c r="AN275" i="17"/>
  <c r="AP146" i="17"/>
  <c r="AU73" i="17"/>
  <c r="X262" i="17"/>
  <c r="AK126" i="17"/>
  <c r="AC266" i="17"/>
  <c r="AD129" i="17"/>
  <c r="AP283" i="17"/>
  <c r="O280" i="17"/>
  <c r="AF6" i="17"/>
  <c r="N14" i="17"/>
  <c r="Z167" i="17"/>
  <c r="AQ263" i="17"/>
  <c r="AW212" i="17"/>
  <c r="G53" i="17"/>
  <c r="H212" i="17"/>
  <c r="P30" i="17"/>
  <c r="AT57" i="17"/>
  <c r="AD255" i="17"/>
  <c r="D271" i="17"/>
  <c r="AF237" i="17"/>
  <c r="X287" i="17"/>
  <c r="AR26" i="17"/>
  <c r="AN45" i="17"/>
  <c r="S251" i="17"/>
  <c r="Y121" i="17"/>
  <c r="AM115" i="17"/>
  <c r="V210" i="17"/>
  <c r="AO14" i="17"/>
  <c r="X137" i="17"/>
  <c r="AX257" i="17"/>
  <c r="S233" i="17"/>
  <c r="W14" i="17"/>
  <c r="P78" i="17"/>
  <c r="R186" i="17"/>
  <c r="V70" i="17"/>
  <c r="J22" i="17"/>
  <c r="AM143" i="17"/>
  <c r="AK177" i="17"/>
  <c r="AJ276" i="17"/>
  <c r="AO149" i="17"/>
  <c r="F215" i="17"/>
  <c r="Q296" i="17"/>
  <c r="AP107" i="17"/>
  <c r="AS57" i="17"/>
  <c r="J136" i="17"/>
  <c r="D18" i="17"/>
  <c r="L230" i="17"/>
  <c r="D232" i="17"/>
  <c r="AQ262" i="17"/>
  <c r="AH66" i="17"/>
  <c r="X261" i="17"/>
  <c r="AJ209" i="17"/>
  <c r="BA180" i="17"/>
  <c r="AD240" i="17"/>
  <c r="AY65" i="17"/>
  <c r="AB257" i="17"/>
  <c r="AF183" i="17"/>
  <c r="O21" i="17"/>
  <c r="AJ71" i="17"/>
  <c r="H231" i="17"/>
  <c r="Z122" i="17"/>
  <c r="AZ323" i="17"/>
  <c r="AE228" i="17"/>
  <c r="AL122" i="17"/>
  <c r="AG199" i="17"/>
  <c r="AC287" i="17"/>
  <c r="AN102" i="17"/>
  <c r="G93" i="17"/>
  <c r="BA16" i="17"/>
  <c r="I122" i="17"/>
  <c r="AZ297" i="17"/>
  <c r="AC6" i="17"/>
  <c r="AH61" i="17"/>
  <c r="P67" i="17"/>
  <c r="AD96" i="17"/>
  <c r="AK98" i="17"/>
  <c r="BA250" i="17"/>
  <c r="I204" i="17"/>
  <c r="J7" i="17"/>
  <c r="D161" i="17"/>
  <c r="L177" i="17"/>
  <c r="F120" i="17"/>
  <c r="AL170" i="17"/>
  <c r="AS226" i="17"/>
  <c r="AA179" i="17"/>
  <c r="H271" i="17"/>
  <c r="AD290" i="17"/>
  <c r="AY46" i="17"/>
  <c r="H269" i="17"/>
  <c r="I32" i="17"/>
  <c r="T226" i="17"/>
  <c r="W269" i="17"/>
  <c r="Z41" i="17"/>
  <c r="T170" i="17"/>
  <c r="E180" i="17"/>
  <c r="L244" i="17"/>
  <c r="AG198" i="17"/>
  <c r="AI271" i="17"/>
  <c r="AH282" i="17"/>
  <c r="G215" i="17"/>
  <c r="AJ220" i="17"/>
  <c r="AN188" i="17"/>
  <c r="AF229" i="17"/>
  <c r="L205" i="17"/>
  <c r="AF51" i="17"/>
  <c r="AS18" i="17"/>
  <c r="AT153" i="17"/>
  <c r="F182" i="17"/>
  <c r="Q27" i="17"/>
  <c r="AO216" i="17"/>
  <c r="Z47" i="17"/>
  <c r="W220" i="17"/>
  <c r="Q118" i="17"/>
  <c r="AF180" i="17"/>
  <c r="AP130" i="17"/>
  <c r="AK112" i="17"/>
  <c r="G107" i="17"/>
  <c r="AF234" i="17"/>
  <c r="J313" i="17"/>
  <c r="W28" i="17"/>
  <c r="AP191" i="17"/>
  <c r="AO124" i="17"/>
  <c r="AB70" i="17"/>
  <c r="N312" i="17"/>
  <c r="AE148" i="17"/>
  <c r="AY237" i="17"/>
  <c r="AR272" i="17"/>
  <c r="O85" i="17"/>
  <c r="AJ170" i="17"/>
  <c r="J202" i="17"/>
  <c r="AC254" i="17"/>
  <c r="L108" i="17"/>
  <c r="AE198" i="17"/>
  <c r="K2" i="17"/>
  <c r="Y298" i="17"/>
  <c r="AM12" i="17"/>
  <c r="AS63" i="17"/>
  <c r="J71" i="17"/>
  <c r="S123" i="17"/>
  <c r="K225" i="17"/>
  <c r="G301" i="17"/>
  <c r="AI187" i="17"/>
  <c r="AC36" i="17"/>
  <c r="AI264" i="17"/>
  <c r="AB56" i="17"/>
  <c r="AH259" i="17"/>
  <c r="AS271" i="17"/>
  <c r="G47" i="17"/>
  <c r="W110" i="17"/>
  <c r="AA274" i="17"/>
  <c r="AS152" i="17"/>
  <c r="AZ280" i="17"/>
  <c r="AZ119" i="17"/>
  <c r="E193" i="17"/>
  <c r="AC244" i="17"/>
  <c r="K176" i="17"/>
  <c r="AX147" i="17"/>
  <c r="AN229" i="17"/>
  <c r="AE22" i="17"/>
  <c r="J70" i="17"/>
  <c r="E265" i="17"/>
  <c r="P53" i="17"/>
  <c r="AW189" i="17"/>
  <c r="L93" i="17"/>
  <c r="E6" i="17"/>
  <c r="L137" i="17"/>
  <c r="AC166" i="17"/>
  <c r="AI226" i="17"/>
  <c r="AN10" i="17"/>
  <c r="Y119" i="17"/>
  <c r="G35" i="17"/>
  <c r="R16" i="17"/>
  <c r="AU58" i="17"/>
  <c r="AK131" i="17"/>
  <c r="AC130" i="17"/>
  <c r="AI145" i="17"/>
  <c r="AN92" i="17"/>
  <c r="Q216" i="17"/>
  <c r="F159" i="17"/>
  <c r="G136" i="17"/>
  <c r="X316" i="17"/>
  <c r="G43" i="17"/>
  <c r="AN114" i="17"/>
  <c r="AZ285" i="17"/>
  <c r="AF52" i="17"/>
  <c r="AX284" i="17"/>
  <c r="T262" i="17"/>
  <c r="AE262" i="17"/>
  <c r="E101" i="17"/>
  <c r="V49" i="17"/>
  <c r="R313" i="17"/>
  <c r="T48" i="17"/>
  <c r="L237" i="17"/>
  <c r="AY126" i="17"/>
  <c r="AM191" i="17"/>
  <c r="AB58" i="17"/>
  <c r="AN35" i="17"/>
  <c r="AC67" i="17"/>
  <c r="U134" i="17"/>
  <c r="Z107" i="17"/>
  <c r="Z124" i="17"/>
  <c r="P206" i="17"/>
  <c r="AE104" i="17"/>
  <c r="F162" i="17"/>
  <c r="R247" i="17"/>
  <c r="AC9" i="17"/>
  <c r="N13" i="17"/>
  <c r="AD151" i="17"/>
  <c r="AP270" i="17"/>
  <c r="AT146" i="17"/>
  <c r="F143" i="17"/>
  <c r="BA122" i="17"/>
  <c r="AF119" i="17"/>
  <c r="AZ89" i="17"/>
  <c r="AN150" i="17"/>
  <c r="AX89" i="17"/>
  <c r="AR94" i="17"/>
  <c r="I281" i="17"/>
  <c r="AQ16" i="17"/>
  <c r="AB111" i="17"/>
  <c r="AM255" i="17"/>
  <c r="AS44" i="17"/>
  <c r="AG121" i="17"/>
  <c r="E38" i="17"/>
  <c r="AR156" i="17"/>
  <c r="AC88" i="17"/>
  <c r="D168" i="17"/>
  <c r="Q23" i="17"/>
  <c r="F13" i="17"/>
  <c r="AS5" i="17"/>
  <c r="AO164" i="17"/>
  <c r="AU259" i="17"/>
  <c r="AY256" i="17"/>
  <c r="AA9" i="17"/>
  <c r="K112" i="17"/>
  <c r="AV250" i="17"/>
  <c r="O174" i="17"/>
  <c r="AR197" i="17"/>
  <c r="G225" i="17"/>
  <c r="AK111" i="17"/>
  <c r="AE157" i="17"/>
  <c r="W51" i="17"/>
  <c r="AD291" i="17"/>
  <c r="AL249" i="17"/>
  <c r="AA182" i="17"/>
  <c r="O39" i="17"/>
  <c r="S46" i="17"/>
  <c r="AF96" i="17"/>
  <c r="AV59" i="17"/>
  <c r="L209" i="17"/>
  <c r="V27" i="17"/>
  <c r="AL43" i="17"/>
  <c r="Y238" i="17"/>
  <c r="AC223" i="17"/>
  <c r="AS43" i="17"/>
  <c r="M88" i="17"/>
  <c r="O274" i="17"/>
  <c r="S197" i="17"/>
  <c r="K22" i="17"/>
  <c r="J81" i="17"/>
  <c r="H294" i="17"/>
  <c r="AI212" i="17"/>
  <c r="S188" i="17"/>
  <c r="F84" i="17"/>
  <c r="AA252" i="17"/>
  <c r="AC301" i="17"/>
  <c r="AH191" i="17"/>
  <c r="AJ253" i="17"/>
  <c r="L272" i="17"/>
  <c r="L37" i="17"/>
  <c r="AE39" i="17"/>
  <c r="AO131" i="17"/>
  <c r="AU211" i="17"/>
  <c r="AR6" i="17"/>
  <c r="AO296" i="17"/>
  <c r="AX193" i="17"/>
  <c r="AR218" i="17"/>
  <c r="AG158" i="17"/>
  <c r="AW151" i="17"/>
  <c r="AN214" i="17"/>
  <c r="AX80" i="17"/>
  <c r="M215" i="17"/>
  <c r="Z161" i="17"/>
  <c r="AA39" i="17"/>
  <c r="AR62" i="17"/>
  <c r="N26" i="17"/>
  <c r="F101" i="17"/>
  <c r="V34" i="17"/>
  <c r="AN157" i="17"/>
  <c r="T137" i="17"/>
  <c r="AL48" i="17"/>
  <c r="AB63" i="17"/>
  <c r="AU9" i="17"/>
  <c r="X122" i="17"/>
  <c r="AB160" i="17"/>
  <c r="AZ301" i="17"/>
  <c r="T202" i="17"/>
  <c r="AE285" i="17"/>
  <c r="AJ34" i="17"/>
  <c r="AT12" i="17"/>
  <c r="AQ49" i="17"/>
  <c r="F280" i="17"/>
  <c r="AO228" i="17"/>
  <c r="L26" i="17"/>
  <c r="J199" i="17"/>
  <c r="BA120" i="17"/>
  <c r="L120" i="17"/>
  <c r="AK193" i="17"/>
  <c r="AF273" i="17"/>
  <c r="AQ98" i="17"/>
  <c r="E142" i="17"/>
  <c r="Z120" i="17"/>
  <c r="Q264" i="17"/>
  <c r="AV114" i="17"/>
  <c r="AT124" i="17"/>
  <c r="AH57" i="17"/>
  <c r="AD61" i="17"/>
  <c r="AH142" i="17"/>
  <c r="W312" i="17"/>
  <c r="Q99" i="17"/>
  <c r="AB162" i="17"/>
  <c r="U223" i="17"/>
  <c r="AB135" i="17"/>
  <c r="AX37" i="17"/>
  <c r="V248" i="17"/>
  <c r="N3" i="17"/>
  <c r="AX118" i="17"/>
  <c r="AJ111" i="17"/>
  <c r="AX237" i="17"/>
  <c r="N129" i="17"/>
  <c r="BA121" i="17"/>
  <c r="AX122" i="17"/>
  <c r="AM54" i="17"/>
  <c r="AM165" i="17"/>
  <c r="BA272" i="17"/>
  <c r="AH210" i="17"/>
  <c r="AZ175" i="17"/>
  <c r="AI206" i="17"/>
  <c r="AG69" i="17"/>
  <c r="Z267" i="17"/>
  <c r="Y129" i="17"/>
  <c r="AB51" i="17"/>
  <c r="F277" i="17"/>
  <c r="AS179" i="17"/>
  <c r="AQ143" i="17"/>
  <c r="AL236" i="17"/>
  <c r="AZ87" i="17"/>
  <c r="AE4" i="17"/>
  <c r="AR243" i="17"/>
  <c r="O91" i="17"/>
  <c r="F199" i="17"/>
  <c r="AZ130" i="17"/>
  <c r="AH98" i="17"/>
  <c r="L154" i="17"/>
  <c r="O58" i="17"/>
  <c r="P209" i="17"/>
  <c r="AS248" i="17"/>
  <c r="AB57" i="17"/>
  <c r="AT263" i="17"/>
  <c r="S112" i="17"/>
  <c r="AO205" i="17"/>
  <c r="AD47" i="17"/>
  <c r="S155" i="17"/>
  <c r="AM158" i="17"/>
  <c r="AX209" i="17"/>
  <c r="AZ292" i="17"/>
  <c r="AU268" i="17"/>
  <c r="AK191" i="17"/>
  <c r="W67" i="17"/>
  <c r="AF28" i="17"/>
  <c r="AN144" i="17"/>
  <c r="S178" i="17"/>
  <c r="AW100" i="17"/>
  <c r="Y96" i="17"/>
  <c r="AB231" i="17"/>
  <c r="AV126" i="17"/>
  <c r="AN87" i="17"/>
  <c r="AM210" i="17"/>
  <c r="AM154" i="17"/>
  <c r="AK316" i="17"/>
  <c r="X138" i="17"/>
  <c r="S316" i="17"/>
  <c r="AC237" i="17"/>
  <c r="G6" i="17"/>
  <c r="U103" i="17"/>
  <c r="AD18" i="17"/>
  <c r="U9" i="17"/>
  <c r="AP202" i="17"/>
  <c r="AD3" i="17"/>
  <c r="E201" i="17"/>
  <c r="AC208" i="17"/>
  <c r="K132" i="17"/>
  <c r="AL229" i="17"/>
  <c r="AQ245" i="17"/>
  <c r="AB41" i="17"/>
  <c r="AW45" i="17"/>
  <c r="AO132" i="17"/>
  <c r="T84" i="17"/>
  <c r="AW160" i="17"/>
  <c r="AU239" i="17"/>
  <c r="E290" i="17"/>
  <c r="N87" i="17"/>
  <c r="AI173" i="17"/>
  <c r="AZ155" i="17"/>
  <c r="AV167" i="17"/>
  <c r="AC31" i="17"/>
  <c r="R130" i="17"/>
  <c r="R233" i="17"/>
  <c r="S293" i="17"/>
  <c r="AX34" i="17"/>
  <c r="M260" i="17"/>
  <c r="M180" i="17"/>
  <c r="L60" i="17"/>
  <c r="R29" i="17"/>
  <c r="H121" i="17"/>
  <c r="AE28" i="17"/>
  <c r="E154" i="17"/>
  <c r="AV22" i="17"/>
  <c r="AR109" i="17"/>
  <c r="AL70" i="17"/>
  <c r="AM194" i="17"/>
  <c r="AV199" i="17"/>
  <c r="AU168" i="17"/>
  <c r="E104" i="17"/>
  <c r="Y101" i="17"/>
  <c r="AI195" i="17"/>
  <c r="AR247" i="17"/>
  <c r="AG68" i="17"/>
  <c r="AW96" i="17"/>
  <c r="J145" i="17"/>
  <c r="AV158" i="17"/>
  <c r="AA40" i="17"/>
  <c r="AI98" i="17"/>
  <c r="AE323" i="17"/>
  <c r="AD159" i="17"/>
  <c r="F289" i="17"/>
  <c r="AQ194" i="17"/>
  <c r="I88" i="17"/>
  <c r="AH208" i="17"/>
  <c r="Q198" i="17"/>
  <c r="T122" i="17"/>
  <c r="K307" i="17"/>
  <c r="AO191" i="17"/>
  <c r="AV160" i="17"/>
  <c r="Y20" i="17"/>
  <c r="I167" i="17"/>
  <c r="V279" i="17"/>
  <c r="P236" i="17"/>
  <c r="O236" i="17"/>
  <c r="Q84" i="17"/>
  <c r="BA254" i="17"/>
  <c r="E152" i="17"/>
  <c r="AM46" i="17"/>
  <c r="AM63" i="17"/>
  <c r="AV275" i="17"/>
  <c r="AM275" i="17"/>
  <c r="AX214" i="17"/>
  <c r="AZ105" i="17"/>
  <c r="AS178" i="17"/>
  <c r="AR213" i="17"/>
  <c r="AW217" i="17"/>
  <c r="AL199" i="17"/>
  <c r="AW204" i="17"/>
  <c r="AB60" i="17"/>
  <c r="AW114" i="17"/>
  <c r="F97" i="17"/>
  <c r="AP303" i="17"/>
  <c r="AI234" i="17"/>
  <c r="D167" i="17"/>
  <c r="V6" i="17"/>
  <c r="X8" i="17"/>
  <c r="AN42" i="17"/>
  <c r="AC263" i="17"/>
  <c r="M126" i="17"/>
  <c r="AZ23" i="17"/>
  <c r="V177" i="17"/>
  <c r="E54" i="17"/>
  <c r="AL77" i="17"/>
  <c r="T194" i="17"/>
  <c r="W8" i="17"/>
  <c r="P203" i="17"/>
  <c r="H113" i="17"/>
  <c r="E215" i="17"/>
  <c r="X260" i="17"/>
  <c r="AH288" i="17"/>
  <c r="AM29" i="17"/>
  <c r="AS220" i="17"/>
  <c r="U16" i="17"/>
  <c r="AV81" i="17"/>
  <c r="AA257" i="17"/>
  <c r="L306" i="17"/>
  <c r="AC210" i="17"/>
  <c r="AB191" i="17"/>
  <c r="L198" i="17"/>
  <c r="Y170" i="17"/>
  <c r="AY7" i="17"/>
  <c r="AM13" i="17"/>
  <c r="AW116" i="17"/>
  <c r="AW181" i="17"/>
  <c r="F288" i="17"/>
  <c r="AH225" i="17"/>
  <c r="J47" i="17"/>
  <c r="AD69" i="17"/>
  <c r="AF140" i="17"/>
  <c r="AK285" i="17"/>
  <c r="AO112" i="17"/>
  <c r="AD42" i="17"/>
  <c r="J61" i="17"/>
  <c r="S275" i="17"/>
  <c r="AX52" i="17"/>
  <c r="AI182" i="17"/>
  <c r="S171" i="17"/>
  <c r="AN233" i="17"/>
  <c r="H235" i="17"/>
  <c r="AW228" i="17"/>
  <c r="M13" i="17"/>
  <c r="M248" i="17"/>
  <c r="AT261" i="17"/>
  <c r="AW256" i="17"/>
  <c r="AD85" i="17"/>
  <c r="AS159" i="17"/>
  <c r="AH244" i="17"/>
  <c r="H134" i="17"/>
  <c r="M25" i="17"/>
  <c r="O259" i="17"/>
  <c r="AW215" i="17"/>
  <c r="BA207" i="17"/>
  <c r="AP96" i="17"/>
  <c r="AQ235" i="17"/>
  <c r="AB164" i="17"/>
  <c r="D62" i="17"/>
  <c r="M20" i="17"/>
  <c r="AG111" i="17"/>
  <c r="U176" i="17"/>
  <c r="AC273" i="17"/>
  <c r="AX130" i="17"/>
  <c r="T224" i="17"/>
  <c r="AD6" i="17"/>
  <c r="O175" i="17"/>
  <c r="AX217" i="17"/>
  <c r="W217" i="17"/>
  <c r="J151" i="17"/>
  <c r="AJ10" i="17"/>
  <c r="AJ52" i="17"/>
  <c r="AD286" i="17"/>
  <c r="D41" i="17"/>
  <c r="AB249" i="17"/>
  <c r="AH90" i="17"/>
  <c r="AE152" i="17"/>
  <c r="S75" i="17"/>
  <c r="P77" i="17"/>
  <c r="AD221" i="17"/>
  <c r="M142" i="17"/>
  <c r="Q171" i="17"/>
  <c r="AJ122" i="17"/>
  <c r="H65" i="17"/>
  <c r="V33" i="17"/>
  <c r="AO135" i="17"/>
  <c r="U314" i="17"/>
  <c r="AR100" i="17"/>
  <c r="AO99" i="17"/>
  <c r="AB24" i="17"/>
  <c r="U172" i="17"/>
  <c r="AK127" i="17"/>
  <c r="AQ33" i="17"/>
  <c r="Q267" i="17"/>
  <c r="AJ282" i="17"/>
  <c r="V280" i="17"/>
  <c r="AP173" i="17"/>
  <c r="AX68" i="17"/>
  <c r="Q203" i="17"/>
  <c r="AZ243" i="17"/>
  <c r="AE261" i="17"/>
  <c r="P285" i="17"/>
  <c r="AM98" i="17"/>
  <c r="Z289" i="17"/>
  <c r="J73" i="17"/>
  <c r="F191" i="17"/>
  <c r="BA40" i="17"/>
  <c r="D88" i="17"/>
  <c r="AE217" i="17"/>
  <c r="M217" i="17"/>
  <c r="AS162" i="17"/>
  <c r="Q127" i="17"/>
  <c r="Z40" i="17"/>
  <c r="AH91" i="17"/>
  <c r="V32" i="17"/>
  <c r="AU125" i="17"/>
  <c r="X118" i="17"/>
  <c r="O150" i="17"/>
  <c r="AW207" i="17"/>
  <c r="F236" i="17"/>
  <c r="F217" i="17"/>
  <c r="AD213" i="17"/>
  <c r="H287" i="17"/>
  <c r="J43" i="17"/>
  <c r="BA144" i="17"/>
  <c r="L303" i="17"/>
  <c r="S254" i="17"/>
  <c r="Q128" i="17"/>
  <c r="Q192" i="17"/>
  <c r="I245" i="17"/>
  <c r="AC291" i="17"/>
  <c r="AV85" i="17"/>
  <c r="J6" i="17"/>
  <c r="K123" i="17"/>
  <c r="N27" i="17"/>
  <c r="AH8" i="17"/>
  <c r="S102" i="17"/>
  <c r="V230" i="17"/>
  <c r="AV24" i="17"/>
  <c r="AM56" i="17"/>
  <c r="AL123" i="17"/>
  <c r="R161" i="17"/>
  <c r="AU6" i="17"/>
  <c r="AJ232" i="17"/>
  <c r="AA206" i="17"/>
  <c r="O204" i="17"/>
  <c r="Q94" i="17"/>
  <c r="D145" i="17"/>
  <c r="AZ291" i="17"/>
  <c r="AQ25" i="17"/>
  <c r="AH24" i="17"/>
  <c r="Y40" i="17"/>
  <c r="AA6" i="17"/>
  <c r="AD170" i="17"/>
  <c r="R116" i="17"/>
  <c r="AV220" i="17"/>
  <c r="J56" i="17"/>
  <c r="D16" i="17"/>
  <c r="Z29" i="17"/>
  <c r="AZ219" i="17"/>
  <c r="J20" i="17"/>
  <c r="AF211" i="17"/>
  <c r="U44" i="17"/>
  <c r="E83" i="17"/>
  <c r="S262" i="17"/>
  <c r="AL174" i="17"/>
  <c r="L35" i="17"/>
  <c r="AJ114" i="17"/>
  <c r="Y145" i="17"/>
  <c r="AA141" i="17"/>
  <c r="AK235" i="17"/>
  <c r="AX171" i="17"/>
  <c r="I67" i="17"/>
  <c r="Z164" i="17"/>
  <c r="AQ137" i="17"/>
  <c r="AW191" i="17"/>
  <c r="T85" i="17"/>
  <c r="AP276" i="17"/>
  <c r="M225" i="17"/>
  <c r="AB177" i="17"/>
  <c r="AH93" i="17"/>
  <c r="AH204" i="17"/>
  <c r="AM200" i="17"/>
  <c r="AI299" i="17"/>
  <c r="AT18" i="17"/>
  <c r="AO222" i="17"/>
  <c r="AU201" i="17"/>
  <c r="AF294" i="17"/>
  <c r="AT236" i="17"/>
  <c r="AW214" i="17"/>
  <c r="G233" i="17"/>
  <c r="X32" i="17"/>
  <c r="AF217" i="17"/>
  <c r="I224" i="17"/>
  <c r="U37" i="17"/>
  <c r="K187" i="17"/>
  <c r="AM265" i="17"/>
  <c r="AK186" i="17"/>
  <c r="AM151" i="17"/>
  <c r="W176" i="17"/>
  <c r="AJ183" i="17"/>
  <c r="AZ25" i="17"/>
  <c r="AT157" i="17"/>
  <c r="L162" i="17"/>
  <c r="Q75" i="17"/>
  <c r="AA192" i="17"/>
  <c r="L125" i="17"/>
  <c r="AD77" i="17"/>
  <c r="AW3" i="17"/>
  <c r="I208" i="17"/>
  <c r="AO13" i="17"/>
  <c r="Q86" i="17"/>
  <c r="V168" i="17"/>
  <c r="AA48" i="17"/>
  <c r="AS95" i="17"/>
  <c r="AI57" i="17"/>
  <c r="X38" i="17"/>
  <c r="AQ206" i="17"/>
  <c r="O67" i="17"/>
  <c r="I135" i="17"/>
  <c r="X22" i="17"/>
  <c r="AQ117" i="17"/>
  <c r="J169" i="17"/>
  <c r="M227" i="17"/>
  <c r="R106" i="17"/>
  <c r="AR219" i="17"/>
  <c r="AL113" i="17"/>
  <c r="T179" i="17"/>
  <c r="G175" i="17"/>
  <c r="K286" i="17"/>
  <c r="L157" i="17"/>
  <c r="AS59" i="17"/>
  <c r="AF90" i="17"/>
  <c r="AB299" i="17"/>
  <c r="AK91" i="17"/>
  <c r="AL73" i="17"/>
  <c r="AU135" i="17"/>
  <c r="AI244" i="17"/>
  <c r="L254" i="17"/>
  <c r="W196" i="17"/>
  <c r="E235" i="17"/>
  <c r="AG64" i="17"/>
  <c r="O128" i="17"/>
  <c r="AF194" i="17"/>
  <c r="AP127" i="17"/>
  <c r="D234" i="17"/>
  <c r="BA165" i="17"/>
  <c r="AE57" i="17"/>
  <c r="V44" i="17"/>
  <c r="Z300" i="17"/>
  <c r="N124" i="17"/>
  <c r="V54" i="17"/>
  <c r="I54" i="17"/>
  <c r="AH224" i="17"/>
  <c r="AA56" i="17"/>
  <c r="AO52" i="17"/>
  <c r="AR47" i="17"/>
  <c r="I218" i="17"/>
  <c r="AN56" i="17"/>
  <c r="N171" i="17"/>
  <c r="S32" i="17"/>
  <c r="H282" i="17"/>
  <c r="AA33" i="17"/>
  <c r="Y183" i="17"/>
  <c r="AL282" i="17"/>
  <c r="L239" i="17"/>
  <c r="P15" i="17"/>
  <c r="AI167" i="17"/>
  <c r="AH199" i="17"/>
  <c r="AK298" i="17"/>
  <c r="R195" i="17"/>
  <c r="G40" i="17"/>
  <c r="AV255" i="17"/>
  <c r="M77" i="17"/>
  <c r="G189" i="17"/>
  <c r="AA169" i="17"/>
  <c r="R42" i="17"/>
  <c r="O99" i="17"/>
  <c r="AL255" i="17"/>
  <c r="J271" i="17"/>
  <c r="AI27" i="17"/>
  <c r="BA284" i="17"/>
  <c r="N55" i="17"/>
  <c r="F241" i="17"/>
  <c r="T263" i="17"/>
  <c r="AR168" i="17"/>
  <c r="D286" i="17"/>
  <c r="H224" i="17"/>
  <c r="AW59" i="17"/>
  <c r="E183" i="17"/>
  <c r="AQ227" i="17"/>
  <c r="AM126" i="17"/>
  <c r="P239" i="17"/>
  <c r="AG185" i="17"/>
  <c r="V64" i="17"/>
  <c r="AH49" i="17"/>
  <c r="W242" i="17"/>
  <c r="AM276" i="17"/>
  <c r="AZ96" i="17"/>
  <c r="AT174" i="17"/>
  <c r="I33" i="17"/>
  <c r="D284" i="17"/>
  <c r="N126" i="17"/>
  <c r="AN13" i="17"/>
  <c r="AI311" i="17"/>
  <c r="AD226" i="17"/>
  <c r="R248" i="17"/>
  <c r="T190" i="17"/>
  <c r="W232" i="17"/>
  <c r="P26" i="17"/>
  <c r="AD108" i="17"/>
  <c r="V179" i="17"/>
  <c r="AC284" i="17"/>
  <c r="AP263" i="17"/>
  <c r="F2" i="17"/>
  <c r="AE204" i="17"/>
  <c r="AR15" i="17"/>
  <c r="K6" i="17"/>
  <c r="K212" i="17"/>
  <c r="AQ77" i="17"/>
  <c r="L168" i="17"/>
  <c r="AS56" i="17"/>
  <c r="AN67" i="17"/>
  <c r="D139" i="17"/>
  <c r="T63" i="17"/>
  <c r="AU63" i="17"/>
  <c r="H194" i="17"/>
  <c r="F276" i="17"/>
  <c r="AX212" i="17"/>
  <c r="G257" i="17"/>
  <c r="AX44" i="17"/>
  <c r="N214" i="17"/>
  <c r="AF173" i="17"/>
  <c r="AH167" i="17"/>
  <c r="X56" i="17"/>
  <c r="Z104" i="17"/>
  <c r="AY253" i="17"/>
  <c r="AU21" i="17"/>
  <c r="AG318" i="17"/>
  <c r="AV62" i="17"/>
  <c r="AH80" i="17"/>
  <c r="AT190" i="17"/>
  <c r="E117" i="17"/>
  <c r="AO204" i="17"/>
  <c r="X113" i="17"/>
  <c r="AR223" i="17"/>
  <c r="AQ286" i="17"/>
  <c r="AN294" i="17"/>
  <c r="AM61" i="17"/>
  <c r="Y211" i="17"/>
  <c r="AZ172" i="17"/>
  <c r="AP272" i="17"/>
  <c r="AK157" i="17"/>
  <c r="AV15" i="17"/>
  <c r="BA191" i="17"/>
  <c r="W318" i="17"/>
  <c r="F55" i="17"/>
  <c r="AP174" i="17"/>
  <c r="AI203" i="17"/>
  <c r="AV35" i="17"/>
  <c r="AP45" i="17"/>
  <c r="G38" i="17"/>
  <c r="P127" i="17"/>
  <c r="D13" i="17"/>
  <c r="AX19" i="17"/>
  <c r="AP22" i="17"/>
  <c r="AG271" i="17"/>
  <c r="R219" i="17"/>
  <c r="M53" i="17"/>
  <c r="AU228" i="17"/>
  <c r="N268" i="17"/>
  <c r="AD183" i="17"/>
  <c r="M40" i="17"/>
  <c r="W106" i="17"/>
  <c r="AD133" i="17"/>
  <c r="L12" i="17"/>
  <c r="Z93" i="17"/>
  <c r="S257" i="17"/>
  <c r="M17" i="17"/>
  <c r="R44" i="17"/>
  <c r="AP322" i="17"/>
  <c r="AK222" i="17"/>
  <c r="AU166" i="17"/>
  <c r="AT59" i="17"/>
  <c r="BA203" i="17"/>
  <c r="F237" i="17"/>
  <c r="H246" i="17"/>
  <c r="AP109" i="17"/>
  <c r="K32" i="17"/>
  <c r="AT11" i="17"/>
  <c r="AG47" i="17"/>
  <c r="O310" i="17"/>
  <c r="AU262" i="17"/>
  <c r="T12" i="17"/>
  <c r="BA148" i="17"/>
  <c r="AB28" i="17"/>
  <c r="AW176" i="17"/>
  <c r="AG166" i="17"/>
  <c r="AS181" i="17"/>
  <c r="L156" i="17"/>
  <c r="S106" i="17"/>
  <c r="AP64" i="17"/>
  <c r="AH209" i="17"/>
  <c r="AG103" i="17"/>
  <c r="N24" i="17"/>
  <c r="AX112" i="17"/>
  <c r="AK62" i="17"/>
  <c r="H255" i="17"/>
  <c r="AI209" i="17"/>
  <c r="L302" i="17"/>
  <c r="Z260" i="17"/>
  <c r="G270" i="17"/>
  <c r="AS116" i="17"/>
  <c r="AZ273" i="17"/>
  <c r="J26" i="17"/>
  <c r="J116" i="17"/>
  <c r="N8" i="17"/>
  <c r="R206" i="17"/>
  <c r="AF155" i="17"/>
  <c r="K147" i="17"/>
  <c r="Q49" i="17"/>
  <c r="AL274" i="17"/>
  <c r="AJ94" i="17"/>
  <c r="AN62" i="17"/>
  <c r="J78" i="17"/>
  <c r="AB35" i="17"/>
  <c r="N143" i="17"/>
  <c r="AD33" i="17"/>
  <c r="AO190" i="17"/>
  <c r="AF133" i="17"/>
  <c r="AL165" i="17"/>
  <c r="Z152" i="17"/>
  <c r="AX125" i="17"/>
  <c r="AY205" i="17"/>
  <c r="AJ13" i="17"/>
  <c r="AG135" i="17"/>
  <c r="AV17" i="17"/>
  <c r="D59" i="17"/>
  <c r="AV100" i="17"/>
  <c r="W187" i="17"/>
  <c r="AX240" i="17"/>
  <c r="AW272" i="17"/>
  <c r="AP98" i="17"/>
  <c r="S271" i="17"/>
  <c r="E3" i="17"/>
  <c r="AH83" i="17"/>
  <c r="AH81" i="17"/>
  <c r="BA273" i="17"/>
  <c r="AY51" i="17"/>
  <c r="L149" i="17"/>
  <c r="AF16" i="17"/>
  <c r="AQ129" i="17"/>
  <c r="AN244" i="17"/>
  <c r="D58" i="17"/>
  <c r="V109" i="17"/>
  <c r="K163" i="17"/>
  <c r="AN296" i="17"/>
  <c r="AQ75" i="17"/>
  <c r="T45" i="17"/>
  <c r="N314" i="17"/>
  <c r="AT35" i="17"/>
  <c r="AS182" i="17"/>
  <c r="AR195" i="17"/>
  <c r="AS51" i="17"/>
  <c r="W122" i="17"/>
  <c r="H117" i="17"/>
  <c r="AS263" i="17"/>
  <c r="AP133" i="17"/>
  <c r="R239" i="17"/>
  <c r="Z139" i="17"/>
  <c r="AX87" i="17"/>
  <c r="AQ61" i="17"/>
  <c r="S134" i="17"/>
  <c r="AB23" i="17"/>
  <c r="AI49" i="17"/>
  <c r="R101" i="17"/>
  <c r="H285" i="17"/>
  <c r="F27" i="17"/>
  <c r="F267" i="17"/>
  <c r="Q257" i="17"/>
  <c r="BA80" i="17"/>
  <c r="AZ120" i="17"/>
  <c r="G55" i="17"/>
  <c r="AT95" i="17"/>
  <c r="H199" i="17"/>
  <c r="AJ180" i="17"/>
  <c r="H10" i="17"/>
  <c r="D38" i="17"/>
  <c r="AB258" i="17"/>
  <c r="AU2" i="17"/>
  <c r="H93" i="17"/>
  <c r="Z196" i="17"/>
  <c r="F90" i="17"/>
  <c r="N34" i="17"/>
  <c r="AL41" i="17"/>
  <c r="I112" i="17"/>
  <c r="M19" i="17"/>
  <c r="AJ110" i="17"/>
  <c r="R46" i="17"/>
  <c r="O188" i="17"/>
  <c r="AB207" i="17"/>
  <c r="J60" i="17"/>
  <c r="AQ198" i="17"/>
  <c r="W93" i="17"/>
  <c r="AG157" i="17"/>
  <c r="AG189" i="17"/>
  <c r="AS238" i="17"/>
  <c r="U126" i="17"/>
  <c r="AC185" i="17"/>
  <c r="W21" i="17"/>
  <c r="D91" i="17"/>
  <c r="AW55" i="17"/>
  <c r="AQ205" i="17"/>
  <c r="M224" i="17"/>
  <c r="AN272" i="17"/>
  <c r="AV57" i="17"/>
  <c r="S220" i="17"/>
  <c r="AD52" i="17"/>
  <c r="J29" i="17"/>
  <c r="AH202" i="17"/>
  <c r="AF142" i="17"/>
  <c r="J238" i="17"/>
  <c r="X302" i="17"/>
  <c r="M166" i="17"/>
  <c r="AC106" i="17"/>
  <c r="AK8" i="17"/>
  <c r="X41" i="17"/>
  <c r="F190" i="17"/>
  <c r="D57" i="17"/>
  <c r="Z144" i="17"/>
  <c r="D119" i="17"/>
  <c r="AU22" i="17"/>
  <c r="N265" i="17"/>
  <c r="R270" i="17"/>
  <c r="AA283" i="17"/>
  <c r="BA84" i="17"/>
  <c r="R11" i="17"/>
  <c r="N121" i="17"/>
  <c r="P288" i="17"/>
  <c r="T236" i="17"/>
  <c r="Q239" i="17"/>
  <c r="AM38" i="17"/>
  <c r="AE254" i="17"/>
  <c r="AH242" i="17"/>
  <c r="P36" i="17"/>
  <c r="AE281" i="17"/>
  <c r="H142" i="17"/>
  <c r="AJ202" i="17"/>
  <c r="AB20" i="17"/>
  <c r="AF174" i="17"/>
  <c r="E113" i="17"/>
  <c r="AZ223" i="17"/>
  <c r="V124" i="17"/>
  <c r="Q181" i="17"/>
  <c r="H112" i="17"/>
  <c r="AP215" i="17"/>
  <c r="AY109" i="17"/>
  <c r="AW314" i="17"/>
  <c r="AA120" i="17"/>
  <c r="E245" i="17"/>
  <c r="F178" i="17"/>
  <c r="X69" i="17"/>
  <c r="G281" i="17"/>
  <c r="AW104" i="17"/>
  <c r="D115" i="17"/>
  <c r="K196" i="17"/>
  <c r="L106" i="17"/>
  <c r="R190" i="17"/>
  <c r="AT186" i="17"/>
  <c r="AM40" i="17"/>
  <c r="AX110" i="17"/>
  <c r="AE222" i="17"/>
  <c r="AD207" i="17"/>
  <c r="Z173" i="17"/>
  <c r="AN211" i="17"/>
  <c r="L103" i="17"/>
  <c r="X203" i="17"/>
  <c r="AZ262" i="17"/>
  <c r="AW150" i="17"/>
  <c r="AK254" i="17"/>
  <c r="AI73" i="17"/>
  <c r="N218" i="17"/>
  <c r="P7" i="17"/>
  <c r="AI191" i="17"/>
  <c r="AN197" i="17"/>
  <c r="AP226" i="17"/>
  <c r="AQ159" i="17"/>
  <c r="AQ208" i="17"/>
  <c r="AH316" i="17"/>
  <c r="U11" i="17"/>
  <c r="AE62" i="17"/>
  <c r="AG221" i="17"/>
  <c r="AG309" i="17"/>
  <c r="AZ64" i="17"/>
  <c r="L301" i="17"/>
  <c r="AT266" i="17"/>
  <c r="AG167" i="17"/>
  <c r="AU17" i="17"/>
  <c r="AZ65" i="17"/>
  <c r="AL135" i="17"/>
  <c r="AO137" i="17"/>
  <c r="AR259" i="17"/>
  <c r="AA32" i="17"/>
  <c r="K236" i="17"/>
  <c r="W39" i="17"/>
  <c r="Y71" i="17"/>
  <c r="G108" i="17"/>
  <c r="AZ274" i="17"/>
  <c r="L110" i="17"/>
  <c r="AC174" i="17"/>
  <c r="Q248" i="17"/>
  <c r="AQ197" i="17"/>
  <c r="AZ46" i="17"/>
  <c r="AC19" i="17"/>
  <c r="F94" i="17"/>
  <c r="AI93" i="17"/>
  <c r="R38" i="17"/>
  <c r="AQ133" i="17"/>
  <c r="AY141" i="17"/>
  <c r="AS17" i="17"/>
  <c r="AG37" i="17"/>
  <c r="S255" i="17"/>
  <c r="AC46" i="17"/>
  <c r="AK31" i="17"/>
  <c r="AD288" i="17"/>
  <c r="AO67" i="17"/>
  <c r="E242" i="17"/>
  <c r="AF206" i="17"/>
  <c r="Y249" i="17"/>
  <c r="V127" i="17"/>
  <c r="AM104" i="17"/>
  <c r="S23" i="17"/>
  <c r="AP154" i="17"/>
  <c r="AV128" i="17"/>
  <c r="D143" i="17"/>
  <c r="AM82" i="17"/>
  <c r="Z270" i="17"/>
  <c r="AM219" i="17"/>
  <c r="AE275" i="17"/>
  <c r="AZ49" i="17"/>
  <c r="N266" i="17"/>
  <c r="AQ100" i="17"/>
  <c r="I202" i="17"/>
  <c r="K44" i="17"/>
  <c r="AF27" i="17"/>
  <c r="AZ86" i="17"/>
  <c r="AU136" i="17"/>
  <c r="AX161" i="17"/>
  <c r="AA304" i="17"/>
  <c r="E206" i="17"/>
  <c r="AC165" i="17"/>
  <c r="AG33" i="17"/>
  <c r="AT9" i="17"/>
  <c r="AZ149" i="17"/>
  <c r="AC86" i="17"/>
  <c r="U251" i="17"/>
  <c r="F244" i="17"/>
  <c r="S135" i="17"/>
  <c r="T68" i="17"/>
  <c r="AR158" i="17"/>
  <c r="AL197" i="17"/>
  <c r="AD62" i="17"/>
  <c r="AY241" i="17"/>
  <c r="W90" i="17"/>
  <c r="Z316" i="17"/>
  <c r="AV171" i="17"/>
  <c r="AO157" i="17"/>
  <c r="AD22" i="17"/>
  <c r="AD54" i="17"/>
  <c r="AP253" i="17"/>
  <c r="K71" i="17"/>
  <c r="AQ144" i="17"/>
  <c r="U132" i="17"/>
  <c r="X7" i="17"/>
  <c r="AI121" i="17"/>
  <c r="AO101" i="17"/>
  <c r="J179" i="17"/>
  <c r="U271" i="17"/>
  <c r="AH168" i="17"/>
  <c r="AI225" i="17"/>
  <c r="S213" i="17"/>
  <c r="V134" i="17"/>
  <c r="T242" i="17"/>
  <c r="M188" i="17"/>
  <c r="AD17" i="17"/>
  <c r="V273" i="17"/>
  <c r="T178" i="17"/>
  <c r="AE90" i="17"/>
  <c r="AV89" i="17"/>
  <c r="AS197" i="17"/>
  <c r="P279" i="17"/>
  <c r="G130" i="17"/>
  <c r="AX256" i="17"/>
  <c r="T173" i="17"/>
  <c r="L153" i="17"/>
  <c r="AS71" i="17"/>
  <c r="AA142" i="17"/>
  <c r="Q90" i="17"/>
  <c r="T140" i="17"/>
  <c r="J30" i="17"/>
  <c r="AA236" i="17"/>
  <c r="AJ3" i="17"/>
  <c r="BA236" i="17"/>
  <c r="AR127" i="17"/>
  <c r="AQ165" i="17"/>
  <c r="E43" i="17"/>
  <c r="AM303" i="17"/>
  <c r="AF88" i="17"/>
  <c r="T206" i="17"/>
  <c r="AF56" i="17"/>
  <c r="AJ196" i="17"/>
  <c r="AO165" i="17"/>
  <c r="AG134" i="17"/>
  <c r="AO249" i="17"/>
  <c r="AG132" i="17"/>
  <c r="L221" i="17"/>
  <c r="K161" i="17"/>
  <c r="K61" i="17"/>
  <c r="N57" i="17"/>
  <c r="AH144" i="17"/>
  <c r="AU260" i="17"/>
  <c r="P202" i="17"/>
  <c r="O194" i="17"/>
  <c r="D253" i="17"/>
  <c r="AM24" i="17"/>
  <c r="V111" i="17"/>
  <c r="W17" i="17"/>
  <c r="AX282" i="17"/>
  <c r="AT212" i="17"/>
  <c r="AS61" i="17"/>
  <c r="AL194" i="17"/>
  <c r="AY263" i="17"/>
  <c r="AC20" i="17"/>
  <c r="AB31" i="17"/>
  <c r="D256" i="17"/>
  <c r="T38" i="17"/>
  <c r="AE79" i="17"/>
  <c r="AR4" i="17"/>
  <c r="Z52" i="17"/>
  <c r="AY84" i="17"/>
  <c r="AW97" i="17"/>
  <c r="BA124" i="17"/>
  <c r="AV6" i="17"/>
  <c r="V293" i="17"/>
  <c r="S226" i="17"/>
  <c r="AF46" i="17"/>
  <c r="AU281" i="17"/>
  <c r="O170" i="17"/>
  <c r="AN177" i="17"/>
  <c r="Q88" i="17"/>
  <c r="D128" i="17"/>
  <c r="G223" i="17"/>
  <c r="X158" i="17"/>
  <c r="F75" i="17"/>
  <c r="T260" i="17"/>
  <c r="F222" i="17"/>
  <c r="D68" i="17"/>
  <c r="W76" i="17"/>
  <c r="AY101" i="17"/>
  <c r="AC289" i="17"/>
  <c r="I44" i="17"/>
  <c r="J69" i="17"/>
  <c r="AW270" i="17"/>
  <c r="D97" i="17"/>
  <c r="AR36" i="17"/>
  <c r="X300" i="17"/>
  <c r="K255" i="17"/>
  <c r="AY264" i="17"/>
  <c r="AA189" i="17"/>
  <c r="AA250" i="17"/>
  <c r="AV50" i="17"/>
  <c r="AU286" i="17"/>
  <c r="W179" i="17"/>
  <c r="AE85" i="17"/>
  <c r="U149" i="17"/>
  <c r="K201" i="17"/>
  <c r="AI59" i="17"/>
  <c r="AJ90" i="17"/>
  <c r="X299" i="17"/>
  <c r="D219" i="17"/>
  <c r="AX261" i="17"/>
  <c r="R232" i="17"/>
  <c r="L90" i="17"/>
  <c r="AT166" i="17"/>
  <c r="S295" i="17"/>
  <c r="AZ144" i="17"/>
  <c r="H169" i="17"/>
  <c r="AE80" i="17"/>
  <c r="AU263" i="17"/>
  <c r="AT304" i="17"/>
  <c r="Z306" i="17"/>
  <c r="AJ95" i="17"/>
  <c r="J137" i="17"/>
  <c r="N29" i="17"/>
  <c r="M263" i="17"/>
  <c r="T101" i="17"/>
  <c r="AD144" i="17"/>
  <c r="G213" i="17"/>
  <c r="AB306" i="17"/>
  <c r="AH104" i="17"/>
  <c r="AF195" i="17"/>
  <c r="I227" i="17"/>
  <c r="O45" i="17"/>
  <c r="G227" i="17"/>
  <c r="G114" i="17"/>
  <c r="J102" i="17"/>
  <c r="AX67" i="17"/>
  <c r="J311" i="17"/>
  <c r="AW22" i="17"/>
  <c r="AT281" i="17"/>
  <c r="AH132" i="17"/>
  <c r="AH75" i="17"/>
  <c r="O148" i="17"/>
  <c r="J11" i="17"/>
  <c r="Y88" i="17"/>
  <c r="J302" i="17"/>
  <c r="AP211" i="17"/>
  <c r="AN168" i="17"/>
  <c r="AW231" i="17"/>
  <c r="V300" i="17"/>
  <c r="F50" i="17"/>
  <c r="L169" i="17"/>
  <c r="W99" i="17"/>
  <c r="AO156" i="17"/>
  <c r="AT275" i="17"/>
  <c r="O84" i="17"/>
  <c r="G267" i="17"/>
  <c r="S24" i="17"/>
  <c r="AB267" i="17"/>
  <c r="AO119" i="17"/>
  <c r="G261" i="17"/>
  <c r="AV124" i="17"/>
  <c r="M116" i="17"/>
  <c r="P291" i="17"/>
  <c r="AD185" i="17"/>
  <c r="O323" i="17"/>
  <c r="S268" i="17"/>
  <c r="AF227" i="17"/>
  <c r="R148" i="17"/>
  <c r="AV113" i="17"/>
  <c r="AX83" i="17"/>
  <c r="AD80" i="17"/>
  <c r="U50" i="17"/>
  <c r="AQ113" i="17"/>
  <c r="AG255" i="17"/>
  <c r="G206" i="17"/>
  <c r="AJ22" i="17"/>
  <c r="AR147" i="17"/>
  <c r="M42" i="17"/>
  <c r="AF239" i="17"/>
  <c r="AT74" i="17"/>
  <c r="N5" i="17"/>
  <c r="AZ211" i="17"/>
  <c r="AU182" i="17"/>
  <c r="AQ289" i="17"/>
  <c r="AB155" i="17"/>
  <c r="AS265" i="17"/>
  <c r="AX172" i="17"/>
  <c r="E238" i="17"/>
  <c r="AV28" i="17"/>
  <c r="BA17" i="17"/>
  <c r="K276" i="17"/>
  <c r="AI205" i="17"/>
  <c r="AR251" i="17"/>
  <c r="AP165" i="17"/>
  <c r="AB312" i="17"/>
  <c r="AS14" i="17"/>
  <c r="J95" i="17"/>
  <c r="I106" i="17"/>
  <c r="G123" i="17"/>
  <c r="AL177" i="17"/>
  <c r="AJ141" i="17"/>
  <c r="U105" i="17"/>
  <c r="U91" i="17"/>
  <c r="AN156" i="17"/>
  <c r="L79" i="17"/>
  <c r="AT105" i="17"/>
  <c r="P119" i="17"/>
  <c r="AO279" i="17"/>
  <c r="E279" i="17"/>
  <c r="T221" i="17"/>
  <c r="AO243" i="17"/>
  <c r="AI103" i="17"/>
  <c r="F57" i="17"/>
  <c r="S273" i="17"/>
  <c r="R203" i="17"/>
  <c r="G174" i="17"/>
  <c r="S122" i="17"/>
  <c r="AV154" i="17"/>
  <c r="AA200" i="17"/>
  <c r="H7" i="17"/>
  <c r="AJ81" i="17"/>
  <c r="AW73" i="17"/>
  <c r="AD278" i="17"/>
  <c r="AP9" i="17"/>
  <c r="AI172" i="17"/>
  <c r="AQ125" i="17"/>
  <c r="AZ27" i="17"/>
  <c r="AZ270" i="17"/>
  <c r="AU70" i="17"/>
  <c r="AQ51" i="17"/>
  <c r="O79" i="17"/>
  <c r="BA152" i="17"/>
  <c r="W146" i="17"/>
  <c r="Z261" i="17"/>
  <c r="N46" i="17"/>
  <c r="AM202" i="17"/>
  <c r="E230" i="17"/>
  <c r="M65" i="17"/>
  <c r="AT217" i="17"/>
  <c r="AD78" i="17"/>
  <c r="D34" i="17"/>
  <c r="E95" i="17"/>
  <c r="AM4" i="17"/>
  <c r="AO211" i="17"/>
  <c r="AG114" i="17"/>
  <c r="Y232" i="17"/>
  <c r="AI267" i="17"/>
  <c r="S167" i="17"/>
  <c r="AS304" i="17"/>
  <c r="X65" i="17"/>
  <c r="H265" i="17"/>
  <c r="I285" i="17"/>
  <c r="T72" i="17"/>
  <c r="AU210" i="17"/>
  <c r="R164" i="17"/>
  <c r="AQ78" i="17"/>
  <c r="Q43" i="17"/>
  <c r="AT71" i="17"/>
  <c r="AQ265" i="17"/>
  <c r="D82" i="17"/>
  <c r="AQ131" i="17"/>
  <c r="AD124" i="17"/>
  <c r="AR163" i="17"/>
  <c r="AY152" i="17"/>
  <c r="N160" i="17"/>
  <c r="O196" i="17"/>
  <c r="AH298" i="17"/>
  <c r="AL6" i="17"/>
  <c r="G12" i="17"/>
  <c r="K166" i="17"/>
  <c r="H152" i="17"/>
  <c r="AQ269" i="17"/>
  <c r="AW167" i="17"/>
  <c r="AY239" i="17"/>
  <c r="M239" i="17"/>
  <c r="AM282" i="17"/>
  <c r="E106" i="17"/>
  <c r="AK51" i="17"/>
  <c r="AG208" i="17"/>
  <c r="H150" i="17"/>
  <c r="AG51" i="17"/>
  <c r="E219" i="17"/>
  <c r="X244" i="17"/>
  <c r="Y281" i="17"/>
  <c r="P71" i="17"/>
  <c r="AO178" i="17"/>
  <c r="Q259" i="17"/>
  <c r="BA94" i="17"/>
  <c r="AP292" i="17"/>
  <c r="AM208" i="17"/>
  <c r="AX100" i="17"/>
  <c r="AI152" i="17"/>
  <c r="AM286" i="17"/>
  <c r="AB123" i="17"/>
  <c r="O97" i="17"/>
  <c r="AF315" i="17"/>
  <c r="F245" i="17"/>
  <c r="W114" i="17"/>
  <c r="AA116" i="17"/>
  <c r="AT305" i="17"/>
  <c r="AH134" i="17"/>
  <c r="P154" i="17"/>
  <c r="AK268" i="17"/>
  <c r="I20" i="17"/>
  <c r="AX123" i="17"/>
  <c r="AP118" i="17"/>
  <c r="L264" i="17"/>
  <c r="AK318" i="17"/>
  <c r="W177" i="17"/>
  <c r="AS233" i="17"/>
  <c r="R151" i="17"/>
  <c r="E237" i="17"/>
  <c r="G310" i="17"/>
  <c r="S211" i="17"/>
  <c r="V250" i="17"/>
  <c r="R256" i="17"/>
  <c r="O231" i="17"/>
  <c r="K7" i="17"/>
  <c r="AL140" i="17"/>
  <c r="M231" i="17"/>
  <c r="F272" i="17"/>
  <c r="Z297" i="17"/>
  <c r="AV225" i="17"/>
  <c r="AA237" i="17"/>
  <c r="V86" i="17"/>
  <c r="R128" i="17"/>
  <c r="AL207" i="17"/>
  <c r="D120" i="17"/>
  <c r="AW275" i="17"/>
  <c r="AH203" i="17"/>
  <c r="AI207" i="17"/>
  <c r="AR149" i="17"/>
  <c r="Q163" i="17"/>
  <c r="AL264" i="17"/>
  <c r="AP17" i="17"/>
  <c r="Z75" i="17"/>
  <c r="Q208" i="17"/>
  <c r="F30" i="17"/>
  <c r="M32" i="17"/>
  <c r="Z100" i="17"/>
  <c r="U173" i="17"/>
  <c r="AX313" i="17"/>
  <c r="AT45" i="17"/>
  <c r="AO194" i="17"/>
  <c r="Q66" i="17"/>
  <c r="AS219" i="17"/>
  <c r="AP20" i="17"/>
  <c r="Z273" i="17"/>
  <c r="F5" i="17"/>
  <c r="N49" i="17"/>
  <c r="Z19" i="17"/>
  <c r="AI15" i="17"/>
  <c r="AY144" i="17"/>
  <c r="N151" i="17"/>
  <c r="AC211" i="17"/>
  <c r="BA96" i="17"/>
  <c r="AD247" i="17"/>
  <c r="P40" i="17"/>
  <c r="AY131" i="17"/>
  <c r="AC269" i="17"/>
  <c r="AQ161" i="17"/>
  <c r="AQ207" i="17"/>
  <c r="AR166" i="17"/>
  <c r="AR96" i="17"/>
  <c r="Z150" i="17"/>
  <c r="M123" i="17"/>
  <c r="P4" i="17"/>
  <c r="F76" i="17"/>
  <c r="W148" i="17"/>
  <c r="F116" i="17"/>
  <c r="W164" i="17"/>
  <c r="Z230" i="17"/>
  <c r="H181" i="17"/>
  <c r="AL180" i="17"/>
  <c r="AB92" i="17"/>
  <c r="U52" i="17"/>
  <c r="T301" i="17"/>
  <c r="AZ165" i="17"/>
  <c r="Q218" i="17"/>
  <c r="AN297" i="17"/>
  <c r="Z186" i="17"/>
  <c r="AS143" i="17"/>
  <c r="AG10" i="17"/>
  <c r="P231" i="17"/>
  <c r="AG162" i="17"/>
  <c r="W297" i="17"/>
  <c r="AW216" i="17"/>
  <c r="R229" i="17"/>
  <c r="AW136" i="17"/>
  <c r="AJ192" i="17"/>
  <c r="G26" i="17"/>
  <c r="Q155" i="17"/>
  <c r="BA92" i="17"/>
  <c r="AY142" i="17"/>
  <c r="AV198" i="17"/>
  <c r="AT39" i="17"/>
  <c r="Z106" i="17"/>
  <c r="W62" i="17"/>
  <c r="AU12" i="17"/>
  <c r="AZ72" i="17"/>
  <c r="AF215" i="17"/>
  <c r="AO195" i="17"/>
  <c r="BA162" i="17"/>
  <c r="AY272" i="17"/>
  <c r="AJ67" i="17"/>
  <c r="BA135" i="17"/>
  <c r="S229" i="17"/>
  <c r="AI75" i="17"/>
  <c r="AX90" i="17"/>
  <c r="AQ275" i="17"/>
  <c r="Q302" i="17"/>
  <c r="H241" i="17"/>
  <c r="G249" i="17"/>
  <c r="AY88" i="17"/>
  <c r="AP245" i="17"/>
  <c r="K64" i="17"/>
  <c r="BA70" i="17"/>
  <c r="AX99" i="17"/>
  <c r="Y12" i="17"/>
  <c r="AK236" i="17"/>
  <c r="AW264" i="17"/>
  <c r="AU84" i="17"/>
  <c r="AN239" i="17"/>
  <c r="V253" i="17"/>
  <c r="AN36" i="17"/>
  <c r="AK141" i="17"/>
  <c r="E308" i="17"/>
  <c r="M280" i="17"/>
  <c r="H162" i="17"/>
  <c r="J140" i="17"/>
  <c r="P310" i="17"/>
  <c r="AT97" i="17"/>
  <c r="AR290" i="17"/>
  <c r="I146" i="17"/>
  <c r="AR260" i="17"/>
  <c r="Z320" i="17"/>
  <c r="AP257" i="17"/>
  <c r="AJ105" i="17"/>
  <c r="AI113" i="17"/>
  <c r="AL260" i="17"/>
  <c r="Y61" i="17"/>
  <c r="AG296" i="17"/>
  <c r="AQ279" i="17"/>
  <c r="AK199" i="17"/>
  <c r="AT136" i="17"/>
  <c r="AR67" i="17"/>
  <c r="AZ140" i="17"/>
  <c r="H45" i="17"/>
  <c r="U166" i="17"/>
  <c r="D163" i="17"/>
  <c r="Z48" i="17"/>
  <c r="AU122" i="17"/>
  <c r="Y247" i="17"/>
  <c r="K72" i="17"/>
  <c r="N201" i="17"/>
  <c r="AR287" i="17"/>
  <c r="AO180" i="17"/>
  <c r="AS176" i="17"/>
  <c r="R45" i="17"/>
  <c r="W11" i="17"/>
  <c r="D316" i="17"/>
  <c r="U235" i="17"/>
  <c r="T246" i="17"/>
  <c r="W96" i="17"/>
  <c r="O273" i="17"/>
  <c r="AX288" i="17"/>
  <c r="W161" i="17"/>
  <c r="N259" i="17"/>
  <c r="Q11" i="17"/>
  <c r="AY188" i="17"/>
  <c r="AB139" i="17"/>
  <c r="I109" i="17"/>
  <c r="G104" i="17"/>
  <c r="K193" i="17"/>
  <c r="AW134" i="17"/>
  <c r="AJ175" i="17"/>
  <c r="X190" i="17"/>
  <c r="AC63" i="17"/>
  <c r="AR194" i="17"/>
  <c r="AS74" i="17"/>
  <c r="AE147" i="17"/>
  <c r="AZ53" i="17"/>
  <c r="S204" i="17"/>
  <c r="G67" i="17"/>
  <c r="D248" i="17"/>
  <c r="AB75" i="17"/>
  <c r="J239" i="17"/>
  <c r="S192" i="17"/>
  <c r="AR174" i="17"/>
  <c r="AA51" i="17"/>
  <c r="U180" i="17"/>
  <c r="AG86" i="17"/>
  <c r="AB246" i="17"/>
  <c r="AL202" i="17"/>
  <c r="AQ99" i="17"/>
  <c r="AH236" i="17"/>
  <c r="AC127" i="17"/>
  <c r="E138" i="17"/>
  <c r="O210" i="17"/>
  <c r="L294" i="17"/>
  <c r="P250" i="17"/>
  <c r="AY207" i="17"/>
  <c r="AB109" i="17"/>
  <c r="AV239" i="17"/>
  <c r="AO81" i="17"/>
  <c r="T107" i="17"/>
  <c r="AK3" i="17"/>
  <c r="AB223" i="17"/>
  <c r="AQ138" i="17"/>
  <c r="N244" i="17"/>
  <c r="O118" i="17"/>
  <c r="AJ118" i="17"/>
  <c r="J303" i="17"/>
  <c r="F14" i="17"/>
  <c r="W31" i="17"/>
  <c r="AH256" i="17"/>
  <c r="P197" i="17"/>
  <c r="AB188" i="17"/>
  <c r="AE234" i="17"/>
  <c r="BA64" i="17"/>
  <c r="X46" i="17"/>
  <c r="R171" i="17"/>
  <c r="W277" i="17"/>
  <c r="AZ241" i="17"/>
  <c r="AJ61" i="17"/>
  <c r="O176" i="17"/>
  <c r="AA290" i="17"/>
  <c r="S160" i="17"/>
  <c r="AD63" i="17"/>
  <c r="Q161" i="17"/>
  <c r="U138" i="17"/>
  <c r="S248" i="17"/>
  <c r="AK49" i="17"/>
  <c r="E150" i="17"/>
  <c r="J222" i="17"/>
  <c r="AH21" i="17"/>
  <c r="D241" i="17"/>
  <c r="AI62" i="17"/>
  <c r="AZ326" i="17"/>
  <c r="S212" i="17"/>
  <c r="T290" i="17"/>
  <c r="AE249" i="17"/>
  <c r="D108" i="17"/>
  <c r="AW291" i="17"/>
  <c r="AP187" i="17"/>
  <c r="AB128" i="17"/>
  <c r="V244" i="17"/>
  <c r="G180" i="17"/>
  <c r="J244" i="17"/>
  <c r="R143" i="17"/>
  <c r="X106" i="17"/>
  <c r="O158" i="17"/>
  <c r="AA11" i="17"/>
  <c r="Y103" i="17"/>
  <c r="AS270" i="17"/>
  <c r="AJ106" i="17"/>
  <c r="AK59" i="17"/>
  <c r="G94" i="17"/>
  <c r="AQ300" i="17"/>
  <c r="H122" i="17"/>
  <c r="W52" i="17"/>
  <c r="AR280" i="17"/>
  <c r="F42" i="17"/>
  <c r="V237" i="17"/>
  <c r="AF45" i="17"/>
  <c r="T251" i="17"/>
  <c r="AT101" i="17"/>
  <c r="U248" i="17"/>
  <c r="AW282" i="17"/>
  <c r="G185" i="17"/>
  <c r="AA220" i="17"/>
  <c r="AZ139" i="17"/>
  <c r="Z12" i="17"/>
  <c r="J170" i="17"/>
  <c r="AV292" i="17"/>
  <c r="AX227" i="17"/>
  <c r="AT249" i="17"/>
  <c r="AY115" i="17"/>
  <c r="AI19" i="17"/>
  <c r="AI146" i="17"/>
  <c r="V290" i="17"/>
  <c r="AY169" i="17"/>
  <c r="AY171" i="17"/>
  <c r="AR8" i="17"/>
  <c r="AZ244" i="17"/>
  <c r="AI35" i="17"/>
  <c r="AP50" i="17"/>
  <c r="AR214" i="17"/>
  <c r="F135" i="17"/>
  <c r="D142" i="17"/>
  <c r="AL293" i="17"/>
  <c r="AL234" i="17"/>
  <c r="P283" i="17"/>
  <c r="O190" i="17"/>
  <c r="W98" i="17"/>
  <c r="AP181" i="17"/>
  <c r="V144" i="17"/>
  <c r="X278" i="17"/>
  <c r="U286" i="17"/>
  <c r="U3" i="17"/>
  <c r="Y310" i="17"/>
  <c r="AP121" i="17"/>
  <c r="AY89" i="17"/>
  <c r="W142" i="17"/>
  <c r="W30" i="17"/>
  <c r="AZ226" i="17"/>
  <c r="AC235" i="17"/>
  <c r="K298" i="17"/>
  <c r="G183" i="17"/>
  <c r="AM30" i="17"/>
  <c r="AC278" i="17"/>
  <c r="J113" i="17"/>
  <c r="AK180" i="17"/>
  <c r="H174" i="17"/>
  <c r="R61" i="17"/>
  <c r="AL250" i="17"/>
  <c r="D90" i="17"/>
  <c r="P43" i="17"/>
  <c r="AC43" i="17"/>
  <c r="AZ12" i="17"/>
  <c r="BA33" i="17"/>
  <c r="AB11" i="17"/>
  <c r="AC150" i="17"/>
  <c r="AR92" i="17"/>
  <c r="M184" i="17"/>
  <c r="U73" i="17"/>
  <c r="AL13" i="17"/>
  <c r="R109" i="17"/>
  <c r="AQ74" i="17"/>
  <c r="AX53" i="17"/>
  <c r="AV258" i="17"/>
  <c r="AG265" i="17"/>
  <c r="AE284" i="17"/>
  <c r="D238" i="17"/>
  <c r="AG149" i="17"/>
  <c r="Z114" i="17"/>
  <c r="P217" i="17"/>
  <c r="AN281" i="17"/>
  <c r="Z32" i="17"/>
  <c r="S309" i="17"/>
  <c r="H73" i="17"/>
  <c r="AK152" i="17"/>
  <c r="Y69" i="17"/>
  <c r="AC178" i="17"/>
  <c r="K88" i="17"/>
  <c r="I260" i="17"/>
  <c r="K146" i="17"/>
  <c r="AH248" i="17"/>
  <c r="AG238" i="17"/>
  <c r="AQ69" i="17"/>
  <c r="J265" i="17"/>
  <c r="AL226" i="17"/>
  <c r="N166" i="17"/>
  <c r="AV213" i="17"/>
  <c r="AU10" i="17"/>
  <c r="AO282" i="17"/>
  <c r="G58" i="17"/>
  <c r="S252" i="17"/>
  <c r="AI265" i="17"/>
  <c r="AT132" i="17"/>
  <c r="AY250" i="17"/>
  <c r="T169" i="17"/>
  <c r="AU292" i="17"/>
  <c r="AA311" i="17"/>
  <c r="BA281" i="17"/>
  <c r="Q250" i="17"/>
  <c r="V305" i="17"/>
  <c r="AU172" i="17"/>
  <c r="AI185" i="17"/>
  <c r="AS112" i="17"/>
  <c r="AP302" i="17"/>
  <c r="AA170" i="17"/>
  <c r="AN117" i="17"/>
  <c r="AM232" i="17"/>
  <c r="U7" i="17"/>
  <c r="AJ312" i="17"/>
  <c r="AD15" i="17"/>
  <c r="AN121" i="17"/>
  <c r="L233" i="17"/>
  <c r="O291" i="17"/>
  <c r="H195" i="17"/>
  <c r="AV242" i="17"/>
  <c r="V9" i="17"/>
  <c r="Y201" i="17"/>
  <c r="AO257" i="17"/>
  <c r="V226" i="17"/>
  <c r="Z285" i="17"/>
  <c r="P208" i="17"/>
  <c r="P226" i="17"/>
  <c r="P45" i="17"/>
  <c r="BA263" i="17"/>
  <c r="AG150" i="17"/>
  <c r="E78" i="17"/>
  <c r="AL14" i="17"/>
  <c r="AW206" i="17"/>
  <c r="L240" i="17"/>
  <c r="BA125" i="17"/>
  <c r="V213" i="17"/>
  <c r="AN153" i="17"/>
  <c r="AO88" i="17"/>
  <c r="BA235" i="17"/>
  <c r="AT316" i="17"/>
  <c r="AH267" i="17"/>
  <c r="G312" i="17"/>
  <c r="V87" i="17"/>
  <c r="AK154" i="17"/>
  <c r="Y186" i="17"/>
  <c r="L111" i="17"/>
  <c r="I116" i="17"/>
  <c r="AG49" i="17"/>
  <c r="AK5" i="17"/>
  <c r="F152" i="17"/>
  <c r="AC114" i="17"/>
  <c r="D153" i="17"/>
  <c r="O130" i="17"/>
  <c r="D99" i="17"/>
  <c r="AT96" i="17"/>
  <c r="AR57" i="17"/>
  <c r="AB165" i="17"/>
  <c r="AX169" i="17"/>
  <c r="AD164" i="17"/>
  <c r="AU103" i="17"/>
  <c r="G141" i="17"/>
  <c r="AU121" i="17"/>
  <c r="AN59" i="17"/>
  <c r="AW226" i="17"/>
  <c r="AP51" i="17"/>
  <c r="AE41" i="17"/>
  <c r="G96" i="17"/>
  <c r="AG126" i="17"/>
  <c r="G244" i="17"/>
  <c r="AD83" i="17"/>
  <c r="M154" i="17"/>
  <c r="AO280" i="17"/>
  <c r="P306" i="17"/>
  <c r="S279" i="17"/>
  <c r="T125" i="17"/>
  <c r="T78" i="17"/>
  <c r="G272" i="17"/>
  <c r="AJ82" i="17"/>
  <c r="AC7" i="17"/>
  <c r="AI189" i="17"/>
  <c r="H147" i="17"/>
  <c r="AU187" i="17"/>
  <c r="N113" i="17"/>
  <c r="Z23" i="17"/>
  <c r="T87" i="17"/>
  <c r="M301" i="17"/>
  <c r="AV203" i="17"/>
  <c r="AI223" i="17"/>
  <c r="D171" i="17"/>
  <c r="F68" i="17"/>
  <c r="S168" i="17"/>
  <c r="E63" i="17"/>
  <c r="AD72" i="17"/>
  <c r="T31" i="17"/>
  <c r="L68" i="17"/>
  <c r="P153" i="17"/>
  <c r="AE227" i="17"/>
  <c r="AZ100" i="17"/>
  <c r="L91" i="17"/>
  <c r="X37" i="17"/>
  <c r="AG257" i="17"/>
  <c r="AU212" i="17"/>
  <c r="S98" i="17"/>
  <c r="N197" i="17"/>
  <c r="AN47" i="17"/>
  <c r="AT147" i="17"/>
  <c r="AY270" i="17"/>
  <c r="AY236" i="17"/>
  <c r="AL247" i="17"/>
  <c r="AB309" i="17"/>
  <c r="AA317" i="17"/>
  <c r="AR233" i="17"/>
  <c r="D96" i="17"/>
  <c r="AC303" i="17"/>
  <c r="H90" i="17"/>
  <c r="W230" i="17"/>
  <c r="D277" i="17"/>
  <c r="AS109" i="17"/>
  <c r="AZ122" i="17"/>
  <c r="W128" i="17"/>
  <c r="T270" i="17"/>
  <c r="P9" i="17"/>
  <c r="U285" i="17"/>
  <c r="AK118" i="17"/>
  <c r="J185" i="17"/>
  <c r="T201" i="17"/>
  <c r="AM203" i="17"/>
  <c r="I90" i="17"/>
  <c r="AN107" i="17"/>
  <c r="E262" i="17"/>
  <c r="Y259" i="17"/>
  <c r="AK155" i="17"/>
  <c r="AL74" i="17"/>
  <c r="AE69" i="17"/>
  <c r="AA61" i="17"/>
  <c r="T308" i="17"/>
  <c r="AJ104" i="17"/>
  <c r="F318" i="17"/>
  <c r="AC45" i="17"/>
  <c r="L25" i="17"/>
  <c r="AK264" i="17"/>
  <c r="AG251" i="17"/>
  <c r="AE121" i="17"/>
  <c r="U215" i="17"/>
  <c r="AG235" i="17"/>
  <c r="L307" i="17"/>
  <c r="Z255" i="17"/>
  <c r="S13" i="17"/>
  <c r="S72" i="17"/>
  <c r="Y245" i="17"/>
  <c r="R24" i="17"/>
  <c r="S270" i="17"/>
  <c r="AK101" i="17"/>
  <c r="AU153" i="17"/>
  <c r="AS289" i="17"/>
  <c r="AD245" i="17"/>
  <c r="D138" i="17"/>
  <c r="E67" i="17"/>
  <c r="J187" i="17"/>
  <c r="W140" i="17"/>
  <c r="F168" i="17"/>
  <c r="E236" i="17"/>
  <c r="I31" i="17"/>
  <c r="AE212" i="17"/>
  <c r="AM220" i="17"/>
  <c r="AX202" i="17"/>
  <c r="AC116" i="17"/>
  <c r="AL272" i="17"/>
  <c r="AG212" i="17"/>
  <c r="AB262" i="17"/>
  <c r="AD45" i="17"/>
  <c r="AJ100" i="17"/>
  <c r="P101" i="17"/>
  <c r="X252" i="17"/>
  <c r="P168" i="17"/>
  <c r="AD296" i="17"/>
  <c r="I298" i="17"/>
  <c r="AR125" i="17"/>
  <c r="AB122" i="17"/>
  <c r="O173" i="17"/>
  <c r="AN132" i="17"/>
  <c r="AE156" i="17"/>
  <c r="F294" i="17"/>
  <c r="G25" i="17"/>
  <c r="Q31" i="17"/>
  <c r="AU72" i="17"/>
  <c r="O105" i="17"/>
  <c r="Y153" i="17"/>
  <c r="AC59" i="17"/>
  <c r="AX55" i="17"/>
  <c r="K145" i="17"/>
  <c r="AC153" i="17"/>
  <c r="AW294" i="17"/>
  <c r="AA88" i="17"/>
  <c r="AR41" i="17"/>
  <c r="AX192" i="17"/>
  <c r="E19" i="17"/>
  <c r="J86" i="17"/>
  <c r="T207" i="17"/>
  <c r="AG269" i="17"/>
  <c r="AQ238" i="17"/>
  <c r="Q293" i="17"/>
  <c r="AY106" i="17"/>
  <c r="AI100" i="17"/>
  <c r="AN149" i="17"/>
  <c r="N97" i="17"/>
  <c r="K93" i="17"/>
  <c r="V103" i="17"/>
  <c r="AB61" i="17"/>
  <c r="L71" i="17"/>
  <c r="X60" i="17"/>
  <c r="R47" i="17"/>
  <c r="R77" i="17"/>
  <c r="AG139" i="17"/>
  <c r="J100" i="17"/>
  <c r="AX268" i="17"/>
  <c r="AT140" i="17"/>
  <c r="AI122" i="17"/>
  <c r="AV253" i="17"/>
  <c r="AP231" i="17"/>
  <c r="AS228" i="17"/>
  <c r="L30" i="17"/>
  <c r="AS78" i="17"/>
  <c r="AK179" i="17"/>
  <c r="AK47" i="17"/>
  <c r="AR311" i="17"/>
  <c r="N140" i="17"/>
  <c r="D137" i="17"/>
  <c r="AJ230" i="17"/>
  <c r="W160" i="17"/>
  <c r="K142" i="17"/>
  <c r="T304" i="17"/>
  <c r="X153" i="17"/>
  <c r="AR80" i="17"/>
  <c r="D55" i="17"/>
  <c r="I13" i="17"/>
  <c r="I94" i="17"/>
  <c r="AS191" i="17"/>
  <c r="AK241" i="17"/>
  <c r="AH175" i="17"/>
  <c r="AO15" i="17"/>
  <c r="J216" i="17"/>
  <c r="AS184" i="17"/>
  <c r="T75" i="17"/>
  <c r="AN264" i="17"/>
  <c r="AE136" i="17"/>
  <c r="AA29" i="17"/>
  <c r="AV99" i="17"/>
  <c r="AF105" i="17"/>
  <c r="AC105" i="17"/>
  <c r="AS47" i="17"/>
  <c r="AU137" i="17"/>
  <c r="AL19" i="17"/>
  <c r="G119" i="17"/>
  <c r="AC257" i="17"/>
  <c r="V120" i="17"/>
  <c r="AI158" i="17"/>
  <c r="L167" i="17"/>
  <c r="H151" i="17"/>
  <c r="BA189" i="17"/>
  <c r="J135" i="17"/>
  <c r="AO290" i="17"/>
  <c r="AW320" i="17"/>
  <c r="R162" i="17"/>
  <c r="AC55" i="17"/>
  <c r="AB26" i="17"/>
  <c r="AF116" i="17"/>
  <c r="X296" i="17"/>
  <c r="X135" i="17"/>
  <c r="AH269" i="17"/>
  <c r="AH137" i="17"/>
  <c r="AZ90" i="17"/>
  <c r="AU271" i="17"/>
  <c r="AF12" i="17"/>
  <c r="L251" i="17"/>
  <c r="I160" i="17"/>
  <c r="D125" i="17"/>
  <c r="AO114" i="17"/>
  <c r="AH258" i="17"/>
  <c r="L214" i="17"/>
  <c r="AO85" i="17"/>
  <c r="X185" i="17"/>
  <c r="AL137" i="17"/>
  <c r="AV12" i="17"/>
  <c r="AP92" i="17"/>
  <c r="G89" i="17"/>
  <c r="S230" i="17"/>
  <c r="AJ247" i="17"/>
  <c r="K184" i="17"/>
  <c r="L104" i="17"/>
  <c r="E36" i="17"/>
  <c r="S285" i="17"/>
  <c r="AL158" i="17"/>
  <c r="M64" i="17"/>
  <c r="T106" i="17"/>
  <c r="AN196" i="17"/>
  <c r="Y111" i="17"/>
  <c r="F231" i="17"/>
  <c r="AR226" i="17"/>
  <c r="H283" i="17"/>
  <c r="AE75" i="17"/>
  <c r="AG110" i="17"/>
  <c r="AY69" i="17"/>
  <c r="X193" i="17"/>
  <c r="AK32" i="17"/>
  <c r="E232" i="17"/>
  <c r="AF153" i="17"/>
  <c r="Z21" i="17"/>
  <c r="Z249" i="17"/>
  <c r="AS82" i="17"/>
  <c r="K114" i="17"/>
  <c r="E22" i="17"/>
  <c r="M82" i="17"/>
  <c r="BA168" i="17"/>
  <c r="T65" i="17"/>
  <c r="K282" i="17"/>
  <c r="AT228" i="17"/>
  <c r="V292" i="17"/>
  <c r="AL130" i="17"/>
  <c r="AN206" i="17"/>
  <c r="Q15" i="17"/>
  <c r="L290" i="17"/>
  <c r="X121" i="17"/>
  <c r="AS169" i="17"/>
  <c r="F133" i="17"/>
  <c r="M47" i="17"/>
  <c r="AU269" i="17"/>
  <c r="X171" i="17"/>
  <c r="O279" i="17"/>
  <c r="AB269" i="17"/>
  <c r="V159" i="17"/>
  <c r="V125" i="17"/>
  <c r="AS134" i="17"/>
  <c r="AG215" i="17"/>
  <c r="AH257" i="17"/>
  <c r="M201" i="17"/>
  <c r="AE214" i="17"/>
  <c r="U266" i="17"/>
  <c r="AK38" i="17"/>
  <c r="AE45" i="17"/>
  <c r="W152" i="17"/>
  <c r="AR192" i="17"/>
  <c r="AM240" i="17"/>
  <c r="V282" i="17"/>
  <c r="AA294" i="17"/>
  <c r="AH250" i="17"/>
  <c r="G235" i="17"/>
  <c r="L259" i="17"/>
  <c r="M35" i="17"/>
  <c r="AX107" i="17"/>
  <c r="T291" i="17"/>
  <c r="P141" i="17"/>
  <c r="AW220" i="17"/>
  <c r="H66" i="17"/>
  <c r="AS108" i="17"/>
  <c r="R178" i="17"/>
  <c r="AR234" i="17"/>
  <c r="AX155" i="17"/>
  <c r="Z215" i="17"/>
  <c r="P107" i="17"/>
  <c r="X57" i="17"/>
  <c r="AA261" i="17"/>
  <c r="I27" i="17"/>
  <c r="H43" i="17"/>
  <c r="AM14" i="17"/>
  <c r="T214" i="17"/>
  <c r="G255" i="17"/>
  <c r="AL303" i="17"/>
  <c r="AF98" i="17"/>
  <c r="AS132" i="17"/>
  <c r="D79" i="17"/>
  <c r="AA285" i="17"/>
  <c r="Q265" i="17"/>
  <c r="AY229" i="17"/>
  <c r="AN191" i="17"/>
  <c r="AA254" i="17"/>
  <c r="AR69" i="17"/>
  <c r="BA296" i="17"/>
  <c r="Q236" i="17"/>
  <c r="AO214" i="17"/>
  <c r="AK242" i="17"/>
  <c r="D24" i="17"/>
  <c r="AQ187" i="17"/>
  <c r="F61" i="17"/>
  <c r="AF254" i="17"/>
  <c r="AU258" i="17"/>
  <c r="K263" i="17"/>
  <c r="AM178" i="17"/>
  <c r="AO31" i="17"/>
  <c r="AH318" i="17"/>
  <c r="AR19" i="17"/>
  <c r="AY70" i="17"/>
  <c r="J285" i="17"/>
  <c r="AE160" i="17"/>
  <c r="N252" i="17"/>
  <c r="W137" i="17"/>
  <c r="AS207" i="17"/>
  <c r="AE52" i="17"/>
  <c r="AY175" i="17"/>
  <c r="AJ226" i="17"/>
  <c r="BA36" i="17"/>
  <c r="J92" i="17"/>
  <c r="BA182" i="17"/>
  <c r="AS241" i="17"/>
  <c r="M289" i="17"/>
  <c r="W319" i="17"/>
  <c r="AD180" i="17"/>
  <c r="AL278" i="17"/>
  <c r="AH278" i="17"/>
  <c r="T300" i="17"/>
  <c r="AK301" i="17"/>
  <c r="T142" i="17"/>
  <c r="AO73" i="17"/>
  <c r="AK227" i="17"/>
  <c r="AZ170" i="17"/>
  <c r="N216" i="17"/>
  <c r="AY55" i="17"/>
  <c r="AI188" i="17"/>
  <c r="E285" i="17"/>
  <c r="AI58" i="17"/>
  <c r="AB134" i="17"/>
  <c r="AU171" i="17"/>
  <c r="AR193" i="17"/>
  <c r="M299" i="17"/>
  <c r="V284" i="17"/>
  <c r="AJ124" i="17"/>
  <c r="M29" i="17"/>
  <c r="AA60" i="17"/>
  <c r="U284" i="17"/>
  <c r="AC280" i="17"/>
  <c r="AU48" i="17"/>
  <c r="L178" i="17"/>
  <c r="AT41" i="17"/>
  <c r="G112" i="17"/>
  <c r="E228" i="17"/>
  <c r="BA44" i="17"/>
  <c r="AP78" i="17"/>
  <c r="U312" i="17"/>
  <c r="AZ38" i="17"/>
  <c r="K266" i="17"/>
  <c r="U36" i="17"/>
  <c r="D246" i="17"/>
  <c r="D195" i="17"/>
  <c r="AU207" i="17"/>
  <c r="S239" i="17"/>
  <c r="O201" i="17"/>
  <c r="AW117" i="17"/>
  <c r="BA223" i="17"/>
  <c r="J112" i="17"/>
  <c r="I105" i="17"/>
  <c r="E51" i="17"/>
  <c r="E55" i="17"/>
  <c r="K129" i="17"/>
  <c r="P152" i="17"/>
  <c r="O103" i="17"/>
  <c r="AK129" i="17"/>
  <c r="AT170" i="17"/>
  <c r="H222" i="17"/>
  <c r="AY33" i="17"/>
  <c r="H307" i="17"/>
  <c r="AR253" i="17"/>
  <c r="U253" i="17"/>
  <c r="R91" i="17"/>
  <c r="Q168" i="17"/>
  <c r="AP243" i="17"/>
  <c r="X209" i="17"/>
  <c r="AH38" i="17"/>
  <c r="L256" i="17"/>
  <c r="AP255" i="17"/>
  <c r="O104" i="17"/>
  <c r="I256" i="17"/>
  <c r="AM142" i="17"/>
  <c r="U154" i="17"/>
  <c r="W295" i="17"/>
  <c r="AH166" i="17"/>
  <c r="Z44" i="17"/>
  <c r="AY174" i="17"/>
  <c r="AL175" i="17"/>
  <c r="AX299" i="17"/>
  <c r="AI76" i="17"/>
  <c r="AZ176" i="17"/>
  <c r="AD131" i="17"/>
  <c r="Y230" i="17"/>
  <c r="P46" i="17"/>
  <c r="Q308" i="17"/>
  <c r="R277" i="17"/>
  <c r="AK156" i="17"/>
  <c r="AC71" i="17"/>
  <c r="BA19" i="17"/>
  <c r="AJ160" i="17"/>
  <c r="E255" i="17"/>
  <c r="AO225" i="17"/>
  <c r="AG180" i="17"/>
  <c r="D177" i="17"/>
  <c r="AF26" i="17"/>
  <c r="BA177" i="17"/>
  <c r="AE291" i="17"/>
  <c r="AE189" i="17"/>
  <c r="P173" i="17"/>
  <c r="AW245" i="17"/>
  <c r="AS273" i="17"/>
  <c r="AY43" i="17"/>
  <c r="AZ302" i="17"/>
  <c r="AZ256" i="17"/>
  <c r="AS218" i="17"/>
  <c r="T244" i="17"/>
  <c r="F232" i="17"/>
  <c r="AO189" i="17"/>
  <c r="R110" i="17"/>
  <c r="H239" i="17"/>
  <c r="AY48" i="17"/>
  <c r="AY277" i="17"/>
  <c r="AX216" i="17"/>
  <c r="AT129" i="17"/>
  <c r="Q283" i="17"/>
  <c r="L236" i="17"/>
  <c r="M264" i="17"/>
  <c r="AX226" i="17"/>
  <c r="BA208" i="17"/>
  <c r="AO68" i="17"/>
  <c r="AS287" i="17"/>
  <c r="Y190" i="17"/>
  <c r="AS310" i="17"/>
  <c r="AP93" i="17"/>
  <c r="AH290" i="17"/>
  <c r="AX295" i="17"/>
  <c r="J299" i="17"/>
  <c r="AC136" i="17"/>
  <c r="AB200" i="17"/>
  <c r="AZ166" i="17"/>
  <c r="AD237" i="17"/>
  <c r="AU132" i="17"/>
  <c r="O311" i="17"/>
  <c r="AY5" i="17"/>
  <c r="AM239" i="17"/>
  <c r="AM217" i="17"/>
  <c r="T151" i="17"/>
  <c r="N95" i="17"/>
  <c r="AK138" i="17"/>
  <c r="AA123" i="17"/>
  <c r="AM122" i="17"/>
  <c r="I99" i="17"/>
  <c r="AO120" i="17"/>
  <c r="I270" i="17"/>
  <c r="AO293" i="17"/>
  <c r="AK119" i="17"/>
  <c r="AW133" i="17"/>
  <c r="F18" i="17"/>
  <c r="U193" i="17"/>
  <c r="N22" i="17"/>
  <c r="Q169" i="17"/>
  <c r="Y275" i="17"/>
  <c r="AT20" i="17"/>
  <c r="E147" i="17"/>
  <c r="AU181" i="17"/>
  <c r="AB141" i="17"/>
  <c r="N130" i="17"/>
  <c r="F99" i="17"/>
  <c r="AE240" i="17"/>
  <c r="T227" i="17"/>
  <c r="K13" i="17"/>
  <c r="J240" i="17"/>
  <c r="AT209" i="17"/>
  <c r="X75" i="17"/>
  <c r="AW242" i="17"/>
  <c r="AU113" i="17"/>
  <c r="AR18" i="17"/>
  <c r="AB291" i="17"/>
  <c r="H94" i="17"/>
  <c r="AV10" i="17"/>
  <c r="AD2" i="17"/>
  <c r="J119" i="17"/>
  <c r="K205" i="17"/>
  <c r="U29" i="17"/>
  <c r="AB120" i="17"/>
  <c r="AL105" i="17"/>
  <c r="V99" i="17"/>
  <c r="D209" i="17"/>
  <c r="M196" i="17"/>
  <c r="Q134" i="17"/>
  <c r="D242" i="17"/>
  <c r="AU46" i="17"/>
  <c r="U127" i="17"/>
  <c r="AI184" i="17"/>
  <c r="AC30" i="17"/>
  <c r="M22" i="17"/>
  <c r="AI131" i="17"/>
  <c r="AI251" i="17"/>
  <c r="AX152" i="17"/>
  <c r="K77" i="17"/>
  <c r="P28" i="17"/>
  <c r="AX142" i="17"/>
  <c r="K288" i="17"/>
  <c r="W304" i="17"/>
  <c r="F54" i="17"/>
  <c r="AU191" i="17"/>
  <c r="H284" i="17"/>
  <c r="AV178" i="17"/>
  <c r="M133" i="17"/>
  <c r="I203" i="17"/>
  <c r="AM150" i="17"/>
  <c r="R176" i="17"/>
  <c r="AI3" i="17"/>
  <c r="AG293" i="17"/>
  <c r="AR291" i="17"/>
  <c r="AN136" i="17"/>
  <c r="AU206" i="17"/>
  <c r="Y242" i="17"/>
  <c r="R115" i="17"/>
  <c r="AN279" i="17"/>
  <c r="AE169" i="17"/>
  <c r="Q51" i="17"/>
  <c r="Q232" i="17"/>
  <c r="AQ243" i="17"/>
  <c r="AE13" i="17"/>
  <c r="AE241" i="17"/>
  <c r="R222" i="17"/>
  <c r="AY197" i="17"/>
  <c r="AZ143" i="17"/>
  <c r="AO196" i="17"/>
  <c r="AN110" i="17"/>
  <c r="J39" i="17"/>
  <c r="H208" i="17"/>
  <c r="AA53" i="17"/>
  <c r="G256" i="17"/>
  <c r="AM130" i="17"/>
  <c r="T208" i="17"/>
  <c r="AP11" i="17"/>
  <c r="Z60" i="17"/>
  <c r="AW25" i="17"/>
  <c r="AK267" i="17"/>
  <c r="BA300" i="17"/>
  <c r="AK151" i="17"/>
  <c r="AT234" i="17"/>
  <c r="AK20" i="17"/>
  <c r="BA34" i="17"/>
  <c r="AO45" i="17"/>
  <c r="F211" i="17"/>
  <c r="AF324" i="17"/>
  <c r="E100" i="17"/>
  <c r="W42" i="17"/>
  <c r="L311" i="17"/>
  <c r="U190" i="17"/>
  <c r="AA59" i="17"/>
  <c r="AX119" i="17"/>
  <c r="AC62" i="17"/>
  <c r="Z201" i="17"/>
  <c r="AS33" i="17"/>
  <c r="AZ156" i="17"/>
  <c r="AS91" i="17"/>
  <c r="E172" i="17"/>
  <c r="E321" i="17"/>
  <c r="J14" i="17"/>
  <c r="AO64" i="17"/>
  <c r="AN247" i="17"/>
  <c r="AE7" i="17"/>
  <c r="Q204" i="17"/>
  <c r="AE100" i="17"/>
  <c r="Y218" i="17"/>
  <c r="F268" i="17"/>
  <c r="AU310" i="17"/>
  <c r="D179" i="17"/>
  <c r="J63" i="17"/>
  <c r="AB69" i="17"/>
  <c r="E311" i="17"/>
  <c r="AI245" i="17"/>
  <c r="AP100" i="17"/>
  <c r="AL106" i="17"/>
  <c r="AE179" i="17"/>
  <c r="AW192" i="17"/>
  <c r="AY307" i="17"/>
  <c r="AV183" i="17"/>
  <c r="P94" i="17"/>
  <c r="AF117" i="17"/>
  <c r="J209" i="17"/>
  <c r="Z49" i="17"/>
  <c r="AK10" i="17"/>
  <c r="Y268" i="17"/>
  <c r="AE51" i="17"/>
  <c r="R22" i="17"/>
  <c r="AN78" i="17"/>
  <c r="I191" i="17"/>
  <c r="AB154" i="17"/>
  <c r="AP37" i="17"/>
  <c r="AR74" i="17"/>
  <c r="R196" i="17"/>
  <c r="E4" i="17"/>
  <c r="Q210" i="17"/>
  <c r="Y164" i="17"/>
  <c r="AQ226" i="17"/>
  <c r="I139" i="17"/>
  <c r="AK306" i="17"/>
  <c r="AN165" i="17"/>
  <c r="R36" i="17"/>
  <c r="M54" i="17"/>
  <c r="Y60" i="17"/>
  <c r="T294" i="17"/>
  <c r="AV221" i="17"/>
  <c r="AO92" i="17"/>
  <c r="AV206" i="17"/>
  <c r="V249" i="17"/>
  <c r="AU188" i="17"/>
  <c r="F202" i="17"/>
  <c r="AC47" i="17"/>
  <c r="D185" i="17"/>
  <c r="AF9" i="17"/>
  <c r="E162" i="17"/>
  <c r="AT283" i="17"/>
  <c r="W47" i="17"/>
  <c r="M58" i="17"/>
  <c r="U20" i="17"/>
  <c r="M192" i="17"/>
  <c r="M256" i="17"/>
  <c r="G148" i="17"/>
  <c r="AB96" i="17"/>
  <c r="S7" i="17"/>
  <c r="AC314" i="17"/>
  <c r="AA153" i="17"/>
  <c r="AE118" i="17"/>
  <c r="AW135" i="17"/>
  <c r="AR49" i="17"/>
  <c r="AU149" i="17"/>
  <c r="U151" i="17"/>
  <c r="AA5" i="17"/>
  <c r="AA230" i="17"/>
  <c r="Y38" i="17"/>
  <c r="J220" i="17"/>
  <c r="R175" i="17"/>
  <c r="G7" i="17"/>
  <c r="AN128" i="17"/>
  <c r="N112" i="17"/>
  <c r="AA84" i="17"/>
  <c r="AH130" i="17"/>
  <c r="V133" i="17"/>
  <c r="Q153" i="17"/>
  <c r="L215" i="17"/>
  <c r="AP164" i="17"/>
  <c r="AH162" i="17"/>
  <c r="K175" i="17"/>
  <c r="AU11" i="17"/>
  <c r="AQ240" i="17"/>
  <c r="S125" i="17"/>
  <c r="AS70" i="17"/>
  <c r="F297" i="17"/>
  <c r="AP47" i="17"/>
  <c r="AF130" i="17"/>
  <c r="AC107" i="17"/>
  <c r="AL201" i="17"/>
  <c r="G236" i="17"/>
  <c r="AF7" i="17"/>
  <c r="E214" i="17"/>
  <c r="P261" i="17"/>
  <c r="AI8" i="17"/>
  <c r="U128" i="17"/>
  <c r="T317" i="17"/>
  <c r="AJ267" i="17"/>
  <c r="AS139" i="17"/>
  <c r="AD319" i="17"/>
  <c r="F299" i="17"/>
  <c r="I43" i="17"/>
  <c r="Y161" i="17"/>
  <c r="AC281" i="17"/>
  <c r="AY219" i="17"/>
  <c r="AG246" i="17"/>
  <c r="AZ141" i="17"/>
  <c r="L266" i="17"/>
  <c r="AH170" i="17"/>
  <c r="U324" i="17"/>
  <c r="R181" i="17"/>
  <c r="AE246" i="17"/>
  <c r="U100" i="17"/>
  <c r="H205" i="17"/>
  <c r="O213" i="17"/>
  <c r="AC207" i="17"/>
  <c r="X292" i="17"/>
  <c r="AU227" i="17"/>
  <c r="AA160" i="17"/>
  <c r="AF135" i="17"/>
  <c r="AV45" i="17"/>
  <c r="AN199" i="17"/>
  <c r="L44" i="17"/>
  <c r="AH251" i="17"/>
  <c r="AX108" i="17"/>
  <c r="AT307" i="17"/>
  <c r="AI117" i="17"/>
  <c r="AO152" i="17"/>
  <c r="AC118" i="17"/>
  <c r="AW188" i="17"/>
  <c r="AB130" i="17"/>
  <c r="AJ23" i="17"/>
  <c r="AI261" i="17"/>
  <c r="AF230" i="17"/>
  <c r="M164" i="17"/>
  <c r="AU13" i="17"/>
  <c r="Q180" i="17"/>
  <c r="F128" i="17"/>
  <c r="J121" i="17"/>
  <c r="AI210" i="17"/>
  <c r="X251" i="17"/>
  <c r="AC294" i="17"/>
  <c r="I30" i="17"/>
  <c r="AX223" i="17"/>
  <c r="AL53" i="17"/>
  <c r="X254" i="17"/>
  <c r="AI303" i="17"/>
  <c r="AL65" i="17"/>
  <c r="S261" i="17"/>
  <c r="O240" i="17"/>
  <c r="K54" i="17"/>
  <c r="AJ303" i="17"/>
  <c r="L292" i="17"/>
  <c r="AO237" i="17"/>
  <c r="AZ161" i="17"/>
  <c r="W149" i="17"/>
  <c r="AB16" i="17"/>
  <c r="AM229" i="17"/>
  <c r="Q292" i="17"/>
  <c r="M185" i="17"/>
  <c r="AL57" i="17"/>
  <c r="L39" i="17"/>
  <c r="AV271" i="17"/>
  <c r="N106" i="17"/>
  <c r="U261" i="17"/>
  <c r="AD308" i="17"/>
  <c r="Q191" i="17"/>
  <c r="AX148" i="17"/>
  <c r="T37" i="17"/>
  <c r="P76" i="17"/>
  <c r="AD128" i="17"/>
  <c r="AF275" i="17"/>
  <c r="S103" i="17"/>
  <c r="Y75" i="17"/>
  <c r="AG284" i="17"/>
  <c r="K287" i="17"/>
  <c r="AV157" i="17"/>
  <c r="Z286" i="17"/>
  <c r="W252" i="17"/>
  <c r="AE171" i="17"/>
  <c r="AP274" i="17"/>
  <c r="AL238" i="17"/>
  <c r="AS217" i="17"/>
  <c r="I182" i="17"/>
  <c r="AC288" i="17"/>
  <c r="X154" i="17"/>
  <c r="AV200" i="17"/>
  <c r="D54" i="17"/>
  <c r="L166" i="17"/>
  <c r="Q282" i="17"/>
  <c r="P287" i="17"/>
  <c r="Y226" i="17"/>
  <c r="U156" i="17"/>
  <c r="AJ33" i="17"/>
  <c r="AM267" i="17"/>
  <c r="AR240" i="17"/>
  <c r="H226" i="17"/>
  <c r="R223" i="17"/>
  <c r="G159" i="17"/>
  <c r="I242" i="17"/>
  <c r="X279" i="17"/>
  <c r="G28" i="17"/>
  <c r="AG275" i="17"/>
  <c r="M273" i="17"/>
  <c r="AT154" i="17"/>
  <c r="AW148" i="17"/>
  <c r="AX13" i="17"/>
  <c r="AZ269" i="17"/>
  <c r="T76" i="17"/>
  <c r="AJ245" i="17"/>
  <c r="AA268" i="17"/>
  <c r="AA167" i="17"/>
  <c r="AN255" i="17"/>
  <c r="L308" i="17"/>
  <c r="L50" i="17"/>
  <c r="AQ256" i="17"/>
  <c r="AO16" i="17"/>
  <c r="AH275" i="17"/>
  <c r="AY34" i="17"/>
  <c r="F282" i="17"/>
  <c r="AK57" i="17"/>
  <c r="AB319" i="17"/>
  <c r="AZ51" i="17"/>
  <c r="H64" i="17"/>
  <c r="AE218" i="17"/>
  <c r="AG252" i="17"/>
  <c r="AS315" i="17"/>
  <c r="AR72" i="17"/>
  <c r="AP6" i="17"/>
  <c r="AM176" i="17"/>
  <c r="R8" i="17"/>
  <c r="AU221" i="17"/>
  <c r="AP269" i="17"/>
  <c r="S292" i="17"/>
  <c r="I178" i="17"/>
  <c r="X144" i="17"/>
  <c r="AJ59" i="17"/>
  <c r="R235" i="17"/>
  <c r="AA34" i="17"/>
  <c r="AE295" i="17"/>
  <c r="AQ23" i="17"/>
  <c r="AY186" i="17"/>
  <c r="AD190" i="17"/>
  <c r="F243" i="17"/>
  <c r="K154" i="17"/>
  <c r="X27" i="17"/>
  <c r="AH293" i="17"/>
  <c r="O185" i="17"/>
  <c r="D218" i="17"/>
  <c r="V306" i="17"/>
  <c r="Y39" i="17"/>
  <c r="O309" i="17"/>
  <c r="AM62" i="17"/>
  <c r="H305" i="17"/>
  <c r="AM305" i="17"/>
  <c r="Y30" i="17"/>
  <c r="Z151" i="17"/>
  <c r="AR172" i="17"/>
  <c r="P105" i="17"/>
  <c r="AA55" i="17"/>
  <c r="Q276" i="17"/>
  <c r="AI171" i="17"/>
  <c r="O220" i="17"/>
  <c r="AZ191" i="17"/>
  <c r="AU192" i="17"/>
  <c r="AF34" i="17"/>
  <c r="AQ237" i="17"/>
  <c r="AM73" i="17"/>
  <c r="AS125" i="17"/>
  <c r="S223" i="17"/>
  <c r="E35" i="17"/>
  <c r="AP298" i="17"/>
  <c r="S131" i="17"/>
  <c r="O76" i="17"/>
  <c r="AZ263" i="17"/>
  <c r="D187" i="17"/>
  <c r="AI26" i="17"/>
  <c r="V67" i="17"/>
  <c r="L265" i="17"/>
  <c r="P129" i="17"/>
  <c r="AA31" i="17"/>
  <c r="AJ38" i="17"/>
  <c r="AM264" i="17"/>
  <c r="W181" i="17"/>
  <c r="H18" i="17"/>
  <c r="AM39" i="17"/>
  <c r="AJ288" i="17"/>
  <c r="M83" i="17"/>
  <c r="V151" i="17"/>
  <c r="AO239" i="17"/>
  <c r="Z126" i="17"/>
  <c r="AD152" i="17"/>
  <c r="T46" i="17"/>
  <c r="AI175" i="17"/>
  <c r="AE137" i="17"/>
  <c r="K232" i="17"/>
  <c r="AA231" i="17"/>
  <c r="G46" i="17"/>
  <c r="D92" i="17"/>
  <c r="AX59" i="17"/>
  <c r="O286" i="17"/>
  <c r="K63" i="17"/>
  <c r="V315" i="17"/>
  <c r="AS283" i="17"/>
  <c r="J321" i="17"/>
  <c r="AP323" i="17"/>
  <c r="AD196" i="17"/>
  <c r="AQ71" i="17"/>
  <c r="Q246" i="17"/>
  <c r="I144" i="17"/>
  <c r="R60" i="17"/>
  <c r="BA133" i="17"/>
  <c r="AY252" i="17"/>
  <c r="AR95" i="17"/>
  <c r="AC260" i="17"/>
  <c r="G146" i="17"/>
  <c r="Y235" i="17"/>
  <c r="AC135" i="17"/>
  <c r="AK114" i="17"/>
  <c r="AH261" i="17"/>
  <c r="AW124" i="17"/>
  <c r="U262" i="17"/>
  <c r="AA63" i="17"/>
  <c r="K231" i="17"/>
  <c r="L231" i="17"/>
  <c r="AQ293" i="17"/>
  <c r="K186" i="17"/>
  <c r="M287" i="17"/>
  <c r="AR266" i="17"/>
  <c r="N297" i="17"/>
  <c r="X256" i="17"/>
  <c r="AC312" i="17"/>
  <c r="J212" i="17"/>
  <c r="AW283" i="17"/>
  <c r="P214" i="17"/>
  <c r="AD204" i="17"/>
  <c r="AC44" i="17"/>
  <c r="V235" i="17"/>
  <c r="AE139" i="17"/>
  <c r="AM118" i="17"/>
  <c r="V281" i="17"/>
  <c r="F312" i="17"/>
  <c r="AZ92" i="17"/>
  <c r="D251" i="17"/>
  <c r="AY316" i="17"/>
  <c r="AO230" i="17"/>
  <c r="G157" i="17"/>
  <c r="U280" i="17"/>
  <c r="AB89" i="17"/>
  <c r="AW43" i="17"/>
  <c r="AX239" i="17"/>
  <c r="L219" i="17"/>
  <c r="AE277" i="17"/>
  <c r="AD297" i="17"/>
  <c r="L321" i="17"/>
  <c r="L171" i="17"/>
  <c r="AR231" i="17"/>
  <c r="AI36" i="17"/>
  <c r="W204" i="17"/>
  <c r="AU91" i="17"/>
  <c r="G302" i="17"/>
  <c r="S18" i="17"/>
  <c r="I239" i="17"/>
  <c r="AU53" i="17"/>
  <c r="AY234" i="17"/>
  <c r="AY154" i="17"/>
  <c r="I295" i="17"/>
  <c r="V238" i="17"/>
  <c r="U259" i="17"/>
  <c r="W222" i="17"/>
  <c r="AX57" i="17"/>
  <c r="AB315" i="17"/>
  <c r="AQ217" i="17"/>
  <c r="AX314" i="17"/>
  <c r="AW249" i="17"/>
  <c r="N156" i="17"/>
  <c r="AL154" i="17"/>
  <c r="Y132" i="17"/>
  <c r="Q138" i="17"/>
  <c r="E192" i="17"/>
  <c r="AE259" i="17"/>
  <c r="AK237" i="17"/>
  <c r="AA161" i="17"/>
  <c r="AD189" i="17"/>
  <c r="D292" i="17"/>
  <c r="AL208" i="17"/>
  <c r="AX48" i="17"/>
  <c r="AH270" i="17"/>
  <c r="D32" i="17"/>
  <c r="AL320" i="17"/>
  <c r="AA205" i="17"/>
  <c r="Q280" i="17"/>
  <c r="R183" i="17"/>
  <c r="AM274" i="17"/>
  <c r="Y37" i="17"/>
  <c r="AV155" i="17"/>
  <c r="M16" i="17"/>
  <c r="O261" i="17"/>
  <c r="AI78" i="17"/>
  <c r="AR305" i="17"/>
  <c r="L51" i="17"/>
  <c r="AE127" i="17"/>
  <c r="AD60" i="17"/>
  <c r="N66" i="17"/>
  <c r="F200" i="17"/>
  <c r="N136" i="17"/>
  <c r="AK228" i="17"/>
  <c r="AF278" i="17"/>
  <c r="AF101" i="17"/>
  <c r="W186" i="17"/>
  <c r="Y306" i="17"/>
  <c r="AW30" i="17"/>
  <c r="AL10" i="17"/>
  <c r="AU216" i="17"/>
  <c r="T298" i="17"/>
  <c r="AW57" i="17"/>
  <c r="V209" i="17"/>
  <c r="AH235" i="17"/>
  <c r="K181" i="17"/>
  <c r="AS246" i="17"/>
  <c r="AY320" i="17"/>
  <c r="D86" i="17"/>
  <c r="AF188" i="17"/>
  <c r="N163" i="17"/>
  <c r="AE59" i="17"/>
  <c r="AF245" i="17"/>
  <c r="AU265" i="17"/>
  <c r="AH311" i="17"/>
  <c r="W272" i="17"/>
  <c r="AV118" i="17"/>
  <c r="F286" i="17"/>
  <c r="AC239" i="17"/>
  <c r="M120" i="17"/>
  <c r="AZ135" i="17"/>
  <c r="O296" i="17"/>
  <c r="R216" i="17"/>
  <c r="AM83" i="17"/>
  <c r="R84" i="17"/>
  <c r="AE205" i="17"/>
  <c r="AI87" i="17"/>
  <c r="AM268" i="17"/>
  <c r="AG129" i="17"/>
  <c r="AD169" i="17"/>
  <c r="Z77" i="17"/>
  <c r="AI153" i="17"/>
  <c r="P182" i="17"/>
  <c r="AU294" i="17"/>
  <c r="G66" i="17"/>
  <c r="D211" i="17"/>
  <c r="E251" i="17"/>
  <c r="AL257" i="17"/>
  <c r="O241" i="17"/>
  <c r="H236" i="17"/>
  <c r="AW155" i="17"/>
  <c r="AZ17" i="17"/>
  <c r="AD162" i="17"/>
  <c r="K215" i="17"/>
  <c r="D214" i="17"/>
  <c r="I288" i="17"/>
  <c r="X290" i="17"/>
  <c r="J4" i="17"/>
  <c r="AR273" i="17"/>
  <c r="G274" i="17"/>
  <c r="H301" i="17"/>
  <c r="X226" i="17"/>
  <c r="U142" i="17"/>
  <c r="AU299" i="17"/>
  <c r="AA295" i="17"/>
  <c r="AG200" i="17"/>
  <c r="AT285" i="17"/>
  <c r="X170" i="17"/>
  <c r="AA209" i="17"/>
  <c r="AK182" i="17"/>
  <c r="E145" i="17"/>
  <c r="K101" i="17"/>
  <c r="AC120" i="17"/>
  <c r="AQ35" i="17"/>
  <c r="X264" i="17"/>
  <c r="AN220" i="17"/>
  <c r="U288" i="17"/>
  <c r="V43" i="17"/>
  <c r="W4" i="17"/>
  <c r="P11" i="17"/>
  <c r="AD241" i="17"/>
  <c r="Y255" i="17"/>
  <c r="E267" i="17"/>
  <c r="I254" i="17"/>
  <c r="H243" i="17"/>
  <c r="AB167" i="17"/>
  <c r="E179" i="17"/>
  <c r="AP97" i="17"/>
  <c r="AZ207" i="17"/>
  <c r="W125" i="17"/>
  <c r="W286" i="17"/>
  <c r="AJ287" i="17"/>
  <c r="AW66" i="17"/>
  <c r="AX190" i="17"/>
  <c r="Z94" i="17"/>
  <c r="M304" i="17"/>
  <c r="AC10" i="17"/>
  <c r="AC246" i="17"/>
  <c r="T148" i="17"/>
  <c r="BA225" i="17"/>
  <c r="AT239" i="17"/>
  <c r="AG186" i="17"/>
  <c r="S161" i="17"/>
  <c r="Z313" i="17"/>
  <c r="AW19" i="17"/>
  <c r="S65" i="17"/>
  <c r="AR309" i="17"/>
  <c r="L85" i="17"/>
  <c r="AJ217" i="17"/>
  <c r="AV264" i="17"/>
  <c r="AQ274" i="17"/>
  <c r="P195" i="17"/>
  <c r="AC285" i="17"/>
  <c r="U200" i="17"/>
  <c r="Y234" i="17"/>
  <c r="K115" i="17"/>
  <c r="AL248" i="17"/>
  <c r="AL276" i="17"/>
  <c r="J269" i="17"/>
  <c r="AC279" i="17"/>
  <c r="AZ171" i="17"/>
  <c r="F198" i="17"/>
  <c r="AG2" i="17"/>
  <c r="AO126" i="17"/>
  <c r="AJ242" i="17"/>
  <c r="AS46" i="17"/>
  <c r="V97" i="17"/>
  <c r="BA230" i="17"/>
  <c r="BA83" i="17"/>
  <c r="J287" i="17"/>
  <c r="S54" i="17"/>
  <c r="N33" i="17"/>
  <c r="AF71" i="17"/>
  <c r="AJ294" i="17"/>
  <c r="O256" i="17"/>
  <c r="AQ105" i="17"/>
  <c r="W183" i="17"/>
  <c r="P136" i="17"/>
  <c r="AY295" i="17"/>
  <c r="N153" i="17"/>
  <c r="AP300" i="17"/>
  <c r="V301" i="17"/>
  <c r="AP201" i="17"/>
  <c r="I152" i="17"/>
  <c r="AM89" i="17"/>
  <c r="AM171" i="17"/>
  <c r="AP320" i="17"/>
  <c r="BA302" i="17"/>
  <c r="G212" i="17"/>
  <c r="AH266" i="17"/>
  <c r="AO128" i="17"/>
  <c r="K259" i="17"/>
  <c r="M8" i="17"/>
  <c r="AE115" i="17"/>
  <c r="M28" i="17"/>
  <c r="AT123" i="17"/>
  <c r="N79" i="17"/>
  <c r="Y227" i="17"/>
  <c r="W208" i="17"/>
  <c r="AC240" i="17"/>
  <c r="AD177" i="17"/>
  <c r="U145" i="17"/>
  <c r="AY62" i="17"/>
  <c r="W245" i="17"/>
  <c r="AK192" i="17"/>
  <c r="AC250" i="17"/>
  <c r="AS37" i="17"/>
  <c r="AO57" i="17"/>
  <c r="K204" i="17"/>
  <c r="S208" i="17"/>
  <c r="Y85" i="17"/>
  <c r="D276" i="17"/>
  <c r="AE184" i="17"/>
  <c r="K246" i="17"/>
  <c r="AB72" i="17"/>
  <c r="AV287" i="17"/>
  <c r="S55" i="17"/>
  <c r="AU146" i="17"/>
  <c r="K221" i="17"/>
  <c r="AH285" i="17"/>
  <c r="AH159" i="17"/>
  <c r="R228" i="17"/>
  <c r="AU18" i="17"/>
  <c r="AE289" i="17"/>
  <c r="AU243" i="17"/>
  <c r="AU150" i="17"/>
  <c r="I100" i="17"/>
  <c r="AY85" i="17"/>
  <c r="AO44" i="17"/>
  <c r="P297" i="17"/>
  <c r="T118" i="17"/>
  <c r="AC265" i="17"/>
  <c r="AU222" i="17"/>
  <c r="Q211" i="17"/>
  <c r="T77" i="17"/>
  <c r="AZ237" i="17"/>
  <c r="AR189" i="17"/>
  <c r="AH163" i="17"/>
  <c r="AW143" i="17"/>
  <c r="I8" i="17"/>
  <c r="Q262" i="17"/>
  <c r="AB276" i="17"/>
  <c r="Y276" i="17"/>
  <c r="AR59" i="17"/>
  <c r="AU82" i="17"/>
  <c r="AF251" i="17"/>
  <c r="K229" i="17"/>
  <c r="AR65" i="17"/>
  <c r="H85" i="17"/>
  <c r="U170" i="17"/>
  <c r="P172" i="17"/>
  <c r="AX229" i="17"/>
  <c r="AF85" i="17"/>
  <c r="Z67" i="17"/>
  <c r="AC189" i="17"/>
  <c r="P320" i="17"/>
  <c r="T153" i="17"/>
  <c r="AT144" i="17"/>
  <c r="Z237" i="17"/>
  <c r="AC209" i="17"/>
  <c r="D301" i="17"/>
  <c r="AM66" i="17"/>
  <c r="AR48" i="17"/>
  <c r="J296" i="17"/>
  <c r="H308" i="17"/>
  <c r="AV281" i="17"/>
  <c r="AP28" i="17"/>
  <c r="D112" i="17"/>
  <c r="AM269" i="17"/>
  <c r="E297" i="17"/>
  <c r="AW284" i="17"/>
  <c r="AH323" i="17"/>
  <c r="AB178" i="17"/>
  <c r="AB247" i="17"/>
  <c r="AT240" i="17"/>
  <c r="AQ215" i="17"/>
  <c r="AY41" i="17"/>
  <c r="BA222" i="17"/>
  <c r="AU233" i="17"/>
  <c r="AG46" i="17"/>
  <c r="AW72" i="17"/>
  <c r="AN192" i="17"/>
  <c r="AV161" i="17"/>
  <c r="F34" i="17"/>
  <c r="AA260" i="17"/>
  <c r="AT102" i="17"/>
  <c r="D25" i="17"/>
  <c r="AL64" i="17"/>
  <c r="G82" i="17"/>
  <c r="P265" i="17"/>
  <c r="W81" i="17"/>
  <c r="AE170" i="17"/>
  <c r="AY108" i="17"/>
  <c r="AA239" i="17"/>
  <c r="L211" i="17"/>
  <c r="AQ216" i="17"/>
  <c r="J197" i="17"/>
  <c r="J262" i="17"/>
  <c r="AW158" i="17"/>
  <c r="AH43" i="17"/>
  <c r="AY104" i="17"/>
  <c r="AR55" i="17"/>
  <c r="AK79" i="17"/>
  <c r="AQ192" i="17"/>
  <c r="H145" i="17"/>
  <c r="BA82" i="17"/>
  <c r="X136" i="17"/>
  <c r="AB219" i="17"/>
  <c r="R103" i="17"/>
  <c r="AI260" i="17"/>
  <c r="AI230" i="17"/>
  <c r="T168" i="17"/>
  <c r="U66" i="17"/>
  <c r="AJ130" i="17"/>
  <c r="Y36" i="17"/>
  <c r="AD236" i="17"/>
  <c r="V130" i="17"/>
  <c r="AU232" i="17"/>
  <c r="O171" i="17"/>
  <c r="AP236" i="17"/>
  <c r="V148" i="17"/>
  <c r="M236" i="17"/>
  <c r="Q263" i="17"/>
  <c r="AB34" i="17"/>
  <c r="Q85" i="17"/>
  <c r="AS326" i="17"/>
  <c r="W281" i="17"/>
  <c r="D312" i="17"/>
  <c r="P149" i="17"/>
  <c r="I296" i="17"/>
  <c r="X236" i="17"/>
  <c r="AH215" i="17"/>
  <c r="AJ85" i="17"/>
  <c r="J304" i="17"/>
  <c r="K24" i="17"/>
  <c r="AK83" i="17"/>
  <c r="U292" i="17"/>
  <c r="AR299" i="17"/>
  <c r="K136" i="17"/>
  <c r="D60" i="17"/>
  <c r="M243" i="17"/>
  <c r="W322" i="17"/>
  <c r="AX70" i="17"/>
  <c r="AY313" i="17"/>
  <c r="AO255" i="17"/>
  <c r="V208" i="17"/>
  <c r="AM74" i="17"/>
  <c r="AY18" i="17"/>
  <c r="H291" i="17"/>
  <c r="Y171" i="17"/>
  <c r="AW304" i="17"/>
  <c r="AX149" i="17"/>
  <c r="Y269" i="17"/>
  <c r="AX38" i="17"/>
  <c r="S304" i="17"/>
  <c r="AP168" i="17"/>
  <c r="AK225" i="17"/>
  <c r="AU174" i="17"/>
  <c r="L207" i="17"/>
  <c r="AW163" i="17"/>
  <c r="W278" i="17"/>
  <c r="AV116" i="17"/>
  <c r="Q44" i="17"/>
  <c r="AZ298" i="17"/>
  <c r="Y63" i="17"/>
  <c r="F51" i="17"/>
  <c r="AN194" i="17"/>
  <c r="AL214" i="17"/>
  <c r="AU159" i="17"/>
  <c r="AU111" i="17"/>
  <c r="AC175" i="17"/>
  <c r="Z204" i="17"/>
  <c r="AK76" i="17"/>
  <c r="AT241" i="17"/>
  <c r="AX278" i="17"/>
  <c r="AP163" i="17"/>
  <c r="BA286" i="17"/>
  <c r="AT260" i="17"/>
  <c r="AX251" i="17"/>
  <c r="AW235" i="17"/>
  <c r="L250" i="17"/>
  <c r="AT243" i="17"/>
  <c r="AU197" i="17"/>
  <c r="P160" i="17"/>
  <c r="AA216" i="17"/>
  <c r="AU235" i="17"/>
  <c r="AR89" i="17"/>
  <c r="L227" i="17"/>
  <c r="AQ72" i="17"/>
  <c r="H273" i="17"/>
  <c r="D111" i="17"/>
  <c r="AD230" i="17"/>
  <c r="AT193" i="17"/>
  <c r="AV144" i="17"/>
  <c r="P118" i="17"/>
  <c r="AV148" i="17"/>
  <c r="AH55" i="17"/>
  <c r="E288" i="17"/>
  <c r="G247" i="17"/>
  <c r="AW164" i="17"/>
  <c r="AE232" i="17"/>
  <c r="AQ266" i="17"/>
  <c r="AP101" i="17"/>
  <c r="AD53" i="17"/>
  <c r="Q93" i="17"/>
  <c r="AA87" i="17"/>
  <c r="F146" i="17"/>
  <c r="AF157" i="17"/>
  <c r="AU127" i="17"/>
  <c r="AF171" i="17"/>
  <c r="W173" i="17"/>
  <c r="AK18" i="17"/>
  <c r="F150" i="17"/>
  <c r="G168" i="17"/>
  <c r="AD112" i="17"/>
  <c r="AX133" i="17"/>
  <c r="AA121" i="17"/>
  <c r="S21" i="17"/>
  <c r="AW35" i="17"/>
  <c r="AI192" i="17"/>
  <c r="AO63" i="17"/>
  <c r="AA94" i="17"/>
  <c r="AF44" i="17"/>
  <c r="M10" i="17"/>
  <c r="AP123" i="17"/>
  <c r="V283" i="17"/>
  <c r="AR119" i="17"/>
  <c r="AF288" i="17"/>
  <c r="F105" i="17"/>
  <c r="AH305" i="17"/>
  <c r="H133" i="17"/>
  <c r="AS256" i="17"/>
  <c r="AT141" i="17"/>
  <c r="AN23" i="17"/>
  <c r="AZ293" i="17"/>
  <c r="AZ73" i="17"/>
  <c r="AY124" i="17"/>
  <c r="AP29" i="17"/>
  <c r="E187" i="17"/>
  <c r="T248" i="17"/>
  <c r="AQ94" i="17"/>
  <c r="AL36" i="17"/>
  <c r="AK67" i="17"/>
  <c r="AT248" i="17"/>
  <c r="Q202" i="17"/>
  <c r="AG260" i="17"/>
  <c r="AG242" i="17"/>
  <c r="AC306" i="17"/>
  <c r="X155" i="17"/>
  <c r="AE142" i="17"/>
  <c r="Q249" i="17"/>
  <c r="G65" i="17"/>
  <c r="BA206" i="17"/>
  <c r="AD262" i="17"/>
  <c r="AM290" i="17"/>
  <c r="AW182" i="17"/>
  <c r="AI222" i="17"/>
  <c r="AC113" i="17"/>
  <c r="N208" i="17"/>
  <c r="F284" i="17"/>
  <c r="AW4" i="17"/>
  <c r="Q241" i="17"/>
  <c r="AM289" i="17"/>
  <c r="J143" i="17"/>
  <c r="AT76" i="17"/>
  <c r="AE158" i="17"/>
  <c r="AI286" i="17"/>
  <c r="AG77" i="17"/>
  <c r="AZ62" i="17"/>
  <c r="AB66" i="17"/>
  <c r="T192" i="17"/>
  <c r="G262" i="17"/>
  <c r="AK132" i="17"/>
  <c r="Q141" i="17"/>
  <c r="G64" i="17"/>
  <c r="AU285" i="17"/>
  <c r="AH304" i="17"/>
  <c r="AF276" i="17"/>
  <c r="AW180" i="17"/>
  <c r="G5" i="17"/>
  <c r="Q194" i="17"/>
  <c r="P158" i="17"/>
  <c r="Y62" i="17"/>
  <c r="N93" i="17"/>
  <c r="AF4" i="17"/>
  <c r="AV107" i="17"/>
  <c r="AS135" i="17"/>
  <c r="AP172" i="17"/>
  <c r="AZ189" i="17"/>
  <c r="AN125" i="17"/>
  <c r="AG312" i="17"/>
  <c r="Z128" i="17"/>
  <c r="L174" i="17"/>
  <c r="D76" i="17"/>
  <c r="S83" i="17"/>
  <c r="V117" i="17"/>
  <c r="AH148" i="17"/>
  <c r="AE91" i="17"/>
  <c r="E76" i="17"/>
  <c r="AC155" i="17"/>
  <c r="AV189" i="17"/>
  <c r="N310" i="17"/>
  <c r="G116" i="17"/>
  <c r="X227" i="17"/>
  <c r="AB185" i="17"/>
  <c r="AN57" i="17"/>
  <c r="AM76" i="17"/>
  <c r="P103" i="17"/>
  <c r="AH145" i="17"/>
  <c r="AR215" i="17"/>
  <c r="T259" i="17"/>
  <c r="U175" i="17"/>
  <c r="U218" i="17"/>
  <c r="AI154" i="17"/>
  <c r="AR102" i="17"/>
  <c r="AQ242" i="17"/>
  <c r="Z243" i="17"/>
  <c r="AF305" i="17"/>
  <c r="AW232" i="17"/>
  <c r="S228" i="17"/>
  <c r="V242" i="17"/>
  <c r="H320" i="17"/>
  <c r="AZ36" i="17"/>
  <c r="AS286" i="17"/>
  <c r="AC101" i="17"/>
  <c r="K323" i="17"/>
  <c r="L225" i="17"/>
  <c r="AX73" i="17"/>
  <c r="J131" i="17"/>
  <c r="X321" i="17"/>
  <c r="AR21" i="17"/>
  <c r="F242" i="17"/>
  <c r="AH302" i="17"/>
  <c r="AF318" i="17"/>
  <c r="AA175" i="17"/>
  <c r="AX184" i="17"/>
  <c r="F131" i="17"/>
  <c r="AZ126" i="17"/>
  <c r="AP34" i="17"/>
  <c r="E157" i="17"/>
  <c r="AJ271" i="17"/>
  <c r="AE203" i="17"/>
  <c r="AE107" i="17"/>
  <c r="AT273" i="17"/>
  <c r="AM25" i="17"/>
  <c r="AK290" i="17"/>
  <c r="AF47" i="17"/>
  <c r="AK39" i="17"/>
  <c r="M269" i="17"/>
  <c r="AX311" i="17"/>
  <c r="AN19" i="17"/>
  <c r="X2" i="17"/>
  <c r="AT30" i="17"/>
  <c r="AC267" i="17"/>
  <c r="J190" i="17"/>
  <c r="AB129" i="17"/>
  <c r="AV216" i="17"/>
  <c r="AC222" i="17"/>
  <c r="AK97" i="17"/>
  <c r="AF134" i="17"/>
  <c r="P19" i="17"/>
  <c r="Y8" i="17"/>
  <c r="Y302" i="17"/>
  <c r="BA171" i="17"/>
  <c r="T18" i="17"/>
  <c r="AH41" i="17"/>
  <c r="AL299" i="17"/>
  <c r="N172" i="17"/>
  <c r="P74" i="17"/>
  <c r="O32" i="17"/>
  <c r="AP213" i="17"/>
  <c r="U245" i="17"/>
  <c r="Q41" i="17"/>
  <c r="R252" i="17"/>
  <c r="AS166" i="17"/>
  <c r="AO299" i="17"/>
  <c r="D36" i="17"/>
  <c r="D299" i="17"/>
  <c r="AZ271" i="17"/>
  <c r="M288" i="17"/>
  <c r="S225" i="17"/>
  <c r="O120" i="17"/>
  <c r="AN285" i="17"/>
  <c r="AM209" i="17"/>
  <c r="AI97" i="17"/>
  <c r="Y274" i="17"/>
  <c r="BA276" i="17"/>
  <c r="AN73" i="17"/>
  <c r="L64" i="17"/>
  <c r="H34" i="17"/>
  <c r="AR212" i="17"/>
  <c r="E234" i="17"/>
  <c r="P222" i="17"/>
  <c r="S243" i="17"/>
  <c r="AC89" i="17"/>
  <c r="AG286" i="17"/>
  <c r="Q311" i="17"/>
  <c r="F73" i="17"/>
  <c r="AX12" i="17"/>
  <c r="N234" i="17"/>
  <c r="AF39" i="17"/>
  <c r="AV108" i="17"/>
  <c r="AE15" i="17"/>
  <c r="AT38" i="17"/>
  <c r="AN43" i="17"/>
  <c r="AL18" i="17"/>
  <c r="AO93" i="17"/>
  <c r="AU89" i="17"/>
  <c r="T289" i="17"/>
  <c r="AD202" i="17"/>
  <c r="AI91" i="17"/>
  <c r="AT167" i="17"/>
  <c r="W88" i="17"/>
  <c r="L76" i="17"/>
  <c r="P104" i="17"/>
  <c r="AS21" i="17"/>
  <c r="E45" i="17"/>
  <c r="O277" i="17"/>
  <c r="Q196" i="17"/>
  <c r="AI247" i="17"/>
  <c r="AX146" i="17"/>
  <c r="Q129" i="17"/>
  <c r="AL20" i="17"/>
  <c r="AC282" i="17"/>
  <c r="AM249" i="17"/>
  <c r="AX9" i="17"/>
  <c r="AU156" i="17"/>
  <c r="V291" i="17"/>
  <c r="J118" i="17"/>
  <c r="AT298" i="17"/>
  <c r="N269" i="17"/>
  <c r="AV283" i="17"/>
  <c r="AJ89" i="17"/>
  <c r="M223" i="17"/>
  <c r="X25" i="17"/>
  <c r="I145" i="17"/>
  <c r="AD327" i="17"/>
  <c r="AD194" i="17"/>
  <c r="AV188" i="17"/>
  <c r="AR301" i="17"/>
  <c r="T200" i="17"/>
  <c r="AH47" i="17"/>
  <c r="Z266" i="17"/>
  <c r="AB12" i="17"/>
  <c r="P68" i="17"/>
  <c r="AB189" i="17"/>
  <c r="L261" i="17"/>
  <c r="Q281" i="17"/>
  <c r="AL15" i="17"/>
  <c r="Q47" i="17"/>
  <c r="AU126" i="17"/>
  <c r="G125" i="17"/>
  <c r="K265" i="17"/>
  <c r="M242" i="17"/>
  <c r="Y284" i="17"/>
  <c r="G131" i="17"/>
  <c r="AM172" i="17"/>
  <c r="U164" i="17"/>
  <c r="X201" i="17"/>
  <c r="X104" i="17"/>
  <c r="W115" i="17"/>
  <c r="W216" i="17"/>
  <c r="AH190" i="17"/>
  <c r="M246" i="17"/>
  <c r="Y159" i="17"/>
  <c r="BA3" i="17"/>
  <c r="AU295" i="17"/>
  <c r="AF159" i="17"/>
  <c r="AE154" i="17"/>
  <c r="E275" i="17"/>
  <c r="AT211" i="17"/>
  <c r="AD100" i="17"/>
  <c r="E124" i="17"/>
  <c r="AP32" i="17"/>
  <c r="AU175" i="17"/>
  <c r="AD104" i="17"/>
  <c r="D121" i="17"/>
  <c r="AH12" i="17"/>
  <c r="AA270" i="17"/>
  <c r="X168" i="17"/>
  <c r="F12" i="17"/>
  <c r="AP266" i="17"/>
  <c r="E204" i="17"/>
  <c r="R189" i="17"/>
  <c r="AD289" i="17"/>
  <c r="AF279" i="17"/>
  <c r="S20" i="17"/>
  <c r="AU71" i="17"/>
  <c r="AZ114" i="17"/>
  <c r="AG170" i="17"/>
  <c r="X140" i="17"/>
  <c r="AB305" i="17"/>
  <c r="AX163" i="17"/>
  <c r="AD292" i="17"/>
  <c r="AZ320" i="17"/>
  <c r="S27" i="17"/>
  <c r="AT86" i="17"/>
  <c r="AX186" i="17"/>
  <c r="AX49" i="17"/>
  <c r="S218" i="17"/>
  <c r="O46" i="17"/>
  <c r="G250" i="17"/>
  <c r="W41" i="17"/>
  <c r="AM161" i="17"/>
  <c r="AU62" i="17"/>
  <c r="AL46" i="17"/>
  <c r="AI96" i="17"/>
  <c r="Q10" i="17"/>
  <c r="AT135" i="17"/>
  <c r="AP119" i="17"/>
  <c r="AZ164" i="17"/>
  <c r="AX297" i="17"/>
  <c r="AO274" i="17"/>
  <c r="AY38" i="17"/>
  <c r="AW316" i="17"/>
  <c r="BA46" i="17"/>
  <c r="AG8" i="17"/>
  <c r="AO220" i="17"/>
  <c r="AZ247" i="17"/>
  <c r="W9" i="17"/>
  <c r="Q319" i="17"/>
  <c r="AU145" i="17"/>
  <c r="AG258" i="17"/>
  <c r="K245" i="17"/>
  <c r="G3" i="17"/>
  <c r="P18" i="17"/>
  <c r="AE199" i="17"/>
  <c r="AL120" i="17"/>
  <c r="O137" i="17"/>
  <c r="P257" i="17"/>
  <c r="R25" i="17"/>
  <c r="AR313" i="17"/>
  <c r="AF110" i="17"/>
  <c r="AG63" i="17"/>
  <c r="AY227" i="17"/>
  <c r="R226" i="17"/>
  <c r="AZ28" i="17"/>
  <c r="AU54" i="17"/>
  <c r="AJ289" i="17"/>
  <c r="AR113" i="17"/>
  <c r="G90" i="17"/>
  <c r="I42" i="17"/>
  <c r="H286" i="17"/>
  <c r="AY25" i="17"/>
  <c r="AQ151" i="17"/>
  <c r="AV104" i="17"/>
  <c r="Z194" i="17"/>
  <c r="Q297" i="17"/>
  <c r="AR232" i="17"/>
  <c r="AA191" i="17"/>
  <c r="AD215" i="17"/>
  <c r="AH112" i="17"/>
  <c r="AV298" i="17"/>
  <c r="Y73" i="17"/>
  <c r="E26" i="17"/>
  <c r="AH28" i="17"/>
  <c r="V139" i="17"/>
  <c r="AO80" i="17"/>
  <c r="AR124" i="17"/>
  <c r="E128" i="17"/>
  <c r="U114" i="17"/>
  <c r="V229" i="17"/>
  <c r="AQ231" i="17"/>
  <c r="AO60" i="17"/>
  <c r="AE257" i="17"/>
  <c r="W50" i="17"/>
  <c r="AU56" i="17"/>
  <c r="AU105" i="17"/>
  <c r="AA174" i="17"/>
  <c r="F283" i="17"/>
  <c r="AX64" i="17"/>
  <c r="AU303" i="17"/>
  <c r="AY206" i="17"/>
  <c r="AN163" i="17"/>
  <c r="AZ283" i="17"/>
  <c r="N196" i="17"/>
  <c r="E125" i="17"/>
  <c r="S145" i="17"/>
  <c r="AJ163" i="17"/>
  <c r="AT257" i="17"/>
  <c r="R281" i="17"/>
  <c r="AX18" i="17"/>
  <c r="Z274" i="17"/>
  <c r="P130" i="17"/>
  <c r="J186" i="17"/>
  <c r="BA294" i="17"/>
  <c r="K4" i="17"/>
  <c r="AV175" i="17"/>
  <c r="AR293" i="17"/>
  <c r="AN14" i="17"/>
  <c r="J204" i="17"/>
  <c r="Q151" i="17"/>
  <c r="AV97" i="17"/>
  <c r="AD201" i="17"/>
  <c r="E190" i="17"/>
  <c r="AY240" i="17"/>
  <c r="AS30" i="17"/>
  <c r="K46" i="17"/>
  <c r="AG244" i="17"/>
  <c r="D321" i="17"/>
  <c r="AU315" i="17"/>
  <c r="AO273" i="17"/>
  <c r="V222" i="17"/>
  <c r="G290" i="17"/>
  <c r="AX39" i="17"/>
  <c r="AB292" i="17"/>
  <c r="AK219" i="17"/>
  <c r="D84" i="17"/>
  <c r="AL281" i="17"/>
  <c r="AC168" i="17"/>
  <c r="AX2" i="17"/>
  <c r="AM183" i="17"/>
  <c r="AF296" i="17"/>
  <c r="AI137" i="17"/>
  <c r="V17" i="17"/>
  <c r="AD252" i="17"/>
  <c r="T203" i="17"/>
  <c r="BA138" i="17"/>
  <c r="AS213" i="17"/>
  <c r="AT131" i="17"/>
  <c r="AG187" i="17"/>
  <c r="H109" i="17"/>
  <c r="T103" i="17"/>
  <c r="AD76" i="17"/>
  <c r="AK116" i="17"/>
  <c r="P6" i="17"/>
  <c r="AM180" i="17"/>
  <c r="AG26" i="17"/>
  <c r="E295" i="17"/>
  <c r="W274" i="17"/>
  <c r="AT107" i="17"/>
  <c r="AI263" i="17"/>
  <c r="AI144" i="17"/>
  <c r="AQ73" i="17"/>
  <c r="L280" i="17"/>
  <c r="BA136" i="17"/>
  <c r="K252" i="17"/>
  <c r="AN322" i="17"/>
  <c r="W289" i="17"/>
  <c r="E167" i="17"/>
  <c r="AH10" i="17"/>
  <c r="D107" i="17"/>
  <c r="P220" i="17"/>
  <c r="I21" i="17"/>
  <c r="K28" i="17"/>
  <c r="T302" i="17"/>
  <c r="G155" i="17"/>
  <c r="N73" i="17"/>
  <c r="U96" i="17"/>
  <c r="Z245" i="17"/>
  <c r="AY247" i="17"/>
  <c r="AG228" i="17"/>
  <c r="M11" i="17"/>
  <c r="AJ7" i="17"/>
  <c r="AD86" i="17"/>
  <c r="AR123" i="17"/>
  <c r="W290" i="17"/>
  <c r="AT125" i="17"/>
  <c r="AV235" i="17"/>
  <c r="AX197" i="17"/>
  <c r="AH284" i="17"/>
  <c r="L270" i="17"/>
  <c r="AJ188" i="17"/>
  <c r="AQ130" i="17"/>
  <c r="AV23" i="17"/>
  <c r="AI190" i="17"/>
  <c r="K126" i="17"/>
  <c r="AT52" i="17"/>
  <c r="P264" i="17"/>
  <c r="I171" i="17"/>
  <c r="AL305" i="17"/>
  <c r="AK272" i="17"/>
  <c r="AO34" i="17"/>
  <c r="AB106" i="17"/>
  <c r="AM18" i="17"/>
  <c r="AH260" i="17"/>
  <c r="AH287" i="17"/>
  <c r="AT16" i="17"/>
  <c r="N223" i="17"/>
  <c r="AG43" i="17"/>
  <c r="G287" i="17"/>
  <c r="AM132" i="17"/>
  <c r="Z272" i="17"/>
  <c r="W108" i="17"/>
  <c r="AL87" i="17"/>
  <c r="H157" i="17"/>
  <c r="H214" i="17"/>
  <c r="H293" i="17"/>
  <c r="AP108" i="17"/>
  <c r="AY179" i="17"/>
  <c r="AN287" i="17"/>
  <c r="AD314" i="17"/>
  <c r="AB153" i="17"/>
  <c r="AL104" i="17"/>
  <c r="V66" i="17"/>
  <c r="H277" i="17"/>
  <c r="AZ19" i="17"/>
  <c r="AF178" i="17"/>
  <c r="AZ222" i="17"/>
  <c r="G322" i="17"/>
  <c r="AA148" i="17"/>
  <c r="N128" i="17"/>
  <c r="AL263" i="17"/>
  <c r="AH2" i="17"/>
  <c r="AX24" i="17"/>
  <c r="BA217" i="17"/>
  <c r="V129" i="17"/>
  <c r="BA220" i="17"/>
  <c r="U6" i="17"/>
  <c r="AT66" i="17"/>
  <c r="Y76" i="17"/>
  <c r="AP140" i="17"/>
  <c r="AX61" i="17"/>
  <c r="AW132" i="17"/>
  <c r="AD67" i="17"/>
  <c r="W23" i="17"/>
  <c r="AN80" i="17"/>
  <c r="F25" i="17"/>
  <c r="AH119" i="17"/>
  <c r="AN238" i="17"/>
  <c r="AM216" i="17"/>
  <c r="AC26" i="17"/>
  <c r="J74" i="17"/>
  <c r="AI199" i="17"/>
  <c r="AU95" i="17"/>
  <c r="AS188" i="17"/>
  <c r="AK30" i="17"/>
  <c r="K67" i="17"/>
  <c r="W43" i="17"/>
  <c r="AR52" i="17"/>
  <c r="N114" i="17"/>
  <c r="AV65" i="17"/>
  <c r="AV321" i="17"/>
  <c r="AH120" i="17"/>
  <c r="G105" i="17"/>
  <c r="L141" i="17"/>
  <c r="BA79" i="17"/>
  <c r="AG50" i="17"/>
  <c r="R89" i="17"/>
  <c r="AH195" i="17"/>
  <c r="AI118" i="17"/>
  <c r="AQ57" i="17"/>
  <c r="AN41" i="17"/>
  <c r="AW118" i="17"/>
  <c r="AO291" i="17"/>
  <c r="AT143" i="17"/>
  <c r="AU59" i="17"/>
  <c r="P147" i="17"/>
  <c r="V196" i="17"/>
  <c r="AE236" i="17"/>
  <c r="AN204" i="17"/>
  <c r="Y82" i="17"/>
  <c r="D64" i="17"/>
  <c r="AP195" i="17"/>
  <c r="I277" i="17"/>
  <c r="T43" i="17"/>
  <c r="Z301" i="17"/>
  <c r="S71" i="17"/>
  <c r="L282" i="17"/>
  <c r="K159" i="17"/>
  <c r="V271" i="17"/>
  <c r="AG133" i="17"/>
  <c r="AO91" i="17"/>
  <c r="AH89" i="17"/>
  <c r="E24" i="17"/>
  <c r="AP290" i="17"/>
  <c r="V146" i="17"/>
  <c r="V77" i="17"/>
  <c r="AI304" i="17"/>
  <c r="X263" i="17"/>
  <c r="AK274" i="17"/>
  <c r="AA233" i="17"/>
  <c r="N154" i="17"/>
  <c r="BA114" i="17"/>
  <c r="D181" i="17"/>
  <c r="AU119" i="17"/>
  <c r="O141" i="17"/>
  <c r="AM309" i="17"/>
  <c r="T272" i="17"/>
  <c r="K173" i="17"/>
  <c r="BA93" i="17"/>
  <c r="F307" i="17"/>
  <c r="AQ295" i="17"/>
  <c r="P34" i="17"/>
  <c r="V29" i="17"/>
  <c r="AZ173" i="17"/>
  <c r="Z314" i="17"/>
  <c r="AH249" i="17"/>
  <c r="P31" i="17"/>
  <c r="AB147" i="17"/>
  <c r="AV172" i="17"/>
  <c r="AT295" i="17"/>
  <c r="AC293" i="17"/>
  <c r="AK95" i="17"/>
  <c r="P38" i="17"/>
  <c r="X50" i="17"/>
  <c r="AJ268" i="17"/>
  <c r="AB116" i="17"/>
  <c r="AX6" i="17"/>
  <c r="AZ221" i="17"/>
  <c r="O276" i="17"/>
  <c r="E52" i="17"/>
  <c r="AS189" i="17"/>
  <c r="H234" i="17"/>
  <c r="AD310" i="17"/>
  <c r="AH205" i="17"/>
  <c r="AU205" i="17"/>
  <c r="BA210" i="17"/>
  <c r="AQ308" i="17"/>
  <c r="AF301" i="17"/>
  <c r="Q254" i="17"/>
  <c r="AZ314" i="17"/>
  <c r="D89" i="17"/>
  <c r="U46" i="17"/>
  <c r="AF81" i="17"/>
  <c r="AH241" i="17"/>
  <c r="AT288" i="17"/>
  <c r="G68" i="17"/>
  <c r="R209" i="17"/>
  <c r="S190" i="17"/>
  <c r="AP295" i="17"/>
  <c r="AN25" i="17"/>
  <c r="T292" i="17"/>
  <c r="AD254" i="17"/>
  <c r="BA321" i="17"/>
  <c r="AM262" i="17"/>
  <c r="M254" i="17"/>
  <c r="AP224" i="17"/>
  <c r="Y15" i="17"/>
  <c r="AH59" i="17"/>
  <c r="AR196" i="17"/>
  <c r="AR135" i="17"/>
  <c r="I119" i="17"/>
  <c r="H256" i="17"/>
  <c r="AM320" i="17"/>
  <c r="T250" i="17"/>
  <c r="N53" i="17"/>
  <c r="AJ56" i="17"/>
  <c r="M257" i="17"/>
  <c r="AC253" i="17"/>
  <c r="AX91" i="17"/>
  <c r="AD58" i="17"/>
  <c r="AU27" i="17"/>
  <c r="AL284" i="17"/>
  <c r="H37" i="17"/>
  <c r="E10" i="17"/>
  <c r="AY173" i="17"/>
  <c r="AU309" i="17"/>
  <c r="AT165" i="17"/>
  <c r="AQ218" i="17"/>
  <c r="J255" i="17"/>
  <c r="Z171" i="17"/>
  <c r="AG224" i="17"/>
  <c r="BA58" i="17"/>
  <c r="D154" i="17"/>
  <c r="F259" i="17"/>
  <c r="AU194" i="17"/>
  <c r="R71" i="17"/>
  <c r="Q291" i="17"/>
  <c r="AB161" i="17"/>
  <c r="AO172" i="17"/>
  <c r="AH73" i="17"/>
  <c r="K319" i="17"/>
  <c r="AU37" i="17"/>
  <c r="Q303" i="17"/>
  <c r="F41" i="17"/>
  <c r="AW203" i="17"/>
  <c r="AG181" i="17"/>
  <c r="O239" i="17"/>
  <c r="AA58" i="17"/>
  <c r="AT112" i="17"/>
  <c r="P110" i="17"/>
  <c r="U18" i="17"/>
  <c r="Q166" i="17"/>
  <c r="E243" i="17"/>
  <c r="W94" i="17"/>
  <c r="Q287" i="17"/>
  <c r="R288" i="17"/>
  <c r="M281" i="17"/>
  <c r="X132" i="17"/>
  <c r="AO171" i="17"/>
  <c r="AO182" i="17"/>
  <c r="AZ281" i="17"/>
  <c r="G75" i="17"/>
  <c r="O292" i="17"/>
  <c r="Y16" i="17"/>
  <c r="L15" i="17"/>
  <c r="AL209" i="17"/>
  <c r="N300" i="17"/>
  <c r="AB157" i="17"/>
  <c r="AO233" i="17"/>
  <c r="AN172" i="17"/>
  <c r="X200" i="17"/>
  <c r="AX71" i="17"/>
  <c r="AZ138" i="17"/>
  <c r="Z4" i="17"/>
  <c r="AQ257" i="17"/>
  <c r="N183" i="17"/>
  <c r="AF310" i="17"/>
  <c r="AA73" i="17"/>
  <c r="AY135" i="17"/>
  <c r="AP200" i="17"/>
  <c r="AB263" i="17"/>
  <c r="AG243" i="17"/>
  <c r="AH277" i="17"/>
  <c r="AT233" i="17"/>
  <c r="AC35" i="17"/>
  <c r="BA279" i="17"/>
  <c r="AX40" i="17"/>
  <c r="E241" i="17"/>
  <c r="AN151" i="17"/>
  <c r="Y212" i="17"/>
  <c r="W251" i="17"/>
  <c r="AY194" i="17"/>
  <c r="V131" i="17"/>
  <c r="AW115" i="17"/>
  <c r="AX150" i="17"/>
  <c r="AZ111" i="17"/>
  <c r="U238" i="17"/>
  <c r="M249" i="17"/>
  <c r="G151" i="17"/>
  <c r="AY287" i="17"/>
  <c r="AQ185" i="17"/>
  <c r="X20" i="17"/>
  <c r="P273" i="17"/>
  <c r="E273" i="17"/>
  <c r="AF179" i="17"/>
  <c r="AC290" i="17"/>
  <c r="AG24" i="17"/>
  <c r="Z182" i="17"/>
  <c r="V260" i="17"/>
  <c r="AO51" i="17"/>
  <c r="AR285" i="17"/>
  <c r="AS275" i="17"/>
  <c r="AW306" i="17"/>
  <c r="AV131" i="17"/>
  <c r="R240" i="17"/>
  <c r="G170" i="17"/>
  <c r="K312" i="17"/>
  <c r="AP166" i="17"/>
  <c r="AO324" i="17"/>
  <c r="AN81" i="17"/>
  <c r="Q299" i="17"/>
  <c r="N127" i="17"/>
  <c r="AV115" i="17"/>
  <c r="AD269" i="17"/>
  <c r="AJ171" i="17"/>
  <c r="AD307" i="17"/>
  <c r="J19" i="17"/>
  <c r="AV276" i="17"/>
  <c r="V170" i="17"/>
  <c r="AM231" i="17"/>
  <c r="AO321" i="17"/>
  <c r="AP217" i="17"/>
  <c r="AN169" i="17"/>
  <c r="E261" i="17"/>
  <c r="AA234" i="17"/>
  <c r="K47" i="17"/>
  <c r="AA181" i="17"/>
  <c r="AF83" i="17"/>
  <c r="AP5" i="17"/>
  <c r="AZ231" i="17"/>
  <c r="AO30" i="17"/>
  <c r="AB76" i="17"/>
  <c r="AS60" i="17"/>
  <c r="AV168" i="17"/>
  <c r="Y43" i="17"/>
  <c r="Q243" i="17"/>
  <c r="W73" i="17"/>
  <c r="M284" i="17"/>
  <c r="Y7" i="17"/>
  <c r="L288" i="17"/>
  <c r="Q5" i="17"/>
  <c r="G254" i="17"/>
  <c r="E58" i="17"/>
  <c r="E258" i="17"/>
  <c r="AL72" i="17"/>
  <c r="J277" i="17"/>
  <c r="AN105" i="17"/>
  <c r="J231" i="17"/>
  <c r="AS22" i="17"/>
  <c r="D264" i="17"/>
  <c r="AV26" i="17"/>
  <c r="AC234" i="17"/>
  <c r="AC28" i="17"/>
  <c r="Q253" i="17"/>
  <c r="N35" i="17"/>
  <c r="V140" i="17"/>
  <c r="AG292" i="17"/>
  <c r="AE235" i="17"/>
  <c r="AH153" i="17"/>
  <c r="AV60" i="17"/>
  <c r="N186" i="17"/>
  <c r="Q107" i="17"/>
  <c r="Z296" i="17"/>
  <c r="AH324" i="17"/>
  <c r="U88" i="17"/>
  <c r="AI215" i="17"/>
  <c r="H288" i="17"/>
  <c r="AW85" i="17"/>
  <c r="AE274" i="17"/>
  <c r="I93" i="17"/>
  <c r="AO247" i="17"/>
  <c r="N226" i="17"/>
  <c r="AV196" i="17"/>
  <c r="AA310" i="17"/>
  <c r="AX105" i="17"/>
  <c r="AD258" i="17"/>
  <c r="R301" i="17"/>
  <c r="M218" i="17"/>
  <c r="T209" i="17"/>
  <c r="AH13" i="17"/>
  <c r="O154" i="17"/>
  <c r="W268" i="17"/>
  <c r="AA253" i="17"/>
  <c r="F142" i="17"/>
  <c r="AX141" i="17"/>
  <c r="E79" i="17"/>
  <c r="AD218" i="17"/>
  <c r="I317" i="17"/>
  <c r="AC297" i="17"/>
  <c r="AW197" i="17"/>
  <c r="R298" i="17"/>
  <c r="X297" i="17"/>
  <c r="AK314" i="17"/>
  <c r="F96" i="17"/>
  <c r="W155" i="17"/>
  <c r="AZ279" i="17"/>
  <c r="AB281" i="17"/>
  <c r="E325" i="17"/>
  <c r="S314" i="17"/>
  <c r="AK233" i="17"/>
  <c r="D296" i="17"/>
  <c r="AL230" i="17"/>
  <c r="AE298" i="17"/>
  <c r="AF63" i="17"/>
  <c r="Q229" i="17"/>
  <c r="AG276" i="17"/>
  <c r="T257" i="17"/>
  <c r="AB300" i="17"/>
  <c r="U272" i="17"/>
  <c r="Z298" i="17"/>
  <c r="AB74" i="17"/>
  <c r="AO297" i="17"/>
  <c r="AX106" i="17"/>
  <c r="AP62" i="17"/>
  <c r="AS312" i="17"/>
  <c r="V256" i="17"/>
  <c r="U139" i="17"/>
  <c r="L286" i="17"/>
  <c r="BA87" i="17"/>
  <c r="AK19" i="17"/>
  <c r="AU282" i="17"/>
  <c r="AS81" i="17"/>
  <c r="AR134" i="17"/>
  <c r="AV247" i="17"/>
  <c r="AW269" i="17"/>
  <c r="S133" i="17"/>
  <c r="BA102" i="17"/>
  <c r="AL55" i="17"/>
  <c r="AP89" i="17"/>
  <c r="AW298" i="17"/>
  <c r="W37" i="17"/>
  <c r="W240" i="17"/>
  <c r="O172" i="17"/>
  <c r="D298" i="17"/>
  <c r="Q21" i="17"/>
  <c r="BA163" i="17"/>
  <c r="R126" i="17"/>
  <c r="AL97" i="17"/>
  <c r="M106" i="17"/>
  <c r="AC230" i="17"/>
  <c r="N175" i="17"/>
  <c r="AH140" i="17"/>
  <c r="K210" i="17"/>
  <c r="AJ80" i="17"/>
  <c r="T98" i="17"/>
  <c r="N284" i="17"/>
  <c r="M186" i="17"/>
  <c r="AI297" i="17"/>
  <c r="AN185" i="17"/>
  <c r="L92" i="17"/>
  <c r="AD38" i="17"/>
  <c r="W61" i="17"/>
  <c r="AT133" i="17"/>
  <c r="AI7" i="17"/>
  <c r="X83" i="17"/>
  <c r="X176" i="17"/>
  <c r="Z307" i="17"/>
  <c r="AT317" i="17"/>
  <c r="BA24" i="17"/>
  <c r="Q14" i="17"/>
  <c r="M270" i="17"/>
  <c r="AR142" i="17"/>
  <c r="AG20" i="17"/>
  <c r="BA175" i="17"/>
  <c r="AM325" i="17"/>
  <c r="O242" i="17"/>
  <c r="AM196" i="17"/>
  <c r="I308" i="17"/>
  <c r="AQ255" i="17"/>
  <c r="L199" i="17"/>
  <c r="AQ3" i="17"/>
  <c r="AV55" i="17"/>
  <c r="O257" i="17"/>
  <c r="N238" i="17"/>
  <c r="AX312" i="17"/>
  <c r="I255" i="17"/>
  <c r="AX65" i="17"/>
  <c r="M137" i="17"/>
  <c r="K21" i="17"/>
  <c r="AF271" i="17"/>
  <c r="F119" i="17"/>
  <c r="AC74" i="17"/>
  <c r="U8" i="17"/>
  <c r="J27" i="17"/>
  <c r="K75" i="17"/>
  <c r="BA15" i="17"/>
  <c r="W6" i="17"/>
  <c r="M61" i="17"/>
  <c r="AK248" i="17"/>
  <c r="F173" i="17"/>
  <c r="H127" i="17"/>
  <c r="AV82" i="17"/>
  <c r="AB254" i="17"/>
  <c r="Q240" i="17"/>
  <c r="AJ161" i="17"/>
  <c r="U233" i="17"/>
  <c r="Z208" i="17"/>
  <c r="AY275" i="17"/>
  <c r="AQ328" i="17"/>
  <c r="AP252" i="17"/>
  <c r="AP141" i="17"/>
  <c r="Y185" i="17"/>
  <c r="AK281" i="17"/>
  <c r="U68" i="17"/>
  <c r="AE12" i="17"/>
  <c r="AP311" i="17"/>
  <c r="Q37" i="17"/>
  <c r="Y77" i="17"/>
  <c r="M313" i="17"/>
  <c r="D131" i="17"/>
  <c r="K251" i="17"/>
  <c r="R319" i="17"/>
  <c r="Q188" i="17"/>
  <c r="AW305" i="17"/>
  <c r="BA314" i="17"/>
  <c r="S322" i="17"/>
  <c r="T88" i="17"/>
  <c r="AO183" i="17"/>
  <c r="G246" i="17"/>
  <c r="AL231" i="17"/>
  <c r="S48" i="17"/>
  <c r="AU276" i="17"/>
  <c r="AX277" i="17"/>
  <c r="AC221" i="17"/>
  <c r="F92" i="17"/>
  <c r="AY4" i="17"/>
  <c r="M75" i="17"/>
  <c r="S128" i="17"/>
  <c r="AT24" i="17"/>
  <c r="AF106" i="17"/>
  <c r="AI275" i="17"/>
  <c r="V12" i="17"/>
  <c r="K164" i="17"/>
  <c r="AQ52" i="17"/>
  <c r="BA154" i="17"/>
  <c r="AV273" i="17"/>
  <c r="AA266" i="17"/>
  <c r="AD49" i="17"/>
  <c r="AF67" i="17"/>
  <c r="AK58" i="17"/>
  <c r="AV74" i="17"/>
  <c r="T215" i="17"/>
  <c r="BA27" i="17"/>
  <c r="AZ300" i="17"/>
  <c r="M18" i="17"/>
  <c r="F308" i="17"/>
  <c r="I25" i="17"/>
  <c r="G296" i="17"/>
  <c r="AC111" i="17"/>
  <c r="V316" i="17"/>
  <c r="X286" i="17"/>
  <c r="K301" i="17"/>
  <c r="AF61" i="17"/>
  <c r="AM195" i="17"/>
  <c r="AD227" i="17"/>
  <c r="BA293" i="17"/>
  <c r="W270" i="17"/>
  <c r="E191" i="17"/>
  <c r="Z251" i="17"/>
  <c r="W58" i="17"/>
  <c r="AF161" i="17"/>
  <c r="AA319" i="17"/>
  <c r="AE314" i="17"/>
  <c r="AU257" i="17"/>
  <c r="AH297" i="17"/>
  <c r="D102" i="17"/>
  <c r="AH149" i="17"/>
  <c r="AZ197" i="17"/>
  <c r="AI67" i="17"/>
  <c r="AN55" i="17"/>
  <c r="R304" i="17"/>
  <c r="S277" i="17"/>
  <c r="Y319" i="17"/>
  <c r="Q301" i="17"/>
  <c r="AJ146" i="17"/>
  <c r="AS153" i="17"/>
  <c r="D53" i="17"/>
  <c r="AF266" i="17"/>
  <c r="Z127" i="17"/>
  <c r="T116" i="17"/>
  <c r="AS62" i="17"/>
  <c r="J290" i="17"/>
  <c r="R315" i="17"/>
  <c r="U19" i="17"/>
  <c r="AC164" i="17"/>
  <c r="M190" i="17"/>
  <c r="AN53" i="17"/>
  <c r="AJ83" i="17"/>
  <c r="Q72" i="17"/>
  <c r="W301" i="17"/>
  <c r="AX259" i="17"/>
  <c r="AT149" i="17"/>
  <c r="AX195" i="17"/>
  <c r="AZ157" i="17"/>
  <c r="Z115" i="17"/>
  <c r="AZ259" i="17"/>
  <c r="K149" i="17"/>
  <c r="AF281" i="17"/>
  <c r="F252" i="17"/>
  <c r="I215" i="17"/>
  <c r="H298" i="17"/>
  <c r="O238" i="17"/>
  <c r="V89" i="17"/>
  <c r="AE132" i="17"/>
  <c r="N209" i="17"/>
  <c r="W197" i="17"/>
  <c r="W15" i="17"/>
  <c r="AB14" i="17"/>
  <c r="AX21" i="17"/>
  <c r="AM31" i="17"/>
  <c r="AA68" i="17"/>
  <c r="W72" i="17"/>
  <c r="AX266" i="17"/>
  <c r="AK61" i="17"/>
  <c r="H189" i="17"/>
  <c r="AB121" i="17"/>
  <c r="AO235" i="17"/>
  <c r="AM280" i="17"/>
  <c r="AO87" i="17"/>
  <c r="AM263" i="17"/>
  <c r="U163" i="17"/>
  <c r="T239" i="17"/>
  <c r="T26" i="17"/>
  <c r="Q245" i="17"/>
  <c r="G265" i="17"/>
  <c r="AV53" i="17"/>
  <c r="T8" i="17"/>
  <c r="L208" i="17"/>
  <c r="M173" i="17"/>
  <c r="AM170" i="17"/>
  <c r="AQ40" i="17"/>
  <c r="E276" i="17"/>
  <c r="AP205" i="17"/>
  <c r="Z118" i="17"/>
  <c r="AR262" i="17"/>
  <c r="I250" i="17"/>
  <c r="AB8" i="17"/>
  <c r="AG88" i="17"/>
  <c r="AC8" i="17"/>
  <c r="F197" i="17"/>
  <c r="T237" i="17"/>
  <c r="R308" i="17"/>
  <c r="L131" i="17"/>
  <c r="AN289" i="17"/>
  <c r="H30" i="17"/>
  <c r="AZ208" i="17"/>
  <c r="AV20" i="17"/>
  <c r="AS301" i="17"/>
  <c r="S89" i="17"/>
  <c r="V138" i="17"/>
  <c r="AW81" i="17"/>
  <c r="AA249" i="17"/>
  <c r="AP122" i="17"/>
  <c r="BA291" i="17"/>
  <c r="AJ167" i="17"/>
  <c r="AI162" i="17"/>
  <c r="M59" i="17"/>
  <c r="P262" i="17"/>
  <c r="AV313" i="17"/>
  <c r="E186" i="17"/>
  <c r="AN52" i="17"/>
  <c r="N270" i="17"/>
  <c r="AV103" i="17"/>
  <c r="M93" i="17"/>
  <c r="AZ190" i="17"/>
  <c r="AL297" i="17"/>
  <c r="AF151" i="17"/>
  <c r="AU152" i="17"/>
  <c r="AC161" i="17"/>
  <c r="P322" i="17"/>
  <c r="AJ306" i="17"/>
  <c r="O319" i="17"/>
  <c r="M50" i="17"/>
  <c r="AA157" i="17"/>
  <c r="T309" i="17"/>
  <c r="I127" i="17"/>
  <c r="AF53" i="17"/>
  <c r="AP301" i="17"/>
  <c r="AZ108" i="17"/>
  <c r="AQ221" i="17"/>
  <c r="AW227" i="17"/>
  <c r="AP227" i="17"/>
  <c r="AJ76" i="17"/>
  <c r="AS269" i="17"/>
  <c r="P92" i="17"/>
  <c r="V47" i="17"/>
  <c r="AU264" i="17"/>
  <c r="AV130" i="17"/>
  <c r="Z192" i="17"/>
  <c r="F63" i="17"/>
  <c r="S320" i="17"/>
  <c r="AV80" i="17"/>
  <c r="H324" i="17"/>
  <c r="AJ55" i="17"/>
  <c r="AG249" i="17"/>
  <c r="M152" i="17"/>
  <c r="AZ275" i="17"/>
  <c r="AB302" i="17"/>
  <c r="AN266" i="17"/>
  <c r="AI111" i="17"/>
  <c r="AY296" i="17"/>
  <c r="AJ264" i="17"/>
  <c r="Y265" i="17"/>
  <c r="AS124" i="17"/>
  <c r="AH85" i="17"/>
  <c r="AP128" i="17"/>
  <c r="K84" i="17"/>
  <c r="Y131" i="17"/>
  <c r="D12" i="17"/>
  <c r="AM241" i="17"/>
  <c r="AI259" i="17"/>
  <c r="AY31" i="17"/>
  <c r="K270" i="17"/>
  <c r="O101" i="17"/>
  <c r="AP256" i="17"/>
  <c r="AG130" i="17"/>
  <c r="AJ63" i="17"/>
  <c r="AT77" i="17"/>
  <c r="AC256" i="17"/>
  <c r="AT300" i="17"/>
  <c r="BA107" i="17"/>
  <c r="AU170" i="17"/>
  <c r="AW287" i="17"/>
  <c r="AY45" i="17"/>
  <c r="AL283" i="17"/>
  <c r="AK210" i="17"/>
  <c r="AT2" i="17"/>
  <c r="E299" i="17"/>
  <c r="AG323" i="17"/>
  <c r="T245" i="17"/>
  <c r="O57" i="17"/>
  <c r="AO23" i="17"/>
  <c r="X320" i="17"/>
  <c r="Q179" i="17"/>
  <c r="AW262" i="17"/>
  <c r="AI278" i="17"/>
  <c r="AN320" i="17"/>
  <c r="AK71" i="17"/>
  <c r="K264" i="17"/>
  <c r="AO69" i="17"/>
  <c r="M94" i="17"/>
  <c r="K65" i="17"/>
  <c r="AX234" i="17"/>
  <c r="N56" i="17"/>
  <c r="AR63" i="17"/>
  <c r="AR77" i="17"/>
  <c r="AS215" i="17"/>
  <c r="W231" i="17"/>
  <c r="U65" i="17"/>
  <c r="T160" i="17"/>
  <c r="AP111" i="17"/>
  <c r="AY130" i="17"/>
  <c r="AE186" i="17"/>
  <c r="H278" i="17"/>
  <c r="AJ24" i="17"/>
  <c r="AB229" i="17"/>
  <c r="AZ82" i="17"/>
  <c r="D61" i="17"/>
  <c r="AT297" i="17"/>
  <c r="AD261" i="17"/>
  <c r="V15" i="17"/>
  <c r="G23" i="17"/>
  <c r="O133" i="17"/>
  <c r="H50" i="17"/>
  <c r="J177" i="17"/>
  <c r="AH217" i="17"/>
  <c r="V309" i="17"/>
  <c r="F285" i="17"/>
  <c r="AO224" i="17"/>
  <c r="G280" i="17"/>
  <c r="AJ134" i="17"/>
  <c r="AC324" i="17"/>
  <c r="AW288" i="17"/>
  <c r="U244" i="17"/>
  <c r="AQ128" i="17"/>
  <c r="AK293" i="17"/>
  <c r="S234" i="17"/>
  <c r="X234" i="17"/>
  <c r="AZ68" i="17"/>
  <c r="AA136" i="17"/>
  <c r="AD117" i="17"/>
  <c r="AR200" i="17"/>
  <c r="AZ50" i="17"/>
  <c r="AX200" i="17"/>
  <c r="AP116" i="17"/>
  <c r="AM192" i="17"/>
  <c r="Q320" i="17"/>
  <c r="AD165" i="17"/>
  <c r="Q205" i="17"/>
  <c r="AB253" i="17"/>
  <c r="AT280" i="17"/>
  <c r="E15" i="17"/>
  <c r="AO275" i="17"/>
  <c r="Y32" i="17"/>
  <c r="Z302" i="17"/>
  <c r="AG36" i="17"/>
  <c r="W302" i="17"/>
  <c r="AC180" i="17"/>
  <c r="AO154" i="17"/>
  <c r="D289" i="17"/>
  <c r="AE60" i="17"/>
  <c r="Q143" i="17"/>
  <c r="AM317" i="17"/>
  <c r="F263" i="17"/>
  <c r="N293" i="17"/>
  <c r="F265" i="17"/>
  <c r="J75" i="17"/>
  <c r="AS100" i="17"/>
  <c r="AH207" i="17"/>
  <c r="AQ287" i="17"/>
  <c r="AT134" i="17"/>
  <c r="AW325" i="17"/>
  <c r="AI306" i="17"/>
  <c r="U273" i="17"/>
  <c r="L320" i="17"/>
  <c r="S59" i="17"/>
  <c r="AY3" i="17"/>
  <c r="W320" i="17"/>
  <c r="N247" i="17"/>
  <c r="T286" i="17"/>
  <c r="AI235" i="17"/>
  <c r="S210" i="17"/>
  <c r="AT213" i="17"/>
  <c r="AS266" i="17"/>
  <c r="AY79" i="17"/>
  <c r="L99" i="17"/>
  <c r="U241" i="17"/>
  <c r="AU322" i="17"/>
  <c r="AP184" i="17"/>
  <c r="W321" i="17"/>
  <c r="AK128" i="17"/>
  <c r="T145" i="17"/>
  <c r="N307" i="17"/>
  <c r="AO94" i="17"/>
  <c r="L316" i="17"/>
  <c r="Z236" i="17"/>
  <c r="AH106" i="17"/>
  <c r="AQ283" i="17"/>
  <c r="AW62" i="17"/>
  <c r="M6" i="17"/>
  <c r="N150" i="17"/>
  <c r="H237" i="17"/>
  <c r="AU245" i="17"/>
  <c r="AJ307" i="17"/>
  <c r="T25" i="17"/>
  <c r="D314" i="17"/>
  <c r="E127" i="17"/>
  <c r="G152" i="17"/>
  <c r="D279" i="17"/>
  <c r="AW259" i="17"/>
  <c r="N139" i="17"/>
  <c r="AW276" i="17"/>
  <c r="S42" i="17"/>
  <c r="N277" i="17"/>
  <c r="P274" i="17"/>
  <c r="Z195" i="17"/>
  <c r="AH4" i="17"/>
  <c r="E305" i="17"/>
  <c r="Z79" i="17"/>
  <c r="Y308" i="17"/>
  <c r="I325" i="17"/>
  <c r="T30" i="17"/>
  <c r="AN4" i="17"/>
  <c r="AC275" i="17"/>
  <c r="AR191" i="17"/>
  <c r="AW317" i="17"/>
  <c r="Y223" i="17"/>
  <c r="AJ229" i="17"/>
  <c r="AW65" i="17"/>
  <c r="X4" i="17"/>
  <c r="AJ194" i="17"/>
  <c r="W5" i="17"/>
  <c r="J196" i="17"/>
  <c r="K98" i="17"/>
  <c r="Y64" i="17"/>
  <c r="AC215" i="17"/>
  <c r="S310" i="17"/>
  <c r="K313" i="17"/>
  <c r="M300" i="17"/>
  <c r="L284" i="17"/>
  <c r="I48" i="17"/>
  <c r="AJ103" i="17"/>
  <c r="V257" i="17"/>
  <c r="O322" i="17"/>
  <c r="AA99" i="17"/>
  <c r="AV146" i="17"/>
  <c r="AN237" i="17"/>
  <c r="M113" i="17"/>
  <c r="AU220" i="17"/>
  <c r="AM299" i="17"/>
  <c r="I302" i="17"/>
  <c r="AI294" i="17"/>
  <c r="AP250" i="17"/>
  <c r="AP310" i="17"/>
  <c r="AO11" i="17"/>
  <c r="AH128" i="17"/>
  <c r="W159" i="17"/>
  <c r="AH317" i="17"/>
  <c r="AX291" i="17"/>
  <c r="AO76" i="17"/>
  <c r="AZ118" i="17"/>
  <c r="G72" i="17"/>
  <c r="AB199" i="17"/>
  <c r="AS25" i="17"/>
  <c r="M261" i="17"/>
  <c r="AH220" i="17"/>
  <c r="AI83" i="17"/>
  <c r="AP124" i="17"/>
  <c r="AA312" i="17"/>
  <c r="AS205" i="17"/>
  <c r="AF308" i="17"/>
  <c r="AC154" i="17"/>
  <c r="AT163" i="17"/>
  <c r="AY318" i="17"/>
  <c r="AI322" i="17"/>
  <c r="G273" i="17"/>
  <c r="AK139" i="17"/>
  <c r="AN216" i="17"/>
  <c r="AZ205" i="17"/>
  <c r="AW58" i="17"/>
  <c r="O316" i="17"/>
  <c r="AQ253" i="17"/>
  <c r="AO123" i="17"/>
  <c r="V266" i="17"/>
  <c r="V251" i="17"/>
  <c r="Z309" i="17"/>
  <c r="AY283" i="17"/>
  <c r="AJ221" i="17"/>
  <c r="BA266" i="17"/>
  <c r="O318" i="17"/>
  <c r="AZ148" i="17"/>
  <c r="Y307" i="17"/>
  <c r="BA269" i="17"/>
  <c r="M252" i="17"/>
  <c r="AR176" i="17"/>
  <c r="O303" i="17"/>
  <c r="J286" i="17"/>
  <c r="N76" i="17"/>
  <c r="AS222" i="17"/>
  <c r="AY257" i="17"/>
  <c r="AE126" i="17"/>
  <c r="AW200" i="17"/>
  <c r="AE36" i="17"/>
  <c r="AT247" i="17"/>
  <c r="AG254" i="17"/>
  <c r="BA199" i="17"/>
  <c r="AA173" i="17"/>
  <c r="AW261" i="17"/>
  <c r="AA314" i="17"/>
  <c r="AH156" i="17"/>
  <c r="AD268" i="17"/>
  <c r="AQ6" i="17"/>
  <c r="U283" i="17"/>
  <c r="P134" i="17"/>
  <c r="AU101" i="17"/>
  <c r="U270" i="17"/>
  <c r="AH299" i="17"/>
  <c r="AQ213" i="17"/>
  <c r="AZ9" i="17"/>
  <c r="E291" i="17"/>
  <c r="AR7" i="17"/>
  <c r="AU161" i="17"/>
  <c r="P56" i="17"/>
  <c r="AN37" i="17"/>
  <c r="G13" i="17"/>
  <c r="Q36" i="17"/>
  <c r="AV219" i="17"/>
  <c r="AS66" i="17"/>
  <c r="BA299" i="17"/>
  <c r="AL68" i="17"/>
  <c r="J281" i="17"/>
  <c r="T105" i="17"/>
  <c r="AJ144" i="17"/>
  <c r="AV19" i="17"/>
  <c r="E31" i="17"/>
  <c r="G311" i="17"/>
  <c r="AA102" i="17"/>
  <c r="AZ35" i="17"/>
  <c r="AF235" i="17"/>
  <c r="AA162" i="17"/>
  <c r="AY196" i="17"/>
  <c r="O127" i="17"/>
  <c r="AW252" i="17"/>
  <c r="P96" i="17"/>
  <c r="Y181" i="17"/>
  <c r="H270" i="17"/>
  <c r="AK247" i="17"/>
  <c r="I184" i="17"/>
  <c r="U275" i="17"/>
  <c r="AR188" i="17"/>
  <c r="W257" i="17"/>
  <c r="AQ264" i="17"/>
  <c r="AK147" i="17"/>
  <c r="AA301" i="17"/>
  <c r="AS290" i="17"/>
  <c r="U269" i="17"/>
  <c r="L276" i="17"/>
  <c r="U279" i="17"/>
  <c r="AM49" i="17"/>
  <c r="N315" i="17"/>
  <c r="I207" i="17"/>
  <c r="AY16" i="17"/>
  <c r="AS170" i="17"/>
  <c r="AK185" i="17"/>
  <c r="Z288" i="17"/>
  <c r="L197" i="17"/>
  <c r="H173" i="17"/>
  <c r="D272" i="17"/>
  <c r="X269" i="17"/>
  <c r="J176" i="17"/>
  <c r="AL262" i="17"/>
  <c r="AN319" i="17"/>
  <c r="S66" i="17"/>
  <c r="AS164" i="17"/>
  <c r="AO100" i="17"/>
  <c r="AC37" i="17"/>
  <c r="Z10" i="17"/>
  <c r="AS123" i="17"/>
  <c r="U13" i="17"/>
  <c r="K81" i="17"/>
  <c r="AH307" i="17"/>
  <c r="AQ59" i="17"/>
  <c r="AI327" i="17"/>
  <c r="AO285" i="17"/>
  <c r="W202" i="17"/>
  <c r="AY201" i="17"/>
  <c r="AI291" i="17"/>
  <c r="AO284" i="17"/>
  <c r="AC16" i="17"/>
  <c r="AC98" i="17"/>
  <c r="AT161" i="17"/>
  <c r="O285" i="17"/>
  <c r="T243" i="17"/>
  <c r="G2" i="17"/>
  <c r="AY290" i="17"/>
  <c r="AX253" i="17"/>
  <c r="BA256" i="17"/>
  <c r="AN248" i="17"/>
  <c r="J318" i="17"/>
  <c r="J148" i="17"/>
  <c r="AT313" i="17"/>
  <c r="AR150" i="17"/>
  <c r="AL242" i="17"/>
  <c r="AZ187" i="17"/>
  <c r="Y233" i="17"/>
  <c r="AL173" i="17"/>
  <c r="Y318" i="17"/>
  <c r="AW301" i="17"/>
  <c r="O202" i="17"/>
  <c r="AE325" i="17"/>
  <c r="BA132" i="17"/>
  <c r="AM223" i="17"/>
  <c r="F139" i="17"/>
  <c r="N298" i="17"/>
  <c r="I311" i="17"/>
  <c r="AL121" i="17"/>
  <c r="K68" i="17"/>
  <c r="R285" i="17"/>
  <c r="AM88" i="17"/>
  <c r="AT78" i="17"/>
  <c r="AY74" i="17"/>
  <c r="Z145" i="17"/>
  <c r="AR13" i="17"/>
  <c r="AE58" i="17"/>
  <c r="AT218" i="17"/>
  <c r="AS151" i="17"/>
  <c r="S305" i="17"/>
  <c r="AN259" i="17"/>
  <c r="Y141" i="17"/>
  <c r="AG193" i="17"/>
  <c r="AO244" i="17"/>
  <c r="AK325" i="17"/>
  <c r="AG65" i="17"/>
  <c r="AM123" i="17"/>
  <c r="K274" i="17"/>
  <c r="AN63" i="17"/>
  <c r="S38" i="17"/>
  <c r="O295" i="17"/>
  <c r="Y53" i="17"/>
  <c r="AS11" i="17"/>
  <c r="F262" i="17"/>
  <c r="AJ261" i="17"/>
  <c r="AU124" i="17"/>
  <c r="AH200" i="17"/>
  <c r="AN316" i="17"/>
  <c r="AU45" i="17"/>
  <c r="AN174" i="17"/>
  <c r="AG201" i="17"/>
  <c r="I70" i="17"/>
  <c r="AD200" i="17"/>
  <c r="AQ280" i="17"/>
  <c r="AS291" i="17"/>
  <c r="X283" i="17"/>
  <c r="AQ189" i="17"/>
  <c r="S227" i="17"/>
  <c r="AM273" i="17"/>
  <c r="AJ219" i="17"/>
  <c r="AO122" i="17"/>
  <c r="AZ26" i="17"/>
  <c r="AQ212" i="17"/>
  <c r="AD73" i="17"/>
  <c r="Z269" i="17"/>
  <c r="AX46" i="17"/>
  <c r="AV138" i="17"/>
  <c r="AM253" i="17"/>
  <c r="T58" i="17"/>
  <c r="AC152" i="17"/>
  <c r="AM163" i="17"/>
  <c r="AT296" i="17"/>
  <c r="AD305" i="17"/>
  <c r="AH110" i="17"/>
  <c r="AD37" i="17"/>
  <c r="AV42" i="17"/>
  <c r="P165" i="17"/>
  <c r="H292" i="17"/>
  <c r="AA213" i="17"/>
  <c r="W305" i="17"/>
  <c r="AH11" i="17"/>
  <c r="AX8" i="17"/>
  <c r="S300" i="17"/>
  <c r="AP312" i="17"/>
  <c r="BA55" i="17"/>
  <c r="AT272" i="17"/>
  <c r="O262" i="17"/>
  <c r="AJ310" i="17"/>
  <c r="AJ133" i="17"/>
  <c r="N288" i="17"/>
  <c r="AP170" i="17"/>
  <c r="R237" i="17"/>
  <c r="AO302" i="17"/>
  <c r="K258" i="17"/>
  <c r="W315" i="17"/>
  <c r="AY304" i="17"/>
  <c r="N294" i="17"/>
  <c r="N228" i="17"/>
  <c r="K262" i="17"/>
  <c r="AO313" i="17"/>
  <c r="O324" i="17"/>
  <c r="AA264" i="17"/>
  <c r="I265" i="17"/>
  <c r="J126" i="17"/>
  <c r="AW260" i="17"/>
  <c r="J324" i="17"/>
  <c r="AU90" i="17"/>
  <c r="L262" i="17"/>
  <c r="O321" i="17"/>
  <c r="AJ152" i="17"/>
  <c r="AJ269" i="17"/>
  <c r="AC268" i="17"/>
  <c r="AU324" i="17"/>
  <c r="AR40" i="17"/>
  <c r="AW76" i="17"/>
  <c r="L52" i="17"/>
  <c r="AB159" i="17"/>
  <c r="Q103" i="17"/>
  <c r="T188" i="17"/>
  <c r="AY254" i="17"/>
  <c r="V58" i="17"/>
  <c r="AX129" i="17"/>
  <c r="J162" i="17"/>
  <c r="AQ62" i="17"/>
  <c r="H302" i="17"/>
  <c r="O93" i="17"/>
  <c r="AN161" i="17"/>
  <c r="H106" i="17"/>
  <c r="AC83" i="17"/>
  <c r="AX126" i="17"/>
  <c r="T281" i="17"/>
  <c r="AY132" i="17"/>
  <c r="AZ101" i="17"/>
  <c r="H186" i="17"/>
  <c r="AE116" i="17"/>
  <c r="AM97" i="17"/>
  <c r="AO278" i="17"/>
  <c r="AB43" i="17"/>
  <c r="AN15" i="17"/>
  <c r="AM254" i="17"/>
  <c r="AG316" i="17"/>
  <c r="AE293" i="17"/>
  <c r="Q81" i="17"/>
  <c r="K303" i="17"/>
  <c r="AE14" i="17"/>
  <c r="AJ207" i="17"/>
  <c r="AZ104" i="17"/>
  <c r="AL317" i="17"/>
  <c r="AE21" i="17"/>
  <c r="Q260" i="17"/>
  <c r="J68" i="17"/>
  <c r="AH127" i="17"/>
  <c r="S114" i="17"/>
  <c r="AN303" i="17"/>
  <c r="AJ37" i="17"/>
  <c r="AU50" i="17"/>
  <c r="R227" i="17"/>
  <c r="I64" i="17"/>
  <c r="E158" i="17"/>
  <c r="L275" i="17"/>
  <c r="R184" i="17"/>
  <c r="AP221" i="17"/>
  <c r="AL155" i="17"/>
  <c r="O86" i="17"/>
  <c r="AY23" i="17"/>
  <c r="AE175" i="17"/>
  <c r="I174" i="17"/>
  <c r="AK168" i="17"/>
  <c r="E292" i="17"/>
  <c r="K95" i="17"/>
  <c r="AT44" i="17"/>
  <c r="AI250" i="17"/>
  <c r="AY26" i="17"/>
  <c r="AR296" i="17"/>
  <c r="S195" i="17"/>
  <c r="AV202" i="17"/>
  <c r="Z54" i="17"/>
  <c r="AZ56" i="17"/>
  <c r="AJ157" i="17"/>
  <c r="D17" i="17"/>
  <c r="AQ314" i="17"/>
  <c r="N15" i="17"/>
  <c r="E281" i="17"/>
  <c r="AF164" i="17"/>
  <c r="Z250" i="17"/>
  <c r="O63" i="17"/>
  <c r="AV121" i="17"/>
  <c r="V113" i="17"/>
  <c r="R2" i="17"/>
  <c r="AJ233" i="17"/>
  <c r="W59" i="17"/>
  <c r="AK302" i="17"/>
  <c r="AS296" i="17"/>
  <c r="AS16" i="17"/>
  <c r="AL221" i="17"/>
  <c r="AF226" i="17"/>
  <c r="Z130" i="17"/>
  <c r="AR284" i="17"/>
  <c r="AT184" i="17"/>
  <c r="AS39" i="17"/>
  <c r="AS264" i="17"/>
  <c r="M317" i="17"/>
  <c r="AN274" i="17"/>
  <c r="AS42" i="17"/>
  <c r="AO199" i="17"/>
  <c r="J251" i="17"/>
  <c r="AC305" i="17"/>
  <c r="AL108" i="17"/>
  <c r="AA96" i="17"/>
  <c r="AW281" i="17"/>
  <c r="AR187" i="17"/>
  <c r="R246" i="17"/>
  <c r="AG236" i="17"/>
  <c r="K40" i="17"/>
  <c r="K285" i="17"/>
  <c r="AO59" i="17"/>
  <c r="AV238" i="17"/>
  <c r="K275" i="17"/>
  <c r="AB7" i="17"/>
  <c r="AD224" i="17"/>
  <c r="AW71" i="17"/>
  <c r="Q298" i="17"/>
  <c r="AK203" i="17"/>
  <c r="R297" i="17"/>
  <c r="AX115" i="17"/>
  <c r="AS98" i="17"/>
  <c r="AP305" i="17"/>
  <c r="I294" i="17"/>
  <c r="AA43" i="17"/>
  <c r="AI196" i="17"/>
  <c r="AE230" i="17"/>
  <c r="AI257" i="17"/>
  <c r="AK327" i="17"/>
  <c r="AP194" i="17"/>
  <c r="G320" i="17"/>
  <c r="K133" i="17"/>
  <c r="AC283" i="17"/>
  <c r="AR312" i="17"/>
  <c r="I103" i="17"/>
  <c r="AI11" i="17"/>
  <c r="AN122" i="17"/>
  <c r="AS175" i="17"/>
  <c r="X204" i="17"/>
  <c r="O145" i="17"/>
  <c r="AP262" i="17"/>
  <c r="K87" i="17"/>
  <c r="AM228" i="17"/>
  <c r="N292" i="17"/>
  <c r="BA245" i="17"/>
  <c r="W25" i="17"/>
  <c r="AD82" i="17"/>
  <c r="AM57" i="17"/>
  <c r="I318" i="17"/>
  <c r="M320" i="17"/>
  <c r="AC252" i="17"/>
  <c r="H100" i="17"/>
  <c r="AP185" i="17"/>
  <c r="AU112" i="17"/>
  <c r="AP69" i="17"/>
  <c r="V259" i="17"/>
  <c r="AN33" i="17"/>
  <c r="U157" i="17"/>
  <c r="L82" i="17"/>
  <c r="AT169" i="17"/>
  <c r="X259" i="17"/>
  <c r="AU204" i="17"/>
  <c r="AF64" i="17"/>
  <c r="S165" i="17"/>
  <c r="M274" i="17"/>
  <c r="BA18" i="17"/>
  <c r="AB273" i="17"/>
  <c r="Y323" i="17"/>
  <c r="AF232" i="17"/>
  <c r="AO316" i="17"/>
  <c r="K16" i="17"/>
  <c r="AV230" i="17"/>
  <c r="AT321" i="17"/>
  <c r="AW240" i="17"/>
  <c r="J316" i="17"/>
  <c r="X90" i="17"/>
  <c r="AE206" i="17"/>
  <c r="E318" i="17"/>
  <c r="R250" i="17"/>
  <c r="AD156" i="17"/>
  <c r="P205" i="17"/>
  <c r="Y27" i="17"/>
  <c r="AY218" i="17"/>
  <c r="Z58" i="17"/>
  <c r="AK42" i="17"/>
  <c r="AO28" i="17"/>
  <c r="AB293" i="17"/>
  <c r="O253" i="17"/>
  <c r="AM250" i="17"/>
  <c r="X150" i="17"/>
  <c r="I278" i="17"/>
  <c r="AI285" i="17"/>
  <c r="O96" i="17"/>
  <c r="AD199" i="17"/>
  <c r="I81" i="17"/>
  <c r="AY27" i="17"/>
  <c r="AL50" i="17"/>
  <c r="AQ244" i="17"/>
  <c r="S129" i="17"/>
  <c r="AC231" i="17"/>
  <c r="AH105" i="17"/>
  <c r="AT63" i="17"/>
  <c r="AN291" i="17"/>
  <c r="N39" i="17"/>
  <c r="R9" i="17"/>
  <c r="AU109" i="17"/>
  <c r="AU39" i="17"/>
  <c r="AQ76" i="17"/>
  <c r="AD7" i="17"/>
  <c r="AD134" i="17"/>
  <c r="I274" i="17"/>
  <c r="AL8" i="17"/>
  <c r="N227" i="17"/>
  <c r="AP188" i="17"/>
  <c r="R132" i="17"/>
  <c r="AR271" i="17"/>
  <c r="AQ302" i="17"/>
  <c r="AV300" i="17"/>
  <c r="AK150" i="17"/>
  <c r="AG322" i="17"/>
  <c r="AF91" i="17"/>
  <c r="V272" i="17"/>
  <c r="G251" i="17"/>
  <c r="AZ296" i="17"/>
  <c r="AL42" i="17"/>
  <c r="AH268" i="17"/>
  <c r="V277" i="17"/>
  <c r="AG287" i="17"/>
  <c r="J223" i="17"/>
  <c r="BA86" i="17"/>
  <c r="P234" i="17"/>
  <c r="O294" i="17"/>
  <c r="J96" i="17"/>
  <c r="T50" i="17"/>
  <c r="S306" i="17"/>
  <c r="R31" i="17"/>
  <c r="AQ196" i="17"/>
  <c r="AK27" i="17"/>
  <c r="U141" i="17"/>
  <c r="AV291" i="17"/>
  <c r="X293" i="17"/>
  <c r="AA276" i="17"/>
  <c r="AN246" i="17"/>
  <c r="AP314" i="17"/>
  <c r="H251" i="17"/>
  <c r="AQ135" i="17"/>
  <c r="I286" i="17"/>
  <c r="AF313" i="17"/>
  <c r="R312" i="17"/>
  <c r="AP309" i="17"/>
  <c r="AY223" i="17"/>
  <c r="P114" i="17"/>
  <c r="AD277" i="17"/>
  <c r="AB225" i="17"/>
  <c r="AD293" i="17"/>
  <c r="AA183" i="17"/>
  <c r="W158" i="17"/>
  <c r="AI237" i="17"/>
  <c r="I303" i="17"/>
  <c r="AN282" i="17"/>
  <c r="Q131" i="17"/>
  <c r="W263" i="17"/>
  <c r="AI94" i="17"/>
  <c r="AI289" i="17"/>
  <c r="AA125" i="17"/>
  <c r="AF202" i="17"/>
  <c r="AI186" i="17"/>
  <c r="M295" i="17"/>
  <c r="U230" i="17"/>
  <c r="W260" i="17"/>
  <c r="Z264" i="17"/>
  <c r="AG145" i="17"/>
  <c r="Y175" i="17"/>
  <c r="AB137" i="17"/>
  <c r="G319" i="17"/>
  <c r="AY24" i="17"/>
  <c r="AW250" i="17"/>
  <c r="AQ272" i="17"/>
  <c r="AK143" i="17"/>
  <c r="AS38" i="17"/>
  <c r="AF144" i="17"/>
  <c r="AK259" i="17"/>
  <c r="AV102" i="17"/>
  <c r="AH263" i="17"/>
  <c r="AE233" i="17"/>
  <c r="AG294" i="17"/>
  <c r="X233" i="17"/>
  <c r="AI276" i="17"/>
  <c r="AP35" i="17"/>
  <c r="V116" i="17"/>
  <c r="Q135" i="17"/>
  <c r="AI216" i="17"/>
  <c r="AS73" i="17"/>
  <c r="S286" i="17"/>
  <c r="AW225" i="17"/>
  <c r="AX121" i="17"/>
  <c r="AI288" i="17"/>
  <c r="Y324" i="17"/>
  <c r="AQ45" i="17"/>
  <c r="AJ297" i="17"/>
  <c r="AV224" i="17"/>
  <c r="O199" i="17"/>
  <c r="AX194" i="17"/>
  <c r="AW172" i="17"/>
  <c r="AD257" i="17"/>
  <c r="AH314" i="17"/>
  <c r="K104" i="17"/>
  <c r="E226" i="17"/>
  <c r="L300" i="17"/>
  <c r="V202" i="17"/>
  <c r="AK84" i="17"/>
  <c r="AW263" i="17"/>
  <c r="O138" i="17"/>
  <c r="AZ167" i="17"/>
  <c r="AT65" i="17"/>
  <c r="P242" i="17"/>
  <c r="P60" i="17"/>
  <c r="AG173" i="17"/>
  <c r="AA143" i="17"/>
  <c r="F98" i="17"/>
  <c r="R5" i="17"/>
  <c r="R299" i="17"/>
  <c r="AM230" i="17"/>
  <c r="Y187" i="17"/>
  <c r="AJ42" i="17"/>
  <c r="J163" i="17"/>
  <c r="M237" i="17"/>
  <c r="AI86" i="17"/>
  <c r="T232" i="17"/>
  <c r="AD163" i="17"/>
  <c r="W313" i="17"/>
  <c r="O245" i="17"/>
  <c r="E88" i="17"/>
  <c r="AP113" i="17"/>
  <c r="V247" i="17"/>
  <c r="T36" i="17"/>
  <c r="U304" i="17"/>
  <c r="AB210" i="17"/>
  <c r="BA303" i="17"/>
  <c r="AL82" i="17"/>
  <c r="AG319" i="17"/>
  <c r="AM47" i="17"/>
  <c r="AR222" i="17"/>
  <c r="AL296" i="17"/>
  <c r="I85" i="17"/>
  <c r="AM293" i="17"/>
  <c r="D229" i="17"/>
  <c r="AC307" i="17"/>
  <c r="V105" i="17"/>
  <c r="F151" i="17"/>
  <c r="AJ313" i="17"/>
  <c r="AV34" i="17"/>
  <c r="F158" i="17"/>
  <c r="AE243" i="17"/>
  <c r="AQ326" i="17"/>
  <c r="M233" i="17"/>
  <c r="AI150" i="17"/>
  <c r="V199" i="17"/>
  <c r="AR288" i="17"/>
  <c r="V319" i="17"/>
  <c r="AO42" i="17"/>
  <c r="AK232" i="17"/>
  <c r="AB15" i="17"/>
  <c r="AD228" i="17"/>
  <c r="BA325" i="17"/>
  <c r="S224" i="17"/>
  <c r="AM225" i="17"/>
  <c r="L217" i="17"/>
  <c r="AA308" i="17"/>
  <c r="G304" i="17"/>
  <c r="AR152" i="17"/>
  <c r="AY86" i="17"/>
  <c r="R165" i="17"/>
  <c r="AO40" i="17"/>
  <c r="H70" i="17"/>
  <c r="M235" i="17"/>
  <c r="X13" i="17"/>
  <c r="F164" i="17"/>
  <c r="AY125" i="17"/>
  <c r="AX260" i="17"/>
  <c r="AU240" i="17"/>
  <c r="Q22" i="17"/>
  <c r="AQ47" i="17"/>
  <c r="U40" i="17"/>
  <c r="AN230" i="17"/>
  <c r="D178" i="17"/>
  <c r="AL298" i="17"/>
  <c r="Y89" i="17"/>
  <c r="P148" i="17"/>
  <c r="AO163" i="17"/>
  <c r="AR263" i="17"/>
  <c r="AM102" i="17"/>
  <c r="AC157" i="17"/>
  <c r="L312" i="17"/>
  <c r="O4" i="17"/>
  <c r="G198" i="17"/>
  <c r="AB163" i="17"/>
  <c r="AN253" i="17"/>
  <c r="X5" i="17"/>
  <c r="AR157" i="17"/>
  <c r="G317" i="17"/>
  <c r="R310" i="17"/>
  <c r="M179" i="17"/>
  <c r="AB119" i="17"/>
  <c r="AN181" i="17"/>
  <c r="AQ132" i="17"/>
  <c r="AF225" i="17"/>
  <c r="AG229" i="17"/>
  <c r="AJ45" i="17"/>
  <c r="AL146" i="17"/>
  <c r="AT156" i="17"/>
  <c r="AW10" i="17"/>
  <c r="I222" i="17"/>
  <c r="G111" i="17"/>
  <c r="BA95" i="17"/>
  <c r="AV87" i="17"/>
  <c r="BA309" i="17"/>
  <c r="P303" i="17"/>
  <c r="AP313" i="17"/>
  <c r="X319" i="17"/>
  <c r="Z310" i="17"/>
  <c r="AS261" i="17"/>
  <c r="AQ182" i="17"/>
  <c r="AA286" i="17"/>
  <c r="AH161" i="17"/>
  <c r="AV83" i="17"/>
  <c r="AY11" i="17"/>
  <c r="AU173" i="17"/>
  <c r="W117" i="17"/>
  <c r="L234" i="17"/>
  <c r="AO264" i="17"/>
  <c r="AV58" i="17"/>
  <c r="V304" i="17"/>
  <c r="H312" i="17"/>
  <c r="Z280" i="17"/>
  <c r="E280" i="17"/>
  <c r="AS12" i="17"/>
  <c r="AI54" i="17"/>
  <c r="X174" i="17"/>
  <c r="AQ297" i="17"/>
  <c r="AX51" i="17"/>
  <c r="K157" i="17"/>
  <c r="AU43" i="17"/>
  <c r="Z278" i="17"/>
  <c r="Y288" i="17"/>
  <c r="U228" i="17"/>
  <c r="D250" i="17"/>
  <c r="AN295" i="17"/>
  <c r="O265" i="17"/>
  <c r="J248" i="17"/>
  <c r="Z82" i="17"/>
  <c r="AK190" i="17"/>
  <c r="L9" i="17"/>
  <c r="AP162" i="17"/>
  <c r="AY180" i="17"/>
  <c r="H101" i="17"/>
  <c r="AF127" i="17"/>
  <c r="J82" i="17"/>
  <c r="H108" i="17"/>
  <c r="P323" i="17"/>
  <c r="AU96" i="17"/>
  <c r="AG303" i="17"/>
  <c r="N274" i="17"/>
  <c r="S308" i="17"/>
  <c r="AX102" i="17"/>
  <c r="AA298" i="17"/>
  <c r="E42" i="17"/>
  <c r="AV151" i="17"/>
  <c r="AM35" i="17"/>
  <c r="BA75" i="17"/>
  <c r="AJ292" i="17"/>
  <c r="M221" i="17"/>
  <c r="P115" i="17"/>
  <c r="AQ104" i="17"/>
  <c r="AW24" i="17"/>
  <c r="AS320" i="17"/>
  <c r="Q321" i="17"/>
  <c r="P309" i="17"/>
  <c r="N101" i="17"/>
  <c r="AG297" i="17"/>
  <c r="V187" i="17"/>
  <c r="F172" i="17"/>
  <c r="AU52" i="17"/>
  <c r="O90" i="17"/>
  <c r="AO8" i="17"/>
  <c r="AF149" i="17"/>
  <c r="E284" i="17"/>
  <c r="AX252" i="17"/>
  <c r="AG125" i="17"/>
  <c r="R50" i="17"/>
  <c r="AE256" i="17"/>
  <c r="X224" i="17"/>
  <c r="K31" i="17"/>
  <c r="AM243" i="17"/>
  <c r="O78" i="17"/>
  <c r="D164" i="17"/>
  <c r="AT197" i="17"/>
  <c r="AT274" i="17"/>
  <c r="AA246" i="17"/>
  <c r="D116" i="17"/>
  <c r="S143" i="17"/>
  <c r="E92" i="17"/>
  <c r="E7" i="17"/>
  <c r="AM245" i="17"/>
  <c r="AX304" i="17"/>
  <c r="AX182" i="17"/>
  <c r="BA211" i="17"/>
  <c r="AT294" i="17"/>
  <c r="AX244" i="17"/>
  <c r="E133" i="17"/>
  <c r="AT324" i="17"/>
  <c r="L232" i="17"/>
  <c r="AZ294" i="17"/>
  <c r="M165" i="17"/>
  <c r="AO107" i="17"/>
  <c r="AH296" i="17"/>
  <c r="Y315" i="17"/>
  <c r="AP327" i="17"/>
  <c r="AA36" i="17"/>
  <c r="AV109" i="17"/>
  <c r="J76" i="17"/>
  <c r="AN310" i="17"/>
  <c r="Q189" i="17"/>
  <c r="E94" i="17"/>
  <c r="W166" i="17"/>
  <c r="AL164" i="17"/>
  <c r="G191" i="17"/>
  <c r="AL300" i="17"/>
  <c r="AP48" i="17"/>
  <c r="V18" i="17"/>
  <c r="AO75" i="17"/>
  <c r="Q256" i="17"/>
  <c r="AZ159" i="17"/>
  <c r="AQ284" i="17"/>
  <c r="AW127" i="17"/>
  <c r="AL222" i="17"/>
  <c r="AN60" i="17"/>
  <c r="Z108" i="17"/>
  <c r="Z140" i="17"/>
  <c r="V180" i="17"/>
  <c r="V161" i="17"/>
  <c r="I309" i="17"/>
  <c r="F328" i="17"/>
  <c r="O116" i="17"/>
  <c r="M205" i="17"/>
  <c r="L59" i="17"/>
  <c r="AE18" i="17"/>
  <c r="AZ246" i="17"/>
  <c r="AP134" i="17"/>
  <c r="AE316" i="17"/>
  <c r="AU208" i="17"/>
  <c r="AZ303" i="17"/>
  <c r="AR133" i="17"/>
  <c r="M282" i="17"/>
  <c r="AT226" i="17"/>
  <c r="W70" i="17"/>
  <c r="L274" i="17"/>
  <c r="AX272" i="17"/>
  <c r="AK307" i="17"/>
  <c r="AO242" i="17"/>
  <c r="AV69" i="17"/>
  <c r="Q290" i="17"/>
  <c r="G224" i="17"/>
  <c r="N146" i="17"/>
  <c r="L84" i="17"/>
  <c r="AH143" i="17"/>
  <c r="U184" i="17"/>
  <c r="M315" i="17"/>
  <c r="BA172" i="17"/>
  <c r="AH228" i="17"/>
  <c r="AR180" i="17"/>
  <c r="AE44" i="17"/>
  <c r="K50" i="17"/>
  <c r="K160" i="17"/>
  <c r="AV311" i="17"/>
  <c r="I291" i="17"/>
  <c r="Q286" i="17"/>
  <c r="AQ305" i="17"/>
  <c r="Q140" i="17"/>
  <c r="AC318" i="17"/>
  <c r="I267" i="17"/>
  <c r="Z180" i="17"/>
  <c r="U277" i="17"/>
  <c r="AJ227" i="17"/>
  <c r="V246" i="17"/>
  <c r="AU189" i="17"/>
  <c r="AI300" i="17"/>
  <c r="Q122" i="17"/>
  <c r="K304" i="17"/>
  <c r="Q116" i="17"/>
  <c r="AA258" i="17"/>
  <c r="U256" i="17"/>
  <c r="O233" i="17"/>
  <c r="AT325" i="17"/>
  <c r="X325" i="17"/>
  <c r="F228" i="17"/>
  <c r="AR261" i="17"/>
  <c r="R10" i="17"/>
  <c r="Y262" i="17"/>
  <c r="AF62" i="17"/>
  <c r="AK201" i="17"/>
  <c r="AD212" i="17"/>
  <c r="J192" i="17"/>
  <c r="AS114" i="17"/>
  <c r="AR25" i="17"/>
  <c r="AW111" i="17"/>
  <c r="AL37" i="17"/>
  <c r="X239" i="17"/>
  <c r="AJ28" i="17"/>
  <c r="AD246" i="17"/>
  <c r="D243" i="17"/>
  <c r="N58" i="17"/>
  <c r="T205" i="17"/>
  <c r="AK52" i="17"/>
  <c r="K244" i="17"/>
  <c r="AM45" i="17"/>
  <c r="AF143" i="17"/>
  <c r="AH116" i="17"/>
  <c r="AM141" i="17"/>
  <c r="AX95" i="17"/>
  <c r="AP36" i="17"/>
  <c r="U216" i="17"/>
  <c r="I315" i="17"/>
  <c r="AF40" i="17"/>
  <c r="BA320" i="17"/>
  <c r="AQ214" i="17"/>
  <c r="AV248" i="17"/>
  <c r="AY291" i="17"/>
  <c r="G73" i="17"/>
  <c r="AC18" i="17"/>
  <c r="AZ249" i="17"/>
  <c r="Y261" i="17"/>
  <c r="Y55" i="17"/>
  <c r="AO188" i="17"/>
  <c r="AV40" i="17"/>
  <c r="X77" i="17"/>
  <c r="AD182" i="17"/>
  <c r="D52" i="17"/>
  <c r="X23" i="17"/>
  <c r="AQ44" i="17"/>
  <c r="Y23" i="17"/>
  <c r="L326" i="17"/>
  <c r="AU15" i="17"/>
  <c r="U301" i="17"/>
  <c r="AA327" i="17"/>
  <c r="AH173" i="17"/>
  <c r="AH286" i="17"/>
  <c r="AB184" i="17"/>
  <c r="AV227" i="17"/>
  <c r="AR186" i="17"/>
  <c r="U295" i="17"/>
  <c r="AR274" i="17"/>
  <c r="P17" i="17"/>
  <c r="D282" i="17"/>
  <c r="I92" i="17"/>
  <c r="AX275" i="17"/>
  <c r="AV272" i="17"/>
  <c r="U296" i="17"/>
  <c r="AR324" i="17"/>
  <c r="L297" i="17"/>
  <c r="P314" i="17"/>
  <c r="AZ66" i="17"/>
  <c r="BA265" i="17"/>
  <c r="AS24" i="17"/>
  <c r="AV25" i="17"/>
  <c r="BA297" i="17"/>
  <c r="S202" i="17"/>
  <c r="F251" i="17"/>
  <c r="M87" i="17"/>
  <c r="AK287" i="17"/>
  <c r="AL185" i="17"/>
  <c r="N180" i="17"/>
  <c r="AI204" i="17"/>
  <c r="AW26" i="17"/>
  <c r="AF42" i="17"/>
  <c r="AT79" i="17"/>
  <c r="AU329" i="17"/>
  <c r="AC299" i="17"/>
  <c r="F3" i="17"/>
  <c r="D126" i="17"/>
  <c r="N321" i="17"/>
  <c r="V289" i="17"/>
  <c r="R146" i="17"/>
  <c r="AK243" i="17"/>
  <c r="H280" i="17"/>
  <c r="AC236" i="17"/>
  <c r="AH281" i="17"/>
  <c r="R111" i="17"/>
  <c r="AS277" i="17"/>
  <c r="J53" i="17"/>
  <c r="AR45" i="17"/>
  <c r="BA244" i="17"/>
  <c r="AP106" i="17"/>
  <c r="AQ112" i="17"/>
  <c r="K283" i="17"/>
  <c r="AD114" i="17"/>
  <c r="Z292" i="17"/>
  <c r="P247" i="17"/>
  <c r="Y120" i="17"/>
  <c r="F281" i="17"/>
  <c r="T149" i="17"/>
  <c r="X156" i="17"/>
  <c r="AQ306" i="17"/>
  <c r="J120" i="17"/>
  <c r="AE168" i="17"/>
  <c r="AF136" i="17"/>
  <c r="AO37" i="17"/>
  <c r="I235" i="17"/>
  <c r="Z312" i="17"/>
  <c r="BA301" i="17"/>
  <c r="AL243" i="17"/>
  <c r="I136" i="17"/>
  <c r="AV32" i="17"/>
  <c r="Z256" i="17"/>
  <c r="AB151" i="17"/>
  <c r="L296" i="17"/>
  <c r="AK292" i="17"/>
  <c r="J35" i="17"/>
  <c r="AS224" i="17"/>
  <c r="O275" i="17"/>
  <c r="O56" i="17"/>
  <c r="AP317" i="17"/>
  <c r="AR136" i="17"/>
  <c r="X223" i="17"/>
  <c r="AJ296" i="17"/>
  <c r="X107" i="17"/>
  <c r="AI16" i="17"/>
  <c r="AU237" i="17"/>
  <c r="AS19" i="17"/>
  <c r="AM266" i="17"/>
  <c r="AK212" i="17"/>
  <c r="AL321" i="17"/>
  <c r="P313" i="17"/>
  <c r="J291" i="17"/>
  <c r="AZ109" i="17"/>
  <c r="BA304" i="17"/>
  <c r="AK324" i="17"/>
  <c r="AC322" i="17"/>
  <c r="I284" i="17"/>
  <c r="AN200" i="17"/>
  <c r="AZ215" i="17"/>
  <c r="AU296" i="17"/>
  <c r="X327" i="17"/>
  <c r="K269" i="17"/>
  <c r="AT319" i="17"/>
  <c r="BA283" i="17"/>
  <c r="AP14" i="17"/>
  <c r="X243" i="17"/>
  <c r="AP67" i="17"/>
  <c r="AL34" i="17"/>
  <c r="AG253" i="17"/>
  <c r="AX151" i="17"/>
  <c r="AC159" i="17"/>
  <c r="J314" i="17"/>
  <c r="F64" i="17"/>
  <c r="J138" i="17"/>
  <c r="AZ288" i="17"/>
  <c r="G309" i="17"/>
  <c r="AV141" i="17"/>
  <c r="K322" i="17"/>
  <c r="AI155" i="17"/>
  <c r="H258" i="17"/>
  <c r="AE265" i="17"/>
  <c r="AC259" i="17"/>
  <c r="AI231" i="17"/>
  <c r="N262" i="17"/>
  <c r="AG91" i="17"/>
  <c r="AU99" i="17"/>
  <c r="I314" i="17"/>
  <c r="J260" i="17"/>
  <c r="AC277" i="17"/>
  <c r="BA134" i="17"/>
  <c r="S253" i="17"/>
  <c r="AW126" i="17"/>
  <c r="AD324" i="17"/>
  <c r="N240" i="17"/>
  <c r="R210" i="17"/>
  <c r="AJ308" i="17"/>
  <c r="AD223" i="17"/>
  <c r="AH325" i="17"/>
  <c r="AL115" i="17"/>
  <c r="I188" i="17"/>
  <c r="K320" i="17"/>
  <c r="J310" i="17"/>
  <c r="W239" i="17"/>
  <c r="P39" i="17"/>
  <c r="AN158" i="17"/>
  <c r="AT62" i="17"/>
  <c r="O53" i="17"/>
  <c r="H322" i="17"/>
  <c r="D267" i="17"/>
  <c r="D290" i="17"/>
  <c r="AF326" i="17"/>
  <c r="Y280" i="17"/>
  <c r="AB313" i="17"/>
  <c r="AS67" i="17"/>
  <c r="AA158" i="17"/>
  <c r="AN327" i="17"/>
  <c r="AH198" i="17"/>
  <c r="AN84" i="17"/>
  <c r="AM312" i="17"/>
  <c r="W71" i="17"/>
  <c r="AH95" i="17"/>
  <c r="AT100" i="17"/>
  <c r="AV314" i="17"/>
  <c r="Z324" i="17"/>
  <c r="AZ295" i="17"/>
  <c r="AI169" i="17"/>
  <c r="I251" i="17"/>
  <c r="Y196" i="17"/>
  <c r="X240" i="17"/>
  <c r="M266" i="17"/>
  <c r="AR171" i="17"/>
  <c r="R265" i="17"/>
  <c r="T132" i="17"/>
  <c r="X202" i="17"/>
  <c r="AD186" i="17"/>
  <c r="AC117" i="17"/>
  <c r="U39" i="17"/>
  <c r="AW246" i="17"/>
  <c r="AE54" i="17"/>
  <c r="AE82" i="17"/>
  <c r="AU293" i="17"/>
  <c r="AF109" i="17"/>
  <c r="AE201" i="17"/>
  <c r="AD110" i="17"/>
  <c r="J228" i="17"/>
  <c r="AL224" i="17"/>
  <c r="V274" i="17"/>
  <c r="AY140" i="17"/>
  <c r="N237" i="17"/>
  <c r="AV265" i="17"/>
  <c r="AI102" i="17"/>
  <c r="N123" i="17"/>
  <c r="AM259" i="17"/>
  <c r="Q279" i="17"/>
  <c r="AI142" i="17"/>
  <c r="AU51" i="17"/>
  <c r="J270" i="17"/>
  <c r="U309" i="17"/>
  <c r="AX308" i="17"/>
  <c r="AY138" i="17"/>
  <c r="M245" i="17"/>
  <c r="AB227" i="17"/>
  <c r="D208" i="17"/>
  <c r="AO311" i="17"/>
  <c r="AH58" i="17"/>
  <c r="AV30" i="17"/>
  <c r="K289" i="17"/>
  <c r="S302" i="17"/>
  <c r="S256" i="17"/>
  <c r="Q157" i="17"/>
  <c r="AM310" i="17"/>
  <c r="AN178" i="17"/>
  <c r="BA313" i="17"/>
  <c r="X52" i="17"/>
  <c r="AH33" i="17"/>
  <c r="I59" i="17"/>
  <c r="AZ13" i="17"/>
  <c r="K315" i="17"/>
  <c r="AE278" i="17"/>
  <c r="AN130" i="17"/>
  <c r="BA324" i="17"/>
  <c r="AW302" i="17"/>
  <c r="AZ284" i="17"/>
  <c r="I6" i="17"/>
  <c r="K33" i="17"/>
  <c r="AF261" i="17"/>
  <c r="AQ88" i="17"/>
  <c r="K293" i="17"/>
  <c r="V100" i="17"/>
  <c r="J227" i="17"/>
  <c r="AG174" i="17"/>
  <c r="AB250" i="17"/>
  <c r="AE282" i="17"/>
  <c r="AL181" i="17"/>
  <c r="BA158" i="17"/>
  <c r="X313" i="17"/>
  <c r="AR282" i="17"/>
  <c r="AQ28" i="17"/>
  <c r="AF295" i="17"/>
  <c r="AL142" i="17"/>
  <c r="AQ186" i="17"/>
  <c r="Q183" i="17"/>
  <c r="V236" i="17"/>
  <c r="J293" i="17"/>
  <c r="AB311" i="17"/>
  <c r="Y31" i="17"/>
  <c r="AU94" i="17"/>
  <c r="V78" i="17"/>
  <c r="AO5" i="17"/>
  <c r="AP319" i="17"/>
  <c r="AC320" i="17"/>
  <c r="AO125" i="17"/>
  <c r="AY306" i="17"/>
  <c r="F221" i="17"/>
  <c r="H266" i="17"/>
  <c r="X11" i="17"/>
  <c r="AW31" i="17"/>
  <c r="N179" i="17"/>
  <c r="D202" i="17"/>
  <c r="Z109" i="17"/>
  <c r="AX72" i="17"/>
  <c r="R137" i="17"/>
  <c r="AX228" i="17"/>
  <c r="AU308" i="17"/>
  <c r="U22" i="17"/>
  <c r="M322" i="17"/>
  <c r="S297" i="17"/>
  <c r="AS318" i="17"/>
  <c r="D101" i="17"/>
  <c r="AL289" i="17"/>
  <c r="AN311" i="17"/>
  <c r="AF107" i="17"/>
  <c r="AQ7" i="17"/>
  <c r="S313" i="17"/>
  <c r="E229" i="17"/>
  <c r="AW33" i="17"/>
  <c r="U316" i="17"/>
  <c r="K178" i="17"/>
  <c r="AF282" i="17"/>
  <c r="I118" i="17"/>
  <c r="AJ210" i="17"/>
  <c r="O237" i="17"/>
  <c r="AW77" i="17"/>
  <c r="G230" i="17"/>
  <c r="AP125" i="17"/>
  <c r="AX320" i="17"/>
  <c r="AY148" i="17"/>
  <c r="AF158" i="17"/>
  <c r="AS186" i="17"/>
  <c r="AL258" i="17"/>
  <c r="AF291" i="17"/>
  <c r="AD147" i="17"/>
  <c r="T66" i="17"/>
  <c r="S177" i="17"/>
  <c r="P5" i="17"/>
  <c r="D192" i="17"/>
  <c r="I290" i="17"/>
  <c r="AL277" i="17"/>
  <c r="AD11" i="17"/>
  <c r="T184" i="17"/>
  <c r="AZ201" i="17"/>
  <c r="L193" i="17"/>
  <c r="AL239" i="17"/>
  <c r="AM69" i="17"/>
  <c r="AZ55" i="17"/>
  <c r="AR319" i="17"/>
  <c r="AV315" i="17"/>
  <c r="AB40" i="17"/>
  <c r="E302" i="17"/>
  <c r="AG307" i="17"/>
  <c r="Y11" i="17"/>
  <c r="P225" i="17"/>
  <c r="AU138" i="17"/>
  <c r="AZ30" i="17"/>
  <c r="AK303" i="17"/>
  <c r="I282" i="17"/>
  <c r="R81" i="17"/>
  <c r="AS236" i="17"/>
  <c r="AW300" i="17"/>
  <c r="T211" i="17"/>
  <c r="AM321" i="17"/>
  <c r="P277" i="17"/>
  <c r="V311" i="17"/>
  <c r="AW278" i="17"/>
  <c r="AM278" i="17"/>
  <c r="AY117" i="17"/>
  <c r="E271" i="17"/>
  <c r="AM144" i="17"/>
  <c r="AG259" i="17"/>
  <c r="L293" i="17"/>
  <c r="AB80" i="17"/>
  <c r="AZ124" i="17"/>
  <c r="AV132" i="17"/>
  <c r="Q18" i="17"/>
  <c r="U306" i="17"/>
  <c r="AN284" i="17"/>
  <c r="AQ150" i="17"/>
  <c r="AF258" i="17"/>
  <c r="M90" i="17"/>
  <c r="AF312" i="17"/>
  <c r="AQ12" i="17"/>
  <c r="Y93" i="17"/>
  <c r="L253" i="17"/>
  <c r="N25" i="17"/>
  <c r="AQ65" i="17"/>
  <c r="X109" i="17"/>
  <c r="AN263" i="17"/>
  <c r="T268" i="17"/>
  <c r="BA307" i="17"/>
  <c r="AQ318" i="17"/>
  <c r="AF162" i="17"/>
  <c r="H75" i="17"/>
  <c r="T135" i="17"/>
  <c r="AO169" i="17"/>
  <c r="E301" i="17"/>
  <c r="P301" i="17"/>
  <c r="AB64" i="17"/>
  <c r="AG327" i="17"/>
  <c r="AW139" i="17"/>
  <c r="P117" i="17"/>
  <c r="P326" i="17"/>
  <c r="V83" i="17"/>
  <c r="AJ50" i="17"/>
  <c r="U30" i="17"/>
  <c r="AY314" i="17"/>
  <c r="AV174" i="17"/>
  <c r="H78" i="17"/>
  <c r="F154" i="17"/>
  <c r="AO136" i="17"/>
  <c r="G291" i="17"/>
  <c r="AX127" i="17"/>
  <c r="F114" i="17"/>
  <c r="AV91" i="17"/>
  <c r="AM304" i="17"/>
  <c r="AE202" i="17"/>
  <c r="U199" i="17"/>
  <c r="AO272" i="17"/>
  <c r="H238" i="17"/>
  <c r="AI114" i="17"/>
  <c r="AI266" i="17"/>
  <c r="AT237" i="17"/>
  <c r="Q314" i="17"/>
  <c r="S81" i="17"/>
  <c r="N287" i="17"/>
  <c r="T285" i="17"/>
  <c r="AU157" i="17"/>
  <c r="AY68" i="17"/>
  <c r="AN113" i="17"/>
  <c r="S191" i="17"/>
  <c r="H116" i="17"/>
  <c r="K316" i="17"/>
  <c r="N207" i="17"/>
  <c r="K113" i="17"/>
  <c r="U274" i="17"/>
  <c r="S158" i="17"/>
  <c r="AT311" i="17"/>
  <c r="AA224" i="17"/>
  <c r="AH283" i="17"/>
  <c r="AY44" i="17"/>
  <c r="AW265" i="17"/>
  <c r="J80" i="17"/>
  <c r="AM6" i="17"/>
  <c r="AQ81" i="17"/>
  <c r="AX318" i="17"/>
  <c r="AS120" i="17"/>
  <c r="M241" i="17"/>
  <c r="AO24" i="17"/>
  <c r="Q184" i="17"/>
  <c r="AK17" i="17"/>
  <c r="AY319" i="17"/>
  <c r="AY228" i="17"/>
  <c r="Y258" i="17"/>
  <c r="Y210" i="17"/>
  <c r="AV295" i="17"/>
  <c r="N326" i="17"/>
  <c r="W307" i="17"/>
  <c r="J247" i="17"/>
  <c r="J280" i="17"/>
  <c r="V51" i="17"/>
  <c r="AG152" i="17"/>
  <c r="AW93" i="17"/>
  <c r="U191" i="17"/>
  <c r="AL152" i="17"/>
  <c r="M214" i="17"/>
  <c r="J41" i="17"/>
  <c r="AM22" i="17"/>
  <c r="J182" i="17"/>
  <c r="AL183" i="17"/>
  <c r="Q63" i="17"/>
  <c r="I173" i="17"/>
  <c r="AG58" i="17"/>
  <c r="E82" i="17"/>
  <c r="AA193" i="17"/>
  <c r="AR90" i="17"/>
  <c r="BA278" i="17"/>
  <c r="AI141" i="17"/>
  <c r="T5" i="17"/>
  <c r="S80" i="17"/>
  <c r="AX131" i="17"/>
  <c r="Q160" i="17"/>
  <c r="H175" i="17"/>
  <c r="W265" i="17"/>
  <c r="AR61" i="17"/>
  <c r="M56" i="17"/>
  <c r="AI80" i="17"/>
  <c r="AG317" i="17"/>
  <c r="Z323" i="17"/>
  <c r="W287" i="17"/>
  <c r="P278" i="17"/>
  <c r="V303" i="17"/>
  <c r="AF100" i="17"/>
  <c r="Q238" i="17"/>
  <c r="O31" i="17"/>
  <c r="W250" i="17"/>
  <c r="AR302" i="17"/>
  <c r="AE219" i="17"/>
  <c r="BA252" i="17"/>
  <c r="M316" i="17"/>
  <c r="BA275" i="17"/>
  <c r="Y221" i="17"/>
  <c r="S221" i="17"/>
  <c r="S281" i="17"/>
  <c r="Y246" i="17"/>
  <c r="P62" i="17"/>
  <c r="AG73" i="17"/>
  <c r="AZ61" i="17"/>
  <c r="X305" i="17"/>
  <c r="L191" i="17"/>
  <c r="AS282" i="17"/>
  <c r="AJ277" i="17"/>
  <c r="M297" i="17"/>
  <c r="P29" i="17"/>
  <c r="AO259" i="17"/>
  <c r="Y314" i="17"/>
  <c r="R102" i="17"/>
  <c r="D263" i="17"/>
  <c r="AM283" i="17"/>
  <c r="AJ190" i="17"/>
  <c r="AP120" i="17"/>
  <c r="AH146" i="17"/>
  <c r="AB318" i="17"/>
  <c r="AK22" i="17"/>
  <c r="AZ128" i="17"/>
  <c r="I312" i="17"/>
  <c r="I128" i="17"/>
  <c r="AL259" i="17"/>
  <c r="AX176" i="17"/>
  <c r="AF41" i="17"/>
  <c r="AM169" i="17"/>
  <c r="U299" i="17"/>
  <c r="H314" i="17"/>
  <c r="G260" i="17"/>
  <c r="T119" i="17"/>
  <c r="AW110" i="17"/>
  <c r="E53" i="17"/>
  <c r="AQ50" i="17"/>
  <c r="K174" i="17"/>
  <c r="AV218" i="17"/>
  <c r="AH151" i="17"/>
  <c r="F230" i="17"/>
  <c r="N78" i="17"/>
  <c r="Y283" i="17"/>
  <c r="F261" i="17"/>
  <c r="H242" i="17"/>
  <c r="AP299" i="17"/>
  <c r="AW307" i="17"/>
  <c r="AO129" i="17"/>
  <c r="AK226" i="17"/>
  <c r="N290" i="17"/>
  <c r="AY305" i="17"/>
  <c r="D204" i="17"/>
  <c r="AM10" i="17"/>
  <c r="AO308" i="17"/>
  <c r="AI290" i="17"/>
  <c r="AH107" i="17"/>
  <c r="P150" i="17"/>
  <c r="AJ222" i="17"/>
  <c r="R290" i="17"/>
  <c r="AX286" i="17"/>
  <c r="AT215" i="17"/>
  <c r="AC286" i="17"/>
  <c r="R300" i="17"/>
  <c r="Y25" i="17"/>
  <c r="I275" i="17"/>
  <c r="BA308" i="17"/>
  <c r="AL32" i="17"/>
  <c r="AR264" i="17"/>
  <c r="AR107" i="17"/>
  <c r="AJ12" i="17"/>
  <c r="Q242" i="17"/>
  <c r="AQ325" i="17"/>
  <c r="AB215" i="17"/>
  <c r="D325" i="17"/>
  <c r="J325" i="17"/>
  <c r="AD263" i="17"/>
  <c r="O299" i="17"/>
  <c r="AF22" i="17"/>
  <c r="W75" i="17"/>
  <c r="L172" i="17"/>
  <c r="AL4" i="17"/>
  <c r="AD103" i="17"/>
  <c r="AY255" i="17"/>
  <c r="X323" i="17"/>
  <c r="AV190" i="17"/>
  <c r="AR160" i="17"/>
  <c r="AX116" i="17"/>
  <c r="W44" i="17"/>
  <c r="AV162" i="17"/>
  <c r="AT210" i="17"/>
  <c r="G194" i="17"/>
  <c r="AG30" i="17"/>
  <c r="X285" i="17"/>
  <c r="H23" i="17"/>
  <c r="AG283" i="17"/>
  <c r="AI123" i="17"/>
  <c r="AJ182" i="17"/>
  <c r="AN256" i="17"/>
  <c r="AX210" i="17"/>
  <c r="U153" i="17"/>
  <c r="AE216" i="17"/>
  <c r="AA265" i="17"/>
  <c r="G110" i="17"/>
  <c r="AO319" i="17"/>
  <c r="E221" i="17"/>
  <c r="AM237" i="17"/>
  <c r="X159" i="17"/>
  <c r="AQ174" i="17"/>
  <c r="H140" i="17"/>
  <c r="Q98" i="17"/>
  <c r="AU5" i="17"/>
  <c r="N273" i="17"/>
  <c r="AH109" i="17"/>
  <c r="Z163" i="17"/>
  <c r="AV310" i="17"/>
  <c r="T313" i="17"/>
  <c r="AN166" i="17"/>
  <c r="AI238" i="17"/>
  <c r="AQ10" i="17"/>
  <c r="AT120" i="17"/>
  <c r="AS294" i="17"/>
  <c r="M130" i="17"/>
  <c r="AR138" i="17"/>
  <c r="AA129" i="17"/>
  <c r="AP180" i="17"/>
  <c r="AP91" i="17"/>
  <c r="AE292" i="17"/>
  <c r="I217" i="17"/>
  <c r="X241" i="17"/>
  <c r="I210" i="17"/>
  <c r="AQ46" i="17"/>
  <c r="AM295" i="17"/>
  <c r="AB98" i="17"/>
  <c r="AH240" i="17"/>
  <c r="AQ157" i="17"/>
  <c r="X242" i="17"/>
  <c r="AR181" i="17"/>
  <c r="P241" i="17"/>
  <c r="AW51" i="17"/>
  <c r="Z91" i="17"/>
  <c r="L107" i="17"/>
  <c r="AS204" i="17"/>
  <c r="AP259" i="17"/>
  <c r="AO277" i="17"/>
  <c r="AF263" i="17"/>
  <c r="AV44" i="17"/>
  <c r="F269" i="17"/>
  <c r="S149" i="17"/>
  <c r="X317" i="17"/>
  <c r="BA290" i="17"/>
  <c r="O301" i="17"/>
  <c r="AI243" i="17"/>
  <c r="AT232" i="17"/>
  <c r="Q39" i="17"/>
  <c r="G24" i="17"/>
  <c r="AB248" i="17"/>
  <c r="AD157" i="17"/>
  <c r="J159" i="17"/>
  <c r="AG38" i="17"/>
  <c r="D213" i="17"/>
  <c r="AN309" i="17"/>
  <c r="AU319" i="17"/>
  <c r="E263" i="17"/>
  <c r="M36" i="17"/>
  <c r="AY192" i="17"/>
  <c r="AF48" i="17"/>
  <c r="AS158" i="17"/>
  <c r="AI310" i="17"/>
  <c r="H303" i="17"/>
  <c r="AL162" i="17"/>
  <c r="Y83" i="17"/>
  <c r="BA187" i="17"/>
  <c r="BA31" i="17"/>
  <c r="AU252" i="17"/>
  <c r="AQ292" i="17"/>
  <c r="AN79" i="17"/>
  <c r="AK263" i="17"/>
  <c r="AJ252" i="17"/>
  <c r="AU270" i="17"/>
  <c r="Q212" i="17"/>
  <c r="AM238" i="17"/>
  <c r="S282" i="17"/>
  <c r="AZ204" i="17"/>
  <c r="D291" i="17"/>
  <c r="AE328" i="17"/>
  <c r="AA241" i="17"/>
  <c r="V206" i="17"/>
  <c r="AO33" i="17"/>
  <c r="AO232" i="17"/>
  <c r="AL322" i="17"/>
  <c r="AC158" i="17"/>
  <c r="AQ268" i="17"/>
  <c r="X273" i="17"/>
  <c r="AX170" i="17"/>
  <c r="AX189" i="17"/>
  <c r="F247" i="17"/>
  <c r="I163" i="17"/>
  <c r="AZ93" i="17"/>
  <c r="V10" i="17"/>
  <c r="AF82" i="17"/>
  <c r="BA178" i="17"/>
  <c r="Z70" i="17"/>
  <c r="D73" i="17"/>
  <c r="AG261" i="17"/>
  <c r="AP287" i="17"/>
  <c r="Z166" i="17"/>
  <c r="R293" i="17"/>
  <c r="AW199" i="17"/>
  <c r="AJ231" i="17"/>
  <c r="W210" i="17"/>
  <c r="AY98" i="17"/>
  <c r="Q24" i="17"/>
  <c r="L56" i="17"/>
  <c r="Y251" i="17"/>
  <c r="R40" i="17"/>
  <c r="Y58" i="17"/>
  <c r="AZ32" i="17"/>
  <c r="U119" i="17"/>
  <c r="E213" i="17"/>
  <c r="AR306" i="17"/>
  <c r="AM85" i="17"/>
  <c r="AS297" i="17"/>
  <c r="AF33" i="17"/>
  <c r="AX16" i="17"/>
  <c r="BA181" i="17"/>
  <c r="F212" i="17"/>
  <c r="AR16" i="17"/>
  <c r="AF236" i="17"/>
  <c r="AK295" i="17"/>
  <c r="Y95" i="17"/>
  <c r="H29" i="17"/>
  <c r="AK305" i="17"/>
  <c r="K99" i="17"/>
  <c r="AF150" i="17"/>
  <c r="BA255" i="17"/>
  <c r="AK256" i="17"/>
  <c r="M314" i="17"/>
  <c r="X281" i="17"/>
  <c r="R104" i="17"/>
  <c r="AZ58" i="17"/>
  <c r="G293" i="17"/>
  <c r="AY245" i="17"/>
  <c r="AQ260" i="17"/>
  <c r="AG175" i="17"/>
  <c r="Y329" i="17"/>
  <c r="AA212" i="17"/>
  <c r="AC276" i="17"/>
  <c r="G32" i="17"/>
  <c r="E294" i="17"/>
  <c r="AA235" i="17"/>
  <c r="U321" i="17"/>
  <c r="S312" i="17"/>
  <c r="AB150" i="17"/>
  <c r="S144" i="17"/>
  <c r="K80" i="17"/>
  <c r="AM288" i="17"/>
  <c r="AI277" i="17"/>
  <c r="AU35" i="17"/>
  <c r="AU214" i="17"/>
  <c r="I216" i="17"/>
  <c r="AJ96" i="17"/>
  <c r="AE255" i="17"/>
  <c r="AQ282" i="17"/>
  <c r="AM187" i="17"/>
  <c r="AF316" i="17"/>
  <c r="L273" i="17"/>
  <c r="R208" i="17"/>
  <c r="U300" i="17"/>
  <c r="AC194" i="17"/>
  <c r="AM258" i="17"/>
  <c r="AB321" i="17"/>
  <c r="AR66" i="17"/>
  <c r="T193" i="17"/>
  <c r="O36" i="17"/>
  <c r="AW129" i="17"/>
  <c r="AB49" i="17"/>
  <c r="N239" i="17"/>
  <c r="M86" i="17"/>
  <c r="M275" i="17"/>
  <c r="V314" i="17"/>
  <c r="AM247" i="17"/>
  <c r="R309" i="17"/>
  <c r="E266" i="17"/>
  <c r="AK221" i="17"/>
  <c r="R177" i="17"/>
  <c r="AN305" i="17"/>
  <c r="AZ43" i="17"/>
  <c r="AT72" i="17"/>
  <c r="AK253" i="17"/>
  <c r="E166" i="17"/>
  <c r="AB22" i="17"/>
  <c r="AF146" i="17"/>
  <c r="AS122" i="17"/>
  <c r="T223" i="17"/>
  <c r="S73" i="17"/>
  <c r="F35" i="17"/>
  <c r="AP155" i="17"/>
  <c r="AP209" i="17"/>
  <c r="AR292" i="17"/>
  <c r="AC251" i="17"/>
  <c r="AO283" i="17"/>
  <c r="AW277" i="17"/>
  <c r="AI269" i="17"/>
  <c r="AF138" i="17"/>
  <c r="G61" i="17"/>
  <c r="Q182" i="17"/>
  <c r="AS285" i="17"/>
  <c r="BA57" i="17"/>
  <c r="AM201" i="17"/>
  <c r="AH233" i="17"/>
  <c r="BA287" i="17"/>
  <c r="AC99" i="17"/>
  <c r="AU244" i="17"/>
  <c r="I271" i="17"/>
  <c r="AB173" i="17"/>
  <c r="AP104" i="17"/>
  <c r="D75" i="17"/>
  <c r="H279" i="17"/>
  <c r="P256" i="17"/>
  <c r="AE312" i="17"/>
  <c r="AM131" i="17"/>
  <c r="BA280" i="17"/>
  <c r="AQ91" i="17"/>
  <c r="AO25" i="17"/>
  <c r="AX75" i="17"/>
  <c r="AQ315" i="17"/>
  <c r="V63" i="17"/>
  <c r="AN280" i="17"/>
  <c r="AH196" i="17"/>
  <c r="AZ147" i="17"/>
  <c r="F134" i="17"/>
  <c r="H191" i="17"/>
  <c r="AZ177" i="17"/>
  <c r="AS79" i="17"/>
  <c r="AF327" i="17"/>
  <c r="AP315" i="17"/>
  <c r="AA119" i="17"/>
  <c r="AK120" i="17"/>
  <c r="AB85" i="17"/>
  <c r="AF224" i="17"/>
  <c r="AD132" i="17"/>
  <c r="M240" i="17"/>
  <c r="AJ108" i="17"/>
  <c r="R271" i="17"/>
  <c r="D196" i="17"/>
  <c r="AD294" i="17"/>
  <c r="AU40" i="17"/>
  <c r="AN190" i="17"/>
  <c r="AZ253" i="17"/>
  <c r="AX294" i="17"/>
  <c r="X39" i="17"/>
  <c r="AM137" i="17"/>
  <c r="AA316" i="17"/>
  <c r="AI37" i="17"/>
  <c r="X114" i="17"/>
  <c r="AL188" i="17"/>
  <c r="AX230" i="17"/>
  <c r="J282" i="17"/>
  <c r="D315" i="17"/>
  <c r="H317" i="17"/>
  <c r="AM37" i="17"/>
  <c r="AM140" i="17"/>
  <c r="R264" i="17"/>
  <c r="Y5" i="17"/>
  <c r="AY243" i="17"/>
  <c r="X199" i="17"/>
  <c r="AN54" i="17"/>
  <c r="AY226" i="17"/>
  <c r="G313" i="17"/>
  <c r="F310" i="17"/>
  <c r="D307" i="17"/>
  <c r="AV208" i="17"/>
  <c r="AB324" i="17"/>
  <c r="AL218" i="17"/>
  <c r="W308" i="17"/>
  <c r="Y228" i="17"/>
  <c r="BA198" i="17"/>
  <c r="AI200" i="17"/>
  <c r="AN70" i="17"/>
  <c r="R307" i="17"/>
  <c r="AO318" i="17"/>
  <c r="AI252" i="17"/>
  <c r="AD216" i="17"/>
  <c r="AF292" i="17"/>
  <c r="AW308" i="17"/>
  <c r="AN202" i="17"/>
  <c r="AI60" i="17"/>
  <c r="AL240" i="17"/>
  <c r="AW49" i="17"/>
  <c r="AW312" i="17"/>
  <c r="AL28" i="17"/>
  <c r="M267" i="17"/>
  <c r="AD300" i="17"/>
  <c r="AB202" i="17"/>
  <c r="I211" i="17"/>
  <c r="N255" i="17"/>
  <c r="U53" i="17"/>
  <c r="AM301" i="17"/>
  <c r="E309" i="17"/>
  <c r="W280" i="17"/>
  <c r="K230" i="17"/>
  <c r="H149" i="17"/>
  <c r="AU287" i="17"/>
  <c r="AC90" i="17"/>
  <c r="AQ163" i="17"/>
  <c r="AK75" i="17"/>
  <c r="AD113" i="17"/>
  <c r="AR130" i="17"/>
  <c r="AF256" i="17"/>
  <c r="AA70" i="17"/>
  <c r="AJ240" i="17"/>
  <c r="AG247" i="17"/>
  <c r="AL286" i="17"/>
  <c r="AA288" i="17"/>
  <c r="K217" i="17"/>
  <c r="AK279" i="17"/>
  <c r="O314" i="17"/>
  <c r="AM188" i="17"/>
  <c r="AY262" i="17"/>
  <c r="U222" i="17"/>
  <c r="AU29" i="17"/>
  <c r="I257" i="17"/>
  <c r="O248" i="17"/>
  <c r="K17" i="17"/>
  <c r="O24" i="17"/>
  <c r="AE187" i="17"/>
  <c r="AT201" i="17"/>
  <c r="AG263" i="17"/>
  <c r="AA147" i="17"/>
  <c r="Y279" i="17"/>
  <c r="E289" i="17"/>
  <c r="AE114" i="17"/>
  <c r="AU164" i="17"/>
  <c r="H300" i="17"/>
  <c r="N188" i="17"/>
  <c r="H304" i="17"/>
  <c r="AY149" i="17"/>
  <c r="L36" i="17"/>
  <c r="X253" i="17"/>
  <c r="AT94" i="17"/>
  <c r="X163" i="17"/>
  <c r="Z183" i="17"/>
  <c r="AX242" i="17"/>
  <c r="H128" i="17"/>
  <c r="P293" i="17"/>
  <c r="AH265" i="17"/>
  <c r="J49" i="17"/>
  <c r="AT269" i="17"/>
  <c r="U118" i="17"/>
  <c r="H217" i="17"/>
  <c r="E223" i="17"/>
  <c r="O3" i="17"/>
  <c r="F233" i="17"/>
  <c r="AA240" i="17"/>
  <c r="H41" i="17"/>
  <c r="G95" i="17"/>
  <c r="H120" i="17"/>
  <c r="AB282" i="17"/>
  <c r="I263" i="17"/>
  <c r="AV308" i="17"/>
  <c r="AL326" i="17"/>
  <c r="H164" i="17"/>
  <c r="AW271" i="17"/>
  <c r="AJ278" i="17"/>
  <c r="AW78" i="17"/>
  <c r="AI130" i="17"/>
  <c r="AU255" i="17"/>
  <c r="AU128" i="17"/>
  <c r="AB278" i="17"/>
  <c r="AC216" i="17"/>
  <c r="Z315" i="17"/>
  <c r="G263" i="17"/>
  <c r="M33" i="17"/>
  <c r="AY265" i="17"/>
  <c r="AC249" i="17"/>
  <c r="BA130" i="17"/>
  <c r="Y115" i="17"/>
  <c r="AC310" i="17"/>
  <c r="AK271" i="17"/>
  <c r="AT43" i="17"/>
  <c r="H289" i="17"/>
  <c r="AP152" i="17"/>
  <c r="AI301" i="17"/>
  <c r="K168" i="17"/>
  <c r="BA327" i="17"/>
  <c r="AN141" i="17"/>
  <c r="AC176" i="17"/>
  <c r="F100" i="17"/>
  <c r="R49" i="17"/>
  <c r="AP220" i="17"/>
  <c r="O200" i="17"/>
  <c r="AU104" i="17"/>
  <c r="AH184" i="17"/>
  <c r="AQ5" i="17"/>
  <c r="AS52" i="17"/>
  <c r="AC308" i="17"/>
  <c r="E307" i="17"/>
  <c r="E310" i="17"/>
  <c r="AS300" i="17"/>
  <c r="AQ115" i="17"/>
  <c r="R180" i="17"/>
  <c r="AH71" i="17"/>
  <c r="L34" i="17"/>
  <c r="AM190" i="17"/>
  <c r="M128" i="17"/>
  <c r="AP260" i="17"/>
  <c r="X160" i="17"/>
  <c r="AR3" i="17"/>
  <c r="O218" i="17"/>
  <c r="AO256" i="17"/>
  <c r="BA30" i="17"/>
  <c r="E132" i="17"/>
  <c r="I11" i="17"/>
  <c r="S85" i="17"/>
  <c r="AI109" i="17"/>
  <c r="AI129" i="17"/>
  <c r="AH115" i="17"/>
  <c r="AR117" i="17"/>
  <c r="AU230" i="17"/>
  <c r="AJ178" i="17"/>
  <c r="AE37" i="17"/>
  <c r="AZ254" i="17"/>
  <c r="AP308" i="17"/>
  <c r="BA323" i="17"/>
  <c r="AO268" i="17"/>
  <c r="AF57" i="17"/>
  <c r="AX81" i="17"/>
  <c r="AX85" i="17"/>
  <c r="X310" i="17"/>
  <c r="AY198" i="17"/>
  <c r="AQ56" i="17"/>
  <c r="S40" i="17"/>
  <c r="AB208" i="17"/>
  <c r="AL256" i="17"/>
  <c r="AY289" i="17"/>
  <c r="AN146" i="17"/>
  <c r="Y168" i="17"/>
  <c r="AE288" i="17"/>
  <c r="T247" i="17"/>
  <c r="AQ223" i="17"/>
  <c r="AS295" i="17"/>
  <c r="AS49" i="17"/>
  <c r="AZ266" i="17"/>
  <c r="AM272" i="17"/>
  <c r="AT329" i="17"/>
  <c r="U208" i="17"/>
  <c r="M271" i="17"/>
  <c r="BA35" i="17"/>
  <c r="BA316" i="17"/>
  <c r="AK159" i="17"/>
  <c r="AB308" i="17"/>
  <c r="AG19" i="17"/>
  <c r="AX302" i="17"/>
  <c r="J235" i="17"/>
  <c r="Y311" i="17"/>
  <c r="AU160" i="17"/>
  <c r="AK24" i="17"/>
  <c r="E143" i="17"/>
  <c r="O215" i="17"/>
  <c r="AA225" i="17"/>
  <c r="AL131" i="17"/>
  <c r="J125" i="17"/>
  <c r="AA146" i="17"/>
  <c r="D270" i="17"/>
  <c r="AA4" i="17"/>
  <c r="E300" i="17"/>
  <c r="AD122" i="17"/>
  <c r="J213" i="17"/>
  <c r="AK326" i="17"/>
  <c r="AS13" i="17"/>
  <c r="M306" i="17"/>
  <c r="AK323" i="17"/>
  <c r="AZ60" i="17"/>
  <c r="V7" i="17"/>
  <c r="AF269" i="17"/>
  <c r="AQ8" i="17"/>
  <c r="E159" i="17"/>
  <c r="T310" i="17"/>
  <c r="AV18" i="17"/>
  <c r="AG79" i="17"/>
  <c r="X211" i="17"/>
  <c r="U308" i="17"/>
  <c r="AU291" i="17"/>
  <c r="U75" i="17"/>
  <c r="AI255" i="17"/>
  <c r="AE162" i="17"/>
  <c r="N219" i="17"/>
  <c r="AT22" i="17"/>
  <c r="N304" i="17"/>
  <c r="F138" i="17"/>
  <c r="AN115" i="17"/>
  <c r="D295" i="17"/>
  <c r="AP280" i="17"/>
  <c r="L117" i="17"/>
  <c r="J267" i="17"/>
  <c r="AP208" i="17"/>
  <c r="BA66" i="17"/>
  <c r="R140" i="17"/>
  <c r="J258" i="17"/>
  <c r="AR206" i="17"/>
  <c r="L298" i="17"/>
  <c r="AT7" i="17"/>
  <c r="D322" i="17"/>
  <c r="AR316" i="17"/>
  <c r="T252" i="17"/>
  <c r="V31" i="17"/>
  <c r="AL271" i="17"/>
  <c r="AY308" i="17"/>
  <c r="AW87" i="17"/>
  <c r="AL279" i="17"/>
  <c r="AG315" i="17"/>
  <c r="AU301" i="17"/>
  <c r="AP4" i="17"/>
  <c r="N275" i="17"/>
  <c r="AO83" i="17"/>
  <c r="Y289" i="17"/>
  <c r="AL59" i="17"/>
  <c r="AO304" i="17"/>
  <c r="N264" i="17"/>
  <c r="U160" i="17"/>
  <c r="AA229" i="17"/>
  <c r="O313" i="17"/>
  <c r="W285" i="17"/>
  <c r="AA324" i="17"/>
  <c r="AI274" i="17"/>
  <c r="AR238" i="17"/>
  <c r="AK93" i="17"/>
  <c r="AS292" i="17"/>
  <c r="Z271" i="17"/>
  <c r="AJ187" i="17"/>
  <c r="AF11" i="17"/>
  <c r="H250" i="17"/>
  <c r="AJ298" i="17"/>
  <c r="AC191" i="17"/>
  <c r="AR298" i="17"/>
  <c r="F325" i="17"/>
  <c r="AC182" i="17"/>
  <c r="AV142" i="17"/>
  <c r="AF50" i="17"/>
  <c r="G276" i="17"/>
  <c r="AM92" i="17"/>
  <c r="W22" i="17"/>
  <c r="AH32" i="17"/>
  <c r="J322" i="17"/>
  <c r="AV277" i="17"/>
  <c r="AB275" i="17"/>
  <c r="AO306" i="17"/>
  <c r="H257" i="17"/>
  <c r="AE267" i="17"/>
  <c r="AX283" i="17"/>
  <c r="AD210" i="17"/>
  <c r="F145" i="17"/>
  <c r="BA215" i="17"/>
  <c r="AD242" i="17"/>
  <c r="K256" i="17"/>
  <c r="AS309" i="17"/>
  <c r="AV302" i="17"/>
  <c r="M325" i="17"/>
  <c r="AP71" i="17"/>
  <c r="V307" i="17"/>
  <c r="P316" i="17"/>
  <c r="Q300" i="17"/>
  <c r="G70" i="17"/>
  <c r="AW156" i="17"/>
  <c r="U217" i="17"/>
  <c r="I228" i="17"/>
  <c r="AP23" i="17"/>
  <c r="AK188" i="17"/>
  <c r="AV307" i="17"/>
  <c r="AC3" i="17"/>
  <c r="F44" i="17"/>
  <c r="AG4" i="17"/>
  <c r="AL195" i="17"/>
  <c r="M139" i="17"/>
  <c r="AR84" i="17"/>
  <c r="R18" i="17"/>
  <c r="AK312" i="17"/>
  <c r="G30" i="17"/>
  <c r="M117" i="17"/>
  <c r="AG324" i="17"/>
  <c r="AX93" i="17"/>
  <c r="AQ285" i="17"/>
  <c r="AE280" i="17"/>
  <c r="AF184" i="17"/>
  <c r="D216" i="17"/>
  <c r="AD284" i="17"/>
  <c r="AJ216" i="17"/>
  <c r="J253" i="17"/>
  <c r="Z299" i="17"/>
  <c r="L271" i="17"/>
  <c r="AJ35" i="17"/>
  <c r="AY82" i="17"/>
  <c r="F270" i="17"/>
  <c r="AR137" i="17"/>
  <c r="AS113" i="17"/>
  <c r="AD141" i="17"/>
  <c r="N242" i="17"/>
  <c r="D39" i="17"/>
  <c r="AQ87" i="17"/>
  <c r="L313" i="17"/>
  <c r="AR101" i="17"/>
  <c r="AN171" i="17"/>
  <c r="AC261" i="17"/>
  <c r="BA28" i="17"/>
  <c r="X100" i="17"/>
  <c r="AF303" i="17"/>
  <c r="AB107" i="17"/>
  <c r="AN261" i="17"/>
  <c r="AI227" i="17"/>
  <c r="AX307" i="17"/>
  <c r="T181" i="17"/>
  <c r="W284" i="17"/>
  <c r="AY190" i="17"/>
  <c r="K253" i="17"/>
  <c r="AK70" i="17"/>
  <c r="W235" i="17"/>
  <c r="T253" i="17"/>
  <c r="AF5" i="17"/>
  <c r="X33" i="17"/>
  <c r="AV39" i="17"/>
  <c r="AQ316" i="17"/>
  <c r="R325" i="17"/>
  <c r="T71" i="17"/>
  <c r="AB10" i="17"/>
  <c r="AJ11" i="17"/>
  <c r="AI125" i="17"/>
  <c r="H248" i="17"/>
  <c r="AD192" i="17"/>
  <c r="E272" i="17"/>
  <c r="AV267" i="17"/>
  <c r="AS249" i="17"/>
  <c r="O307" i="17"/>
  <c r="AE299" i="17"/>
  <c r="AT282" i="17"/>
  <c r="AZ242" i="17"/>
  <c r="D310" i="17"/>
  <c r="R150" i="17"/>
  <c r="G315" i="17"/>
  <c r="AK304" i="17"/>
  <c r="AY10" i="17"/>
  <c r="H11" i="17"/>
  <c r="V41" i="17"/>
  <c r="G109" i="17"/>
  <c r="I240" i="17"/>
  <c r="AM332" i="17"/>
  <c r="X280" i="17"/>
  <c r="AR159" i="17"/>
  <c r="W86" i="17"/>
  <c r="Y200" i="17"/>
  <c r="S166" i="17"/>
  <c r="K124" i="17"/>
  <c r="AV278" i="17"/>
  <c r="AB46" i="17"/>
  <c r="AF240" i="17"/>
  <c r="M39" i="17"/>
  <c r="BA194" i="17"/>
  <c r="X68" i="17"/>
  <c r="AP282" i="17"/>
  <c r="AY302" i="17"/>
  <c r="AO17" i="17"/>
  <c r="AY73" i="17"/>
  <c r="AF285" i="17"/>
  <c r="AP161" i="17"/>
  <c r="AZ52" i="17"/>
  <c r="AQ140" i="17"/>
  <c r="AY259" i="17"/>
  <c r="P300" i="17"/>
  <c r="T327" i="17"/>
  <c r="AQ276" i="17"/>
  <c r="Y303" i="17"/>
  <c r="AG301" i="17"/>
  <c r="AP26" i="17"/>
  <c r="N21" i="17"/>
  <c r="R127" i="17"/>
  <c r="AL294" i="17"/>
  <c r="AQ83" i="17"/>
  <c r="AR257" i="17"/>
  <c r="AV305" i="17"/>
  <c r="T249" i="17"/>
  <c r="J294" i="17"/>
  <c r="AK284" i="17"/>
  <c r="AZ238" i="17"/>
  <c r="AQ254" i="17"/>
  <c r="AS200" i="17"/>
  <c r="AW21" i="17"/>
  <c r="Y50" i="17"/>
  <c r="AN48" i="17"/>
  <c r="E312" i="17"/>
  <c r="AH243" i="17"/>
  <c r="V228" i="17"/>
  <c r="AG282" i="17"/>
  <c r="W121" i="17"/>
  <c r="G156" i="17"/>
  <c r="J36" i="17"/>
  <c r="AV177" i="17"/>
  <c r="L146" i="17"/>
  <c r="I305" i="17"/>
  <c r="AR179" i="17"/>
  <c r="Z287" i="17"/>
  <c r="I16" i="17"/>
  <c r="I4" i="17"/>
  <c r="AP297" i="17"/>
  <c r="AT152" i="17"/>
  <c r="E173" i="17"/>
  <c r="AM296" i="17"/>
  <c r="AH108" i="17"/>
  <c r="AQ270" i="17"/>
  <c r="AR318" i="17"/>
  <c r="AO263" i="17"/>
  <c r="AV11" i="17"/>
  <c r="Q145" i="17"/>
  <c r="F180" i="17"/>
  <c r="AI133" i="17"/>
  <c r="S93" i="17"/>
  <c r="T102" i="17"/>
  <c r="F149" i="17"/>
  <c r="AQ108" i="17"/>
  <c r="H33" i="17"/>
  <c r="I237" i="17"/>
  <c r="AJ195" i="17"/>
  <c r="AB222" i="17"/>
  <c r="H313" i="17"/>
  <c r="H315" i="17"/>
  <c r="AW253" i="17"/>
  <c r="AX219" i="17"/>
  <c r="F207" i="17"/>
  <c r="V38" i="17"/>
  <c r="AK291" i="17"/>
  <c r="AX255" i="17"/>
  <c r="AB303" i="17"/>
  <c r="AT33" i="17"/>
  <c r="U294" i="17"/>
  <c r="AJ295" i="17"/>
  <c r="M259" i="17"/>
  <c r="AI208" i="17"/>
  <c r="Q186" i="17"/>
  <c r="AL304" i="17"/>
  <c r="S39" i="17"/>
  <c r="AF306" i="17"/>
  <c r="J229" i="17"/>
  <c r="AT118" i="17"/>
  <c r="K26" i="17"/>
  <c r="AK137" i="17"/>
  <c r="F107" i="17"/>
  <c r="V84" i="17"/>
  <c r="V20" i="17"/>
  <c r="AY246" i="17"/>
  <c r="AI99" i="17"/>
  <c r="R179" i="17"/>
  <c r="AM145" i="17"/>
  <c r="Q87" i="17"/>
  <c r="AW323" i="17"/>
  <c r="AQ181" i="17"/>
  <c r="P14" i="17"/>
  <c r="Z81" i="17"/>
  <c r="AU80" i="17"/>
  <c r="AW169" i="17"/>
  <c r="Y41" i="17"/>
  <c r="AW309" i="17"/>
  <c r="AT231" i="17"/>
  <c r="Q25" i="17"/>
  <c r="V154" i="17"/>
  <c r="Q322" i="17"/>
  <c r="M238" i="17"/>
  <c r="AH211" i="17"/>
  <c r="AY100" i="17"/>
  <c r="AV207" i="17"/>
  <c r="AI183" i="17"/>
  <c r="AS259" i="17"/>
  <c r="AN258" i="17"/>
  <c r="AZ7" i="17"/>
  <c r="AP169" i="17"/>
  <c r="S203" i="17"/>
  <c r="AO3" i="17"/>
  <c r="AP114" i="17"/>
  <c r="T229" i="17"/>
  <c r="AV288" i="17"/>
  <c r="AV205" i="17"/>
  <c r="AW68" i="17"/>
  <c r="AQ169" i="17"/>
  <c r="AF311" i="17"/>
  <c r="AR314" i="17"/>
  <c r="AE76" i="17"/>
  <c r="AJ259" i="17"/>
  <c r="BA305" i="17"/>
  <c r="AB297" i="17"/>
  <c r="X298" i="17"/>
  <c r="AG214" i="17"/>
  <c r="AX330" i="17"/>
  <c r="L114" i="17"/>
  <c r="AS28" i="17"/>
  <c r="AP329" i="17"/>
  <c r="AE11" i="17"/>
  <c r="BA37" i="17"/>
  <c r="O281" i="17"/>
  <c r="N194" i="17"/>
  <c r="AU114" i="17"/>
  <c r="AK80" i="17"/>
  <c r="T296" i="17"/>
  <c r="AO82" i="17"/>
  <c r="AC77" i="17"/>
  <c r="AV139" i="17"/>
  <c r="J292" i="17"/>
  <c r="AE238" i="17"/>
  <c r="AM315" i="17"/>
  <c r="BA234" i="17"/>
  <c r="AX263" i="17"/>
  <c r="AW34" i="17"/>
  <c r="H290" i="17"/>
  <c r="D320" i="17"/>
  <c r="F6" i="17"/>
  <c r="O136" i="17"/>
  <c r="AJ315" i="17"/>
  <c r="I166" i="17"/>
  <c r="Q54" i="17"/>
  <c r="M67" i="17"/>
  <c r="AA35" i="17"/>
  <c r="P307" i="17"/>
  <c r="AY231" i="17"/>
  <c r="AV135" i="17"/>
  <c r="AT58" i="17"/>
  <c r="AC201" i="17"/>
  <c r="AK164" i="17"/>
  <c r="AW299" i="17"/>
  <c r="AS83" i="17"/>
  <c r="O249" i="17"/>
  <c r="AR277" i="17"/>
  <c r="AA278" i="17"/>
  <c r="G268" i="17"/>
  <c r="I114" i="17"/>
  <c r="Q277" i="17"/>
  <c r="J245" i="17"/>
  <c r="AB286" i="17"/>
  <c r="AE253" i="17"/>
  <c r="AP44" i="17"/>
  <c r="J37" i="17"/>
  <c r="N192" i="17"/>
  <c r="D31" i="17"/>
  <c r="H261" i="17"/>
  <c r="AK197" i="17"/>
  <c r="AP268" i="17"/>
  <c r="AM26" i="17"/>
  <c r="AZ286" i="17"/>
  <c r="F7" i="17"/>
  <c r="K272" i="17"/>
  <c r="F311" i="17"/>
  <c r="AL312" i="17"/>
  <c r="BA10" i="17"/>
  <c r="Q174" i="17"/>
  <c r="AR327" i="17"/>
  <c r="AG178" i="17"/>
  <c r="W172" i="17"/>
  <c r="BA315" i="17"/>
  <c r="T280" i="17"/>
  <c r="AY49" i="17"/>
  <c r="AD211" i="17"/>
  <c r="K190" i="17"/>
  <c r="V166" i="17"/>
  <c r="Q323" i="17"/>
  <c r="AL261" i="17"/>
  <c r="AG262" i="17"/>
  <c r="AV43" i="17"/>
  <c r="AZ272" i="17"/>
  <c r="U61" i="17"/>
  <c r="W64" i="17"/>
  <c r="W329" i="17"/>
  <c r="L223" i="17"/>
  <c r="F175" i="17"/>
  <c r="AB84" i="17"/>
  <c r="Q318" i="17"/>
  <c r="Z304" i="17"/>
  <c r="T49" i="17"/>
  <c r="AF129" i="17"/>
  <c r="Z247" i="17"/>
  <c r="G294" i="17"/>
  <c r="AR310" i="17"/>
  <c r="Q304" i="17"/>
  <c r="AR224" i="17"/>
  <c r="AA272" i="17"/>
  <c r="AH295" i="17"/>
  <c r="AW52" i="17"/>
  <c r="E260" i="17"/>
  <c r="AN231" i="17"/>
  <c r="AT251" i="17"/>
  <c r="AX183" i="17"/>
  <c r="AX211" i="17"/>
  <c r="U320" i="17"/>
  <c r="AI258" i="17"/>
  <c r="AK105" i="17"/>
  <c r="L220" i="17"/>
  <c r="Q328" i="17"/>
  <c r="AD219" i="17"/>
  <c r="AL316" i="17"/>
  <c r="AK96" i="17"/>
  <c r="E247" i="17"/>
  <c r="V22" i="17"/>
  <c r="AJ65" i="17"/>
  <c r="H114" i="17"/>
  <c r="BA238" i="17"/>
  <c r="AZ71" i="17"/>
  <c r="R207" i="17"/>
  <c r="X214" i="17"/>
  <c r="AL244" i="17"/>
  <c r="AL21" i="17"/>
  <c r="AJ138" i="17"/>
  <c r="BA105" i="17"/>
  <c r="S327" i="17"/>
  <c r="W139" i="17"/>
  <c r="Z66" i="17"/>
  <c r="P255" i="17"/>
  <c r="G153" i="17"/>
  <c r="AH247" i="17"/>
  <c r="AL45" i="17"/>
  <c r="U135" i="17"/>
  <c r="AM19" i="17"/>
  <c r="K325" i="17"/>
  <c r="AE332" i="17"/>
  <c r="AD312" i="17"/>
  <c r="AT108" i="17"/>
  <c r="F293" i="17"/>
  <c r="AD316" i="17"/>
  <c r="AY170" i="17"/>
  <c r="F320" i="17"/>
  <c r="U123" i="17"/>
  <c r="E177" i="17"/>
  <c r="AS319" i="17"/>
  <c r="AC212" i="17"/>
  <c r="AG233" i="17"/>
  <c r="AD285" i="17"/>
  <c r="AV270" i="17"/>
  <c r="AO323" i="17"/>
  <c r="AH141" i="17"/>
  <c r="AT323" i="17"/>
  <c r="AR320" i="17"/>
  <c r="AJ228" i="17"/>
  <c r="AM294" i="17"/>
  <c r="Y299" i="17"/>
  <c r="AS7" i="17"/>
  <c r="W276" i="17"/>
  <c r="AA292" i="17"/>
  <c r="AL291" i="17"/>
  <c r="AJ266" i="17"/>
  <c r="D189" i="17"/>
  <c r="P294" i="17"/>
  <c r="AA165" i="17"/>
  <c r="AI246" i="17"/>
  <c r="AE324" i="17"/>
  <c r="AL79" i="17"/>
  <c r="AF321" i="17"/>
  <c r="AL124" i="17"/>
  <c r="R282" i="17"/>
  <c r="W266" i="17"/>
  <c r="M46" i="17"/>
  <c r="AQ188" i="17"/>
  <c r="S266" i="17"/>
  <c r="AX160" i="17"/>
  <c r="AI321" i="17"/>
  <c r="D323" i="17"/>
  <c r="AW102" i="17"/>
  <c r="Z290" i="17"/>
  <c r="S258" i="17"/>
  <c r="V269" i="17"/>
  <c r="AY199" i="17"/>
  <c r="E329" i="17"/>
  <c r="P41" i="17"/>
  <c r="E248" i="17"/>
  <c r="AH264" i="17"/>
  <c r="I73" i="17"/>
  <c r="AR210" i="17"/>
  <c r="H2" i="17"/>
  <c r="AM291" i="17"/>
  <c r="AU31" i="17"/>
  <c r="P319" i="17"/>
  <c r="Z303" i="17"/>
  <c r="E34" i="17"/>
  <c r="N230" i="17"/>
  <c r="D281" i="17"/>
  <c r="AY182" i="17"/>
  <c r="AC102" i="17"/>
  <c r="AU7" i="17"/>
  <c r="BA317" i="17"/>
  <c r="AN93" i="17"/>
  <c r="AJ281" i="17"/>
  <c r="W259" i="17"/>
  <c r="AZ311" i="17"/>
  <c r="K281" i="17"/>
  <c r="AZ312" i="17"/>
  <c r="AH274" i="17"/>
  <c r="AE237" i="17"/>
  <c r="G298" i="17"/>
  <c r="V276" i="17"/>
  <c r="AP325" i="17"/>
  <c r="BA322" i="17"/>
  <c r="AJ150" i="17"/>
  <c r="P61" i="17"/>
  <c r="AW274" i="17"/>
  <c r="H138" i="17"/>
  <c r="AW60" i="17"/>
  <c r="H329" i="17"/>
  <c r="T297" i="17"/>
  <c r="AT306" i="17"/>
  <c r="AK294" i="17"/>
  <c r="AT291" i="17"/>
  <c r="AN286" i="17"/>
  <c r="M45" i="17"/>
  <c r="S288" i="17"/>
  <c r="AU328" i="17"/>
  <c r="Y194" i="17"/>
  <c r="I289" i="17"/>
  <c r="AX111" i="17"/>
  <c r="AJ181" i="17"/>
  <c r="AW229" i="17"/>
  <c r="AX264" i="17"/>
  <c r="AP258" i="17"/>
  <c r="U282" i="17"/>
  <c r="AL311" i="17"/>
  <c r="X72" i="17"/>
  <c r="AK315" i="17"/>
  <c r="BA326" i="17"/>
  <c r="AY67" i="17"/>
  <c r="BA190" i="17"/>
  <c r="BA149" i="17"/>
  <c r="AT83" i="17"/>
  <c r="Q251" i="17"/>
  <c r="S263" i="17"/>
  <c r="BA267" i="17"/>
  <c r="AN240" i="17"/>
  <c r="AV249" i="17"/>
  <c r="AZ278" i="17"/>
  <c r="AX77" i="17"/>
  <c r="AU318" i="17"/>
  <c r="AZ21" i="17"/>
  <c r="P317" i="17"/>
  <c r="AY235" i="17"/>
  <c r="AW286" i="17"/>
  <c r="AF272" i="17"/>
  <c r="N316" i="17"/>
  <c r="F313" i="17"/>
  <c r="M161" i="17"/>
  <c r="AJ117" i="17"/>
  <c r="K238" i="17"/>
  <c r="R276" i="17"/>
  <c r="AJ318" i="17"/>
  <c r="F253" i="17"/>
  <c r="AX97" i="17"/>
  <c r="Q156" i="17"/>
  <c r="AL56" i="17"/>
  <c r="AP318" i="17"/>
  <c r="AB176" i="17"/>
  <c r="AB314" i="17"/>
  <c r="AM162" i="17"/>
  <c r="AS173" i="17"/>
  <c r="AF319" i="17"/>
  <c r="X265" i="17"/>
  <c r="AZ224" i="17"/>
  <c r="AY64" i="17"/>
  <c r="I283" i="17"/>
  <c r="AS288" i="17"/>
  <c r="AN222" i="17"/>
  <c r="E298" i="17"/>
  <c r="AP58" i="17"/>
  <c r="AO238" i="17"/>
  <c r="AB114" i="17"/>
  <c r="BA73" i="17"/>
  <c r="G11" i="17"/>
  <c r="AE301" i="17"/>
  <c r="AZ194" i="17"/>
  <c r="AG295" i="17"/>
  <c r="AD92" i="17"/>
  <c r="G245" i="17"/>
  <c r="AI270" i="17"/>
  <c r="F254" i="17"/>
  <c r="AD123" i="17"/>
  <c r="K240" i="17"/>
  <c r="AK250" i="17"/>
  <c r="AZ229" i="17"/>
  <c r="AG44" i="17"/>
  <c r="Q82" i="17"/>
  <c r="M278" i="17"/>
  <c r="AD302" i="17"/>
  <c r="H272" i="17"/>
  <c r="AA221" i="17"/>
  <c r="O229" i="17"/>
  <c r="AD120" i="17"/>
  <c r="AY80" i="17"/>
  <c r="D15" i="17"/>
  <c r="AV38" i="17"/>
  <c r="AO162" i="17"/>
  <c r="V255" i="17"/>
  <c r="AF3" i="17"/>
  <c r="AA326" i="17"/>
  <c r="AX267" i="17"/>
  <c r="AI39" i="17"/>
  <c r="AZ202" i="17"/>
  <c r="BA137" i="17"/>
  <c r="AZ125" i="17"/>
  <c r="AX156" i="17"/>
  <c r="W292" i="17"/>
  <c r="AZ152" i="17"/>
  <c r="AY278" i="17"/>
  <c r="AT3" i="17"/>
  <c r="G74" i="17"/>
  <c r="J106" i="17"/>
  <c r="AR245" i="17"/>
  <c r="AX42" i="17"/>
  <c r="AG273" i="17"/>
  <c r="AB143" i="17"/>
  <c r="AU130" i="17"/>
  <c r="U229" i="17"/>
  <c r="AP198" i="17"/>
  <c r="S185" i="17"/>
  <c r="AA42" i="17"/>
  <c r="AX158" i="17"/>
  <c r="S222" i="17"/>
  <c r="M167" i="17"/>
  <c r="M111" i="17"/>
  <c r="AP286" i="17"/>
  <c r="BA179" i="17"/>
  <c r="G228" i="17"/>
  <c r="AQ290" i="17"/>
  <c r="L285" i="17"/>
  <c r="U102" i="17"/>
  <c r="AA320" i="17"/>
  <c r="AG270" i="17"/>
  <c r="BA155" i="17"/>
  <c r="AV318" i="17"/>
  <c r="AJ4" i="17"/>
  <c r="AF147" i="17"/>
  <c r="AJ200" i="17"/>
  <c r="L19" i="17"/>
  <c r="AZ325" i="17"/>
  <c r="AF203" i="17"/>
  <c r="AB288" i="17"/>
  <c r="Z321" i="17"/>
  <c r="G59" i="17"/>
  <c r="F223" i="17"/>
  <c r="AO301" i="17"/>
  <c r="G275" i="17"/>
  <c r="U197" i="17"/>
  <c r="Y327" i="17"/>
  <c r="V264" i="17"/>
  <c r="AW185" i="17"/>
  <c r="AA80" i="17"/>
  <c r="AM52" i="17"/>
  <c r="AU304" i="17"/>
  <c r="Z281" i="17"/>
  <c r="Q268" i="17"/>
  <c r="Y293" i="17"/>
  <c r="V328" i="17"/>
  <c r="AU165" i="17"/>
  <c r="W180" i="17"/>
  <c r="M250" i="17"/>
  <c r="AQ106" i="17"/>
  <c r="AG279" i="17"/>
  <c r="Q73" i="17"/>
  <c r="E303" i="17"/>
  <c r="AH271" i="17"/>
  <c r="M55" i="17"/>
  <c r="T59" i="17"/>
  <c r="Z199" i="17"/>
  <c r="AK275" i="17"/>
  <c r="AK320" i="17"/>
  <c r="AV37" i="17"/>
  <c r="AP102" i="17"/>
  <c r="AW103" i="17"/>
  <c r="E322" i="17"/>
  <c r="AE271" i="17"/>
  <c r="AJ8" i="17"/>
  <c r="AI317" i="17"/>
  <c r="AO130" i="17"/>
  <c r="R80" i="17"/>
  <c r="AH276" i="17"/>
  <c r="AH157" i="17"/>
  <c r="AT31" i="17"/>
  <c r="T74" i="17"/>
  <c r="AJ250" i="17"/>
  <c r="I323" i="17"/>
  <c r="V278" i="17"/>
  <c r="K117" i="17"/>
  <c r="AX298" i="17"/>
  <c r="AG321" i="17"/>
  <c r="U92" i="17"/>
  <c r="AH22" i="17"/>
  <c r="K317" i="17"/>
  <c r="D268" i="17"/>
  <c r="D133" i="17"/>
  <c r="L279" i="17"/>
  <c r="AY242" i="17"/>
  <c r="AB243" i="17"/>
  <c r="Z169" i="17"/>
  <c r="D151" i="17"/>
  <c r="G284" i="17"/>
  <c r="AS128" i="17"/>
  <c r="N70" i="17"/>
  <c r="AT221" i="17"/>
  <c r="AU131" i="17"/>
  <c r="U303" i="17"/>
  <c r="F295" i="17"/>
  <c r="AF43" i="17"/>
  <c r="I186" i="17"/>
  <c r="AS231" i="17"/>
  <c r="AA307" i="17"/>
  <c r="AC66" i="17"/>
  <c r="V3" i="17"/>
  <c r="AB280" i="17"/>
  <c r="Q226" i="17"/>
  <c r="AT256" i="17"/>
  <c r="AN326" i="17"/>
  <c r="AN183" i="17"/>
  <c r="AY286" i="17"/>
  <c r="E14" i="17"/>
  <c r="AH76" i="17"/>
  <c r="Y229" i="17"/>
  <c r="T197" i="17"/>
  <c r="AK115" i="17"/>
  <c r="AK262" i="17"/>
  <c r="I187" i="17"/>
  <c r="AS55" i="17"/>
  <c r="AJ305" i="17"/>
  <c r="AW119" i="17"/>
  <c r="AP289" i="17"/>
  <c r="AT142" i="17"/>
  <c r="AV210" i="17"/>
  <c r="AK140" i="17"/>
  <c r="AB13" i="17"/>
  <c r="I313" i="17"/>
  <c r="K191" i="17"/>
  <c r="AY151" i="17"/>
  <c r="AH169" i="17"/>
  <c r="K296" i="17"/>
  <c r="AF89" i="17"/>
  <c r="AK220" i="17"/>
  <c r="AQ97" i="17"/>
  <c r="AS229" i="17"/>
  <c r="Y297" i="17"/>
  <c r="AL210" i="17"/>
  <c r="Z291" i="17"/>
  <c r="AP249" i="17"/>
  <c r="Z76" i="17"/>
  <c r="F306" i="17"/>
  <c r="R269" i="17"/>
  <c r="BA298" i="17"/>
  <c r="AX74" i="17"/>
  <c r="AB115" i="17"/>
  <c r="AY97" i="17"/>
  <c r="AF13" i="17"/>
  <c r="J217" i="17"/>
  <c r="D319" i="17"/>
  <c r="AA325" i="17"/>
  <c r="Q228" i="17"/>
  <c r="AT47" i="17"/>
  <c r="Y272" i="17"/>
  <c r="AT82" i="17"/>
  <c r="AE317" i="17"/>
  <c r="H311" i="17"/>
  <c r="AH216" i="17"/>
  <c r="AJ316" i="17"/>
  <c r="AM9" i="17"/>
  <c r="Y184" i="17"/>
  <c r="P85" i="17"/>
  <c r="R37" i="17"/>
  <c r="AW39" i="17"/>
  <c r="R19" i="17"/>
  <c r="AZ258" i="17"/>
  <c r="AN234" i="17"/>
  <c r="N20" i="17"/>
  <c r="G188" i="17"/>
  <c r="AZ37" i="17"/>
  <c r="X119" i="17"/>
  <c r="L54" i="17"/>
  <c r="AY56" i="17"/>
  <c r="R266" i="17"/>
  <c r="D317" i="17"/>
  <c r="R287" i="17"/>
  <c r="J312" i="17"/>
  <c r="F15" i="17"/>
  <c r="AA321" i="17"/>
  <c r="BA159" i="17"/>
  <c r="AT203" i="17"/>
  <c r="K11" i="17"/>
  <c r="AD65" i="17"/>
  <c r="AS324" i="17"/>
  <c r="W323" i="17"/>
  <c r="AT191" i="17"/>
  <c r="AV228" i="17"/>
  <c r="Q220" i="17"/>
  <c r="Y292" i="17"/>
  <c r="AU118" i="17"/>
  <c r="AN143" i="17"/>
  <c r="F274" i="17"/>
  <c r="AB39" i="17"/>
  <c r="AV312" i="17"/>
  <c r="R174" i="17"/>
  <c r="V215" i="17"/>
  <c r="L281" i="17"/>
  <c r="T314" i="17"/>
  <c r="AJ301" i="17"/>
  <c r="AK286" i="17"/>
  <c r="L332" i="17"/>
  <c r="AY301" i="17"/>
  <c r="AC323" i="17"/>
  <c r="AJ326" i="17"/>
  <c r="G15" i="17"/>
  <c r="D175" i="17"/>
  <c r="AX63" i="17"/>
  <c r="O250" i="17"/>
  <c r="AN116" i="17"/>
  <c r="D294" i="17"/>
  <c r="V302" i="17"/>
  <c r="AD229" i="17"/>
  <c r="G4" i="17"/>
  <c r="AM236" i="17"/>
  <c r="AS138" i="17"/>
  <c r="AF309" i="17"/>
  <c r="D254" i="17"/>
  <c r="Y179" i="17"/>
  <c r="AQ261" i="17"/>
  <c r="V241" i="17"/>
  <c r="AV111" i="17"/>
  <c r="AV306" i="17"/>
  <c r="AJ123" i="17"/>
  <c r="U243" i="17"/>
  <c r="AY297" i="17"/>
  <c r="AK60" i="17"/>
  <c r="Z234" i="17"/>
  <c r="AF249" i="17"/>
  <c r="J300" i="17"/>
  <c r="AM318" i="17"/>
  <c r="E319" i="17"/>
  <c r="AM222" i="17"/>
  <c r="J237" i="17"/>
  <c r="I316" i="17"/>
  <c r="AI253" i="17"/>
  <c r="X301" i="17"/>
  <c r="AH306" i="17"/>
  <c r="P211" i="17"/>
  <c r="AW13" i="17"/>
  <c r="AK69" i="17"/>
  <c r="BA63" i="17"/>
  <c r="AH234" i="17"/>
  <c r="D10" i="17"/>
  <c r="AF18" i="17"/>
  <c r="Y128" i="17"/>
  <c r="AY66" i="17"/>
  <c r="M318" i="17"/>
  <c r="P296" i="17"/>
  <c r="AU283" i="17"/>
  <c r="AY284" i="17"/>
  <c r="AS243" i="17"/>
  <c r="AJ279" i="17"/>
  <c r="F264" i="17"/>
  <c r="AI315" i="17"/>
  <c r="AV211" i="17"/>
  <c r="K242" i="17"/>
  <c r="AK181" i="17"/>
  <c r="AJ113" i="17"/>
  <c r="H323" i="17"/>
  <c r="S198" i="17"/>
  <c r="T174" i="17"/>
  <c r="AU180" i="17"/>
  <c r="Y147" i="17"/>
  <c r="G137" i="17"/>
  <c r="G197" i="17"/>
  <c r="Y277" i="17"/>
  <c r="AX248" i="17"/>
  <c r="N263" i="17"/>
  <c r="AD264" i="17"/>
  <c r="AY172" i="17"/>
  <c r="AD5" i="17"/>
  <c r="AN179" i="17"/>
  <c r="V320" i="17"/>
  <c r="AJ258" i="17"/>
  <c r="AU217" i="17"/>
  <c r="AY112" i="17"/>
  <c r="AQ146" i="17"/>
  <c r="AU38" i="17"/>
  <c r="AD321" i="17"/>
  <c r="G219" i="17"/>
  <c r="AB195" i="17"/>
  <c r="AQ294" i="17"/>
  <c r="W206" i="17"/>
  <c r="AH310" i="17"/>
  <c r="AL63" i="17"/>
  <c r="AC156" i="17"/>
  <c r="AZ196" i="17"/>
  <c r="AN251" i="17"/>
  <c r="I326" i="17"/>
  <c r="AJ93" i="17"/>
  <c r="U131" i="17"/>
  <c r="AV289" i="17"/>
  <c r="Z65" i="17"/>
  <c r="AR227" i="17"/>
  <c r="Q312" i="17"/>
  <c r="AX319" i="17"/>
  <c r="AX231" i="17"/>
  <c r="P216" i="17"/>
  <c r="AV327" i="17"/>
  <c r="AX309" i="17"/>
  <c r="X308" i="17"/>
  <c r="W324" i="17"/>
  <c r="AD318" i="17"/>
  <c r="R234" i="17"/>
  <c r="L318" i="17"/>
  <c r="F273" i="17"/>
  <c r="E61" i="17"/>
  <c r="AC12" i="17"/>
  <c r="AD276" i="17"/>
  <c r="AW64" i="17"/>
  <c r="I292" i="17"/>
  <c r="AC331" i="17"/>
  <c r="AU277" i="17"/>
  <c r="AD13" i="17"/>
  <c r="X128" i="17"/>
  <c r="N90" i="17"/>
  <c r="AN38" i="17"/>
  <c r="AE309" i="17"/>
  <c r="AF259" i="17"/>
  <c r="J252" i="17"/>
  <c r="AI295" i="17"/>
  <c r="AA309" i="17"/>
  <c r="Q190" i="17"/>
  <c r="S14" i="17"/>
  <c r="AA282" i="17"/>
  <c r="AW315" i="17"/>
  <c r="F255" i="17"/>
  <c r="H295" i="17"/>
  <c r="AL332" i="17"/>
  <c r="AK144" i="17"/>
  <c r="V90" i="17"/>
  <c r="O30" i="17"/>
  <c r="AJ70" i="17"/>
  <c r="Y106" i="17"/>
  <c r="AQ309" i="17"/>
  <c r="R284" i="17"/>
  <c r="AU250" i="17"/>
  <c r="AK313" i="17"/>
  <c r="Q324" i="17"/>
  <c r="AV237" i="17"/>
  <c r="AD51" i="17"/>
  <c r="AG304" i="17"/>
  <c r="K156" i="17"/>
  <c r="AM302" i="17"/>
  <c r="U226" i="17"/>
  <c r="AS272" i="17"/>
  <c r="D318" i="17"/>
  <c r="F20" i="17"/>
  <c r="J306" i="17"/>
  <c r="AP212" i="17"/>
  <c r="N320" i="17"/>
  <c r="AN328" i="17"/>
  <c r="I157" i="17"/>
  <c r="AZ18" i="17"/>
  <c r="BA4" i="17"/>
  <c r="AF66" i="17"/>
  <c r="BA176" i="17"/>
  <c r="P325" i="17"/>
  <c r="Q316" i="17"/>
  <c r="AZ14" i="17"/>
  <c r="AH319" i="17"/>
  <c r="U4" i="17"/>
  <c r="AE319" i="17"/>
  <c r="AK328" i="17"/>
  <c r="AU326" i="17"/>
  <c r="X306" i="17"/>
  <c r="I327" i="17"/>
  <c r="AK206" i="17"/>
  <c r="O98" i="17"/>
  <c r="N45" i="17"/>
  <c r="J184" i="17"/>
  <c r="AZ44" i="17"/>
  <c r="O12" i="17"/>
  <c r="AI138" i="17"/>
  <c r="AZ250" i="17"/>
  <c r="Z318" i="17"/>
  <c r="AG67" i="17"/>
  <c r="S172" i="17"/>
  <c r="AG311" i="17"/>
  <c r="AE106" i="17"/>
  <c r="AB317" i="17"/>
  <c r="AP137" i="17"/>
  <c r="AE224" i="17"/>
  <c r="T235" i="17"/>
  <c r="O251" i="17"/>
  <c r="AD275" i="17"/>
  <c r="AC92" i="17"/>
  <c r="AY59" i="17"/>
  <c r="AF123" i="17"/>
  <c r="AF304" i="17"/>
  <c r="AT302" i="17"/>
  <c r="G271" i="17"/>
  <c r="AD271" i="17"/>
  <c r="AB304" i="17"/>
  <c r="D304" i="17"/>
  <c r="P327" i="17"/>
  <c r="U268" i="17"/>
  <c r="H211" i="17"/>
  <c r="I233" i="17"/>
  <c r="AJ165" i="17"/>
  <c r="AX276" i="17"/>
  <c r="AP65" i="17"/>
  <c r="V80" i="17"/>
  <c r="AG55" i="17"/>
  <c r="S94" i="17"/>
  <c r="U267" i="17"/>
  <c r="Z15" i="17"/>
  <c r="AD68" i="17"/>
  <c r="AH100" i="17"/>
  <c r="AZ267" i="17"/>
  <c r="AV243" i="17"/>
  <c r="K107" i="17"/>
  <c r="AL151" i="17"/>
  <c r="AY285" i="17"/>
  <c r="L315" i="17"/>
  <c r="AM319" i="17"/>
  <c r="AZ212" i="17"/>
  <c r="N301" i="17"/>
  <c r="AJ274" i="17"/>
  <c r="AP88" i="17"/>
  <c r="AV299" i="17"/>
  <c r="L155" i="17"/>
  <c r="H187" i="17"/>
  <c r="I12" i="17"/>
  <c r="E227" i="17"/>
  <c r="AL143" i="17"/>
  <c r="AN300" i="17"/>
  <c r="AH255" i="17"/>
  <c r="N65" i="17"/>
  <c r="AV297" i="17"/>
  <c r="AI53" i="17"/>
  <c r="L112" i="17"/>
  <c r="AX109" i="17"/>
  <c r="Q233" i="17"/>
  <c r="E47" i="17"/>
  <c r="AS54" i="17"/>
  <c r="AT253" i="17"/>
  <c r="AQ60" i="17"/>
  <c r="AQ68" i="17"/>
  <c r="Z329" i="17"/>
  <c r="M68" i="17"/>
  <c r="AG101" i="17"/>
  <c r="AA251" i="17"/>
  <c r="AR315" i="17"/>
  <c r="AG61" i="17"/>
  <c r="L283" i="17"/>
  <c r="R120" i="17"/>
  <c r="AY269" i="17"/>
  <c r="AZ97" i="17"/>
  <c r="G323" i="17"/>
  <c r="AQ203" i="17"/>
  <c r="AL192" i="17"/>
  <c r="T255" i="17"/>
  <c r="P131" i="17"/>
  <c r="BA77" i="17"/>
  <c r="R260" i="17"/>
  <c r="U255" i="17"/>
  <c r="P253" i="17"/>
  <c r="AV21" i="17"/>
  <c r="AF223" i="17"/>
  <c r="AW290" i="17"/>
  <c r="AK26" i="17"/>
  <c r="BA292" i="17"/>
  <c r="H42" i="17"/>
  <c r="N325" i="17"/>
  <c r="AB2" i="17"/>
  <c r="E286" i="17"/>
  <c r="U232" i="17"/>
  <c r="D165" i="17"/>
  <c r="AA8" i="17"/>
  <c r="AH201" i="17"/>
  <c r="V287" i="17"/>
  <c r="X307" i="17"/>
  <c r="J206" i="17"/>
  <c r="AW168" i="17"/>
  <c r="AJ260" i="17"/>
  <c r="G190" i="17"/>
  <c r="G97" i="17"/>
  <c r="AR220" i="17"/>
  <c r="E118" i="17"/>
  <c r="O48" i="17"/>
  <c r="F250" i="17"/>
  <c r="AY244" i="17"/>
  <c r="AN312" i="17"/>
  <c r="AA177" i="17"/>
  <c r="K257" i="17"/>
  <c r="AJ285" i="17"/>
  <c r="U311" i="17"/>
  <c r="AG196" i="17"/>
  <c r="T4" i="17"/>
  <c r="AY213" i="17"/>
  <c r="AO295" i="17"/>
  <c r="AQ148" i="17"/>
  <c r="Z189" i="17"/>
  <c r="X3" i="17"/>
  <c r="G316" i="17"/>
  <c r="AW311" i="17"/>
  <c r="AQ230" i="17"/>
  <c r="AM124" i="17"/>
  <c r="AX316" i="17"/>
  <c r="AZ169" i="17"/>
  <c r="AS313" i="17"/>
  <c r="AY288" i="17"/>
  <c r="AL69" i="17"/>
  <c r="P290" i="17"/>
  <c r="AI298" i="17"/>
  <c r="AU151" i="17"/>
  <c r="T70" i="17"/>
  <c r="E269" i="17"/>
  <c r="AB264" i="17"/>
  <c r="BA257" i="17"/>
  <c r="AP235" i="17"/>
  <c r="G277" i="17"/>
  <c r="AT67" i="17"/>
  <c r="AL302" i="17"/>
  <c r="T217" i="17"/>
  <c r="F248" i="17"/>
  <c r="V167" i="17"/>
  <c r="S325" i="17"/>
  <c r="AZ308" i="17"/>
  <c r="P224" i="17"/>
  <c r="I301" i="17"/>
  <c r="AW233" i="17"/>
  <c r="AJ255" i="17"/>
  <c r="AN16" i="17"/>
  <c r="E169" i="17"/>
  <c r="M290" i="17"/>
  <c r="D283" i="17"/>
  <c r="AJ68" i="17"/>
  <c r="AN173" i="17"/>
  <c r="AN124" i="17"/>
  <c r="AH292" i="17"/>
  <c r="D252" i="17"/>
  <c r="AE167" i="17"/>
  <c r="AZ99" i="17"/>
  <c r="AX11" i="17"/>
  <c r="J89" i="17"/>
  <c r="AF250" i="17"/>
  <c r="AI318" i="17"/>
  <c r="X16" i="17"/>
  <c r="M285" i="17"/>
  <c r="N89" i="17"/>
  <c r="AS84" i="17"/>
  <c r="AH131" i="17"/>
  <c r="AW146" i="17"/>
  <c r="J98" i="17"/>
  <c r="F160" i="17"/>
  <c r="Y282" i="17"/>
  <c r="AJ225" i="17"/>
  <c r="AB242" i="17"/>
  <c r="AD303" i="17"/>
  <c r="AE296" i="17"/>
  <c r="AF103" i="17"/>
  <c r="AX132" i="17"/>
  <c r="AR201" i="17"/>
  <c r="BA151" i="17"/>
  <c r="P268" i="17"/>
  <c r="AB221" i="17"/>
  <c r="AY72" i="17"/>
  <c r="L299" i="17"/>
  <c r="AE247" i="17"/>
  <c r="AU316" i="17"/>
  <c r="L246" i="17"/>
  <c r="M309" i="17"/>
  <c r="AN29" i="17"/>
  <c r="AS311" i="17"/>
  <c r="K294" i="17"/>
  <c r="T267" i="17"/>
  <c r="H316" i="17"/>
  <c r="AY221" i="17"/>
  <c r="M206" i="17"/>
  <c r="F266" i="17"/>
  <c r="L325" i="17"/>
  <c r="G292" i="17"/>
  <c r="G202" i="17"/>
  <c r="AZ260" i="17"/>
  <c r="AF197" i="17"/>
  <c r="J124" i="17"/>
  <c r="AV266" i="17"/>
  <c r="W317" i="17"/>
  <c r="U98" i="17"/>
  <c r="P270" i="17"/>
  <c r="AV285" i="17"/>
  <c r="AY317" i="17"/>
  <c r="AT85" i="17"/>
  <c r="AM213" i="17"/>
  <c r="Z277" i="17"/>
  <c r="L314" i="17"/>
  <c r="AL51" i="17"/>
  <c r="AA2" i="17"/>
  <c r="AE231" i="17"/>
  <c r="AT278" i="17"/>
  <c r="K76" i="17"/>
  <c r="P229" i="17"/>
  <c r="AN203" i="17"/>
  <c r="G231" i="17"/>
  <c r="F194" i="17"/>
  <c r="AO307" i="17"/>
  <c r="AV78" i="17"/>
  <c r="AM251" i="17"/>
  <c r="AN184" i="17"/>
  <c r="T287" i="17"/>
  <c r="AD299" i="17"/>
  <c r="M247" i="17"/>
  <c r="N75" i="17"/>
  <c r="Q130" i="17"/>
  <c r="AP117" i="17"/>
  <c r="Z217" i="17"/>
  <c r="L115" i="17"/>
  <c r="AV75" i="17"/>
  <c r="AU19" i="17"/>
  <c r="AV95" i="17"/>
  <c r="AE302" i="17"/>
  <c r="AZ113" i="17"/>
  <c r="AU320" i="17"/>
  <c r="BA288" i="17"/>
  <c r="BA51" i="17"/>
  <c r="Y312" i="17"/>
  <c r="AU314" i="17"/>
  <c r="R142" i="17"/>
  <c r="N32" i="17"/>
  <c r="R291" i="17"/>
  <c r="M312" i="17"/>
  <c r="G17" i="17"/>
  <c r="AX180" i="17"/>
  <c r="AC296" i="17"/>
  <c r="AH174" i="17"/>
  <c r="M292" i="17"/>
  <c r="O162" i="17"/>
  <c r="AV214" i="17"/>
  <c r="AV279" i="17"/>
  <c r="N109" i="17"/>
  <c r="AU36" i="17"/>
  <c r="AM323" i="17"/>
  <c r="N280" i="17"/>
  <c r="I279" i="17"/>
  <c r="AW324" i="17"/>
  <c r="AX305" i="17"/>
  <c r="AC292" i="17"/>
  <c r="AS133" i="17"/>
  <c r="AK224" i="17"/>
  <c r="G199" i="17"/>
  <c r="BA12" i="17"/>
  <c r="P54" i="17"/>
  <c r="AL285" i="17"/>
  <c r="R257" i="17"/>
  <c r="J203" i="17"/>
  <c r="U310" i="17"/>
  <c r="AC173" i="17"/>
  <c r="Y134" i="17"/>
  <c r="AK99" i="17"/>
  <c r="AQ80" i="17"/>
  <c r="AA223" i="17"/>
  <c r="N272" i="17"/>
  <c r="AG314" i="17"/>
  <c r="AO20" i="17"/>
  <c r="AO166" i="17"/>
  <c r="T319" i="17"/>
  <c r="D269" i="17"/>
  <c r="M160" i="17"/>
  <c r="AY83" i="17"/>
  <c r="AB330" i="17"/>
  <c r="K143" i="17"/>
  <c r="AA128" i="17"/>
  <c r="Z259" i="17"/>
  <c r="T167" i="17"/>
  <c r="Q125" i="17"/>
  <c r="E121" i="17"/>
  <c r="AO312" i="17"/>
  <c r="Y330" i="17"/>
  <c r="AK37" i="17"/>
  <c r="T328" i="17"/>
  <c r="AY329" i="17"/>
  <c r="J250" i="17"/>
  <c r="J129" i="17"/>
  <c r="AR184" i="17"/>
  <c r="AD283" i="17"/>
  <c r="AG291" i="17"/>
  <c r="AU123" i="17"/>
  <c r="AI314" i="17"/>
  <c r="AM322" i="17"/>
  <c r="AY30" i="17"/>
  <c r="S265" i="17"/>
  <c r="AM327" i="17"/>
  <c r="AH322" i="17"/>
  <c r="J150" i="17"/>
  <c r="AG192" i="17"/>
  <c r="D236" i="17"/>
  <c r="AH20" i="17"/>
  <c r="AB265" i="17"/>
  <c r="AL172" i="17"/>
  <c r="H249" i="17"/>
  <c r="AU248" i="17"/>
  <c r="R262" i="17"/>
  <c r="AH312" i="17"/>
  <c r="AQ156" i="17"/>
  <c r="AE311" i="17"/>
  <c r="AG195" i="17"/>
  <c r="AQ323" i="17"/>
  <c r="S276" i="17"/>
  <c r="AG299" i="17"/>
  <c r="AR278" i="17"/>
  <c r="AN82" i="17"/>
  <c r="AV333" i="17"/>
  <c r="AT238" i="17"/>
  <c r="W300" i="17"/>
  <c r="AT318" i="17"/>
  <c r="O167" i="17"/>
  <c r="AX215" i="17"/>
  <c r="AI308" i="17"/>
  <c r="AR279" i="17"/>
  <c r="E59" i="17"/>
  <c r="AV194" i="17"/>
  <c r="I111" i="17"/>
  <c r="AW230" i="17"/>
  <c r="X180" i="17"/>
  <c r="AH9" i="17"/>
  <c r="F47" i="17"/>
  <c r="W303" i="17"/>
  <c r="AF298" i="17"/>
  <c r="Q252" i="17"/>
  <c r="AY332" i="17"/>
  <c r="AR332" i="17"/>
  <c r="O72" i="17"/>
  <c r="U297" i="17"/>
  <c r="AB212" i="17"/>
  <c r="AB323" i="17"/>
  <c r="AR322" i="17"/>
  <c r="AW53" i="17"/>
  <c r="AY328" i="17"/>
  <c r="M305" i="17"/>
  <c r="BA52" i="17"/>
  <c r="Z331" i="17"/>
  <c r="AO292" i="17"/>
  <c r="AU313" i="17"/>
  <c r="AV31" i="17"/>
  <c r="AK296" i="17"/>
  <c r="AW106" i="17"/>
  <c r="AP7" i="17"/>
  <c r="AY280" i="17"/>
  <c r="AG23" i="17"/>
  <c r="AJ88" i="17"/>
  <c r="AG34" i="17"/>
  <c r="BA139" i="17"/>
  <c r="E156" i="17"/>
  <c r="Q30" i="17"/>
  <c r="P324" i="17"/>
  <c r="AG92" i="17"/>
  <c r="D194" i="17"/>
  <c r="V155" i="17"/>
  <c r="P269" i="17"/>
  <c r="U161" i="17"/>
  <c r="AY266" i="17"/>
  <c r="AJ46" i="17"/>
  <c r="AL67" i="17"/>
  <c r="AK300" i="17"/>
  <c r="N221" i="17"/>
  <c r="AP203" i="17"/>
  <c r="R272" i="17"/>
  <c r="E314" i="17"/>
  <c r="I91" i="17"/>
  <c r="AL5" i="17"/>
  <c r="AV284" i="17"/>
  <c r="AV322" i="17"/>
  <c r="AA152" i="17"/>
  <c r="N332" i="17"/>
  <c r="O153" i="17"/>
  <c r="P333" i="17"/>
  <c r="AL290" i="17"/>
  <c r="J274" i="17"/>
  <c r="AM125" i="17"/>
  <c r="AB294" i="17"/>
  <c r="AS156" i="17"/>
  <c r="BA164" i="17"/>
  <c r="AB186" i="17"/>
  <c r="R294" i="17"/>
  <c r="AH124" i="17"/>
  <c r="M5" i="17"/>
  <c r="N38" i="17"/>
  <c r="S237" i="17"/>
  <c r="X197" i="17"/>
  <c r="AT271" i="17"/>
  <c r="D273" i="17"/>
  <c r="O331" i="17"/>
  <c r="AY119" i="17"/>
  <c r="BA119" i="17"/>
  <c r="AP281" i="17"/>
  <c r="AD27" i="17"/>
  <c r="AW61" i="17"/>
  <c r="AD238" i="17"/>
  <c r="AR217" i="17"/>
  <c r="AJ293" i="17"/>
  <c r="AG203" i="17"/>
  <c r="W310" i="17"/>
  <c r="AX323" i="17"/>
  <c r="S147" i="17"/>
  <c r="AU20" i="17"/>
  <c r="AJ280" i="17"/>
  <c r="O320" i="17"/>
  <c r="AZ39" i="17"/>
  <c r="AO56" i="17"/>
  <c r="U305" i="17"/>
  <c r="R15" i="17"/>
  <c r="AJ131" i="17"/>
  <c r="AM235" i="17"/>
  <c r="I234" i="17"/>
  <c r="Q330" i="17"/>
  <c r="AK317" i="17"/>
  <c r="P97" i="17"/>
  <c r="AQ320" i="17"/>
  <c r="Y215" i="17"/>
  <c r="V8" i="17"/>
  <c r="R317" i="17"/>
  <c r="AQ303" i="17"/>
  <c r="L238" i="17"/>
  <c r="AY111" i="17"/>
  <c r="H327" i="17"/>
  <c r="AK330" i="17"/>
  <c r="BA71" i="17"/>
  <c r="K326" i="17"/>
  <c r="AE294" i="17"/>
  <c r="R251" i="17"/>
  <c r="AA133" i="17"/>
  <c r="AZ184" i="17"/>
  <c r="AK12" i="17"/>
  <c r="AR70" i="17"/>
  <c r="D309" i="17"/>
  <c r="AJ272" i="17"/>
  <c r="AD136" i="17"/>
  <c r="AO240" i="17"/>
  <c r="E29" i="17"/>
  <c r="AG100" i="17"/>
  <c r="AH25" i="17"/>
  <c r="AV290" i="17"/>
  <c r="AR22" i="17"/>
  <c r="AO303" i="17"/>
  <c r="Q274" i="17"/>
  <c r="U252" i="17"/>
  <c r="AI307" i="17"/>
  <c r="K310" i="17"/>
  <c r="AR255" i="17"/>
  <c r="AS208" i="17"/>
  <c r="U322" i="17"/>
  <c r="AM287" i="17"/>
  <c r="AD64" i="17"/>
  <c r="AJ327" i="17"/>
  <c r="G325" i="17"/>
  <c r="AB87" i="17"/>
  <c r="AH30" i="17"/>
  <c r="G321" i="17"/>
  <c r="AV136" i="17"/>
  <c r="AN145" i="17"/>
  <c r="L245" i="17"/>
  <c r="J208" i="17"/>
  <c r="J107" i="17"/>
  <c r="K43" i="17"/>
  <c r="AG15" i="17"/>
  <c r="AR268" i="17"/>
  <c r="AD333" i="17"/>
  <c r="P330" i="17"/>
  <c r="AJ317" i="17"/>
  <c r="W327" i="17"/>
  <c r="V322" i="17"/>
  <c r="X257" i="17"/>
  <c r="AY60" i="17"/>
  <c r="R136" i="17"/>
  <c r="V11" i="17"/>
  <c r="AZ115" i="17"/>
  <c r="O187" i="17"/>
  <c r="E315" i="17"/>
  <c r="AU267" i="17"/>
  <c r="AT333" i="17"/>
  <c r="I41" i="17"/>
  <c r="M207" i="17"/>
  <c r="Y316" i="17"/>
  <c r="AX262" i="17"/>
  <c r="M321" i="17"/>
  <c r="AK332" i="17"/>
  <c r="E28" i="17"/>
  <c r="J193" i="17"/>
  <c r="U307" i="17"/>
  <c r="M198" i="17"/>
  <c r="BA20" i="17"/>
  <c r="AD326" i="17"/>
  <c r="X276" i="17"/>
  <c r="F206" i="17"/>
  <c r="S267" i="17"/>
  <c r="AQ111" i="17"/>
  <c r="AH46" i="17"/>
  <c r="T51" i="17"/>
  <c r="AS316" i="17"/>
  <c r="AF221" i="17"/>
  <c r="AV125" i="17"/>
  <c r="S88" i="17"/>
  <c r="X249" i="17"/>
  <c r="N282" i="17"/>
  <c r="AC81" i="17"/>
  <c r="AJ249" i="17"/>
  <c r="F49" i="17"/>
  <c r="P138" i="17"/>
  <c r="AE223" i="17"/>
  <c r="AV326" i="17"/>
  <c r="O284" i="17"/>
  <c r="K182" i="17"/>
  <c r="AT192" i="17"/>
  <c r="AP331" i="17"/>
  <c r="AX128" i="17"/>
  <c r="Y24" i="17"/>
  <c r="V81" i="17"/>
  <c r="AV140" i="17"/>
  <c r="AT32" i="17"/>
  <c r="AW295" i="17"/>
  <c r="AO322" i="17"/>
  <c r="E256" i="17"/>
  <c r="BA318" i="17"/>
  <c r="AQ120" i="17"/>
  <c r="AQ236" i="17"/>
  <c r="AZ310" i="17"/>
  <c r="H61" i="17"/>
  <c r="V310" i="17"/>
  <c r="Q325" i="17"/>
  <c r="F322" i="17"/>
  <c r="AE269" i="17"/>
  <c r="AX174" i="17"/>
  <c r="O271" i="17"/>
  <c r="AD304" i="17"/>
  <c r="AH333" i="17"/>
  <c r="AV223" i="17"/>
  <c r="AF189" i="17"/>
  <c r="AD317" i="17"/>
  <c r="G172" i="17"/>
  <c r="AE307" i="17"/>
  <c r="AS293" i="17"/>
  <c r="S303" i="17"/>
  <c r="AT189" i="17"/>
  <c r="AB256" i="17"/>
  <c r="N318" i="17"/>
  <c r="U113" i="17"/>
  <c r="W311" i="17"/>
  <c r="AR29" i="17"/>
  <c r="N267" i="17"/>
  <c r="AF120" i="17"/>
  <c r="AN262" i="17"/>
  <c r="AD295" i="17"/>
  <c r="AW190" i="17"/>
  <c r="BA285" i="17"/>
  <c r="AT207" i="17"/>
  <c r="K333" i="17"/>
  <c r="AB274" i="17"/>
  <c r="AU184" i="17"/>
  <c r="AL268" i="17"/>
  <c r="AY271" i="17"/>
  <c r="AT287" i="17"/>
  <c r="AI272" i="17"/>
  <c r="U56" i="17"/>
  <c r="AG310" i="17"/>
  <c r="L310" i="17"/>
  <c r="AF125" i="17"/>
  <c r="Z330" i="17"/>
  <c r="AR294" i="17"/>
  <c r="AS247" i="17"/>
  <c r="AB217" i="17"/>
  <c r="M92" i="17"/>
  <c r="AN313" i="17"/>
  <c r="U237" i="17"/>
  <c r="AZ48" i="17"/>
  <c r="F258" i="17"/>
  <c r="AS234" i="17"/>
  <c r="AE322" i="17"/>
  <c r="AO317" i="17"/>
  <c r="AJ158" i="17"/>
  <c r="AA81" i="17"/>
  <c r="AI316" i="17"/>
  <c r="BA126" i="17"/>
  <c r="U38" i="17"/>
  <c r="AW18" i="17"/>
  <c r="E317" i="17"/>
  <c r="AJ184" i="17"/>
  <c r="N313" i="17"/>
  <c r="AZ200" i="17"/>
  <c r="AQ322" i="17"/>
  <c r="F292" i="17"/>
  <c r="AB113" i="17"/>
  <c r="F184" i="17"/>
  <c r="J142" i="17"/>
  <c r="S311" i="17"/>
  <c r="S58" i="17"/>
  <c r="AH54" i="17"/>
  <c r="AW219" i="17"/>
  <c r="F314" i="17"/>
  <c r="AZ322" i="17"/>
  <c r="BA128" i="17"/>
  <c r="AO310" i="17"/>
  <c r="AJ246" i="17"/>
  <c r="X324" i="17"/>
  <c r="AC327" i="17"/>
  <c r="Y296" i="17"/>
  <c r="AN307" i="17"/>
  <c r="AE297" i="17"/>
  <c r="AW319" i="17"/>
  <c r="R154" i="17"/>
  <c r="AI320" i="17"/>
  <c r="T279" i="17"/>
  <c r="U318" i="17"/>
  <c r="AX117" i="17"/>
  <c r="AP307" i="17"/>
  <c r="AQ317" i="17"/>
  <c r="W234" i="17"/>
  <c r="G326" i="17"/>
  <c r="U302" i="17"/>
  <c r="AG172" i="17"/>
  <c r="AT93" i="17"/>
  <c r="AG240" i="17"/>
  <c r="G308" i="17"/>
  <c r="J2" i="17"/>
  <c r="R321" i="17"/>
  <c r="O19" i="17"/>
  <c r="W84" i="17"/>
  <c r="AY222" i="17"/>
  <c r="F316" i="17"/>
  <c r="F287" i="17"/>
  <c r="AE149" i="17"/>
  <c r="AN283" i="17"/>
  <c r="O83" i="17"/>
  <c r="AR114" i="17"/>
  <c r="AK288" i="17"/>
  <c r="AM308" i="17"/>
  <c r="K332" i="17"/>
  <c r="E278" i="17"/>
  <c r="AW266" i="17"/>
  <c r="AX321" i="17"/>
  <c r="AK194" i="17"/>
  <c r="L309" i="17"/>
  <c r="Y326" i="17"/>
  <c r="AD311" i="17"/>
  <c r="J329" i="17"/>
  <c r="S290" i="17"/>
  <c r="BA147" i="17"/>
  <c r="BA328" i="17"/>
  <c r="AQ259" i="17"/>
  <c r="AF113" i="17"/>
  <c r="AP291" i="17"/>
  <c r="R245" i="17"/>
  <c r="AD306" i="17"/>
  <c r="H155" i="17"/>
  <c r="AB295" i="17"/>
  <c r="AU297" i="17"/>
  <c r="Q91" i="17"/>
  <c r="AY14" i="17"/>
  <c r="AS314" i="17"/>
  <c r="W296" i="17"/>
  <c r="AQ66" i="17"/>
  <c r="AH232" i="17"/>
  <c r="U93" i="17"/>
  <c r="Z96" i="17"/>
  <c r="AQ172" i="17"/>
  <c r="X326" i="17"/>
  <c r="I300" i="17"/>
  <c r="AQ278" i="17"/>
  <c r="I10" i="17"/>
  <c r="AI323" i="17"/>
  <c r="AD315" i="17"/>
  <c r="Q273" i="17"/>
  <c r="AZ319" i="17"/>
  <c r="S294" i="17"/>
  <c r="J173" i="17"/>
  <c r="U325" i="17"/>
  <c r="Z294" i="17"/>
  <c r="AU238" i="17"/>
  <c r="D313" i="17"/>
  <c r="AL314" i="17"/>
  <c r="Z210" i="17"/>
  <c r="AQ173" i="17"/>
  <c r="U162" i="17"/>
  <c r="AB232" i="17"/>
  <c r="BA329" i="17"/>
  <c r="AV294" i="17"/>
  <c r="W262" i="17"/>
  <c r="AX332" i="17"/>
  <c r="AZ282" i="17"/>
  <c r="AG222" i="17"/>
  <c r="AU196" i="17"/>
  <c r="AS29" i="17"/>
  <c r="AS104" i="17"/>
  <c r="BA240" i="17"/>
  <c r="J331" i="17"/>
  <c r="O269" i="17"/>
  <c r="T130" i="17"/>
  <c r="AH150" i="17"/>
  <c r="AF287" i="17"/>
  <c r="L317" i="17"/>
  <c r="AX236" i="17"/>
  <c r="AH331" i="17"/>
  <c r="AM285" i="17"/>
  <c r="AE95" i="17"/>
  <c r="AX196" i="17"/>
  <c r="L88" i="17"/>
  <c r="R255" i="17"/>
  <c r="D331" i="17"/>
  <c r="AI89" i="17"/>
  <c r="N191" i="17"/>
  <c r="AH321" i="17"/>
  <c r="AI333" i="17"/>
  <c r="AF323" i="17"/>
  <c r="M310" i="17"/>
  <c r="M162" i="17"/>
  <c r="Y197" i="17"/>
  <c r="AY76" i="17"/>
  <c r="AM127" i="17"/>
  <c r="AT277" i="17"/>
  <c r="AV256" i="17"/>
  <c r="AZ88" i="17"/>
  <c r="AH328" i="17"/>
  <c r="E270" i="17"/>
  <c r="Q333" i="17"/>
  <c r="AS4" i="17"/>
  <c r="W80" i="17"/>
  <c r="AG332" i="17"/>
  <c r="AD249" i="17"/>
  <c r="AJ128" i="17"/>
  <c r="AK297" i="17"/>
  <c r="AC87" i="17"/>
  <c r="AK299" i="17"/>
  <c r="AS257" i="17"/>
  <c r="AU41" i="17"/>
  <c r="AX243" i="17"/>
  <c r="K324" i="17"/>
  <c r="AW165" i="17"/>
  <c r="AJ309" i="17"/>
  <c r="AH245" i="17"/>
  <c r="AJ218" i="17"/>
  <c r="L329" i="17"/>
  <c r="AN323" i="17"/>
  <c r="R182" i="17"/>
  <c r="AT331" i="17"/>
  <c r="AT159" i="17"/>
  <c r="F87" i="17"/>
  <c r="AR267" i="17"/>
  <c r="AG3" i="17"/>
  <c r="BA311" i="17"/>
  <c r="X212" i="17"/>
  <c r="AT73" i="17"/>
  <c r="Z27" i="17"/>
  <c r="AD251" i="17"/>
  <c r="AQ321" i="17"/>
  <c r="Y295" i="17"/>
  <c r="W223" i="17"/>
  <c r="AH77" i="17"/>
  <c r="Q261" i="17"/>
  <c r="Z232" i="17"/>
  <c r="R147" i="17"/>
  <c r="AJ75" i="17"/>
  <c r="V212" i="17"/>
  <c r="AV259" i="17"/>
  <c r="AA305" i="17"/>
  <c r="AV234" i="17"/>
  <c r="T293" i="17"/>
  <c r="Y224" i="17"/>
  <c r="AO305" i="17"/>
  <c r="AR17" i="17"/>
  <c r="AZ306" i="17"/>
  <c r="BA153" i="17"/>
  <c r="AP216" i="17"/>
  <c r="S205" i="17"/>
  <c r="AC271" i="17"/>
  <c r="AE329" i="17"/>
  <c r="AM8" i="17"/>
  <c r="E324" i="17"/>
  <c r="AU321" i="17"/>
  <c r="AS330" i="17"/>
  <c r="AY91" i="17"/>
  <c r="AB284" i="17"/>
  <c r="AX178" i="17"/>
  <c r="Z141" i="17"/>
  <c r="I247" i="17"/>
  <c r="AK229" i="17"/>
  <c r="S287" i="17"/>
  <c r="AU312" i="17"/>
  <c r="M97" i="17"/>
  <c r="Y80" i="17"/>
  <c r="Y130" i="17"/>
  <c r="AM333" i="17"/>
  <c r="AC332" i="17"/>
  <c r="BA170" i="17"/>
  <c r="AX137" i="17"/>
  <c r="AT301" i="17"/>
  <c r="AK50" i="17"/>
  <c r="T275" i="17"/>
  <c r="AV245" i="17"/>
  <c r="AE181" i="17"/>
  <c r="U298" i="17"/>
  <c r="AW254" i="17"/>
  <c r="Q13" i="17"/>
  <c r="AV79" i="17"/>
  <c r="AN58" i="17"/>
  <c r="AR236" i="17"/>
  <c r="AQ67" i="17"/>
  <c r="AD282" i="17"/>
  <c r="AA83" i="17"/>
  <c r="Z327" i="17"/>
  <c r="AU298" i="17"/>
  <c r="R292" i="17"/>
  <c r="AC333" i="17"/>
  <c r="AS155" i="17"/>
  <c r="I262" i="17"/>
  <c r="AH155" i="17"/>
  <c r="I330" i="17"/>
  <c r="AH301" i="17"/>
  <c r="R218" i="17"/>
  <c r="P245" i="17"/>
  <c r="AC255" i="17"/>
  <c r="AI282" i="17"/>
  <c r="AO262" i="17"/>
  <c r="AP2" i="17"/>
  <c r="N41" i="17"/>
  <c r="D303" i="17"/>
  <c r="I121" i="17"/>
  <c r="L42" i="17"/>
  <c r="F290" i="17"/>
  <c r="J134" i="17"/>
  <c r="AE310" i="17"/>
  <c r="AL190" i="17"/>
  <c r="S331" i="17"/>
  <c r="AU139" i="17"/>
  <c r="Q234" i="17"/>
  <c r="AY230" i="17"/>
  <c r="N258" i="17"/>
  <c r="AH69" i="17"/>
  <c r="AW313" i="17"/>
  <c r="D293" i="17"/>
  <c r="V142" i="17"/>
  <c r="H330" i="17"/>
  <c r="AM307" i="17"/>
  <c r="BA205" i="17"/>
  <c r="N248" i="17"/>
  <c r="AS298" i="17"/>
  <c r="T322" i="17"/>
  <c r="P22" i="17"/>
  <c r="AU278" i="17"/>
  <c r="F329" i="17"/>
  <c r="R279" i="17"/>
  <c r="BA249" i="17"/>
  <c r="AG31" i="17"/>
  <c r="BA42" i="17"/>
  <c r="AN226" i="17"/>
  <c r="Y149" i="17"/>
  <c r="Z283" i="17"/>
  <c r="Q217" i="17"/>
  <c r="AE331" i="17"/>
  <c r="AG245" i="17"/>
  <c r="AO326" i="17"/>
  <c r="K308" i="17"/>
  <c r="AK171" i="17"/>
  <c r="AW79" i="17"/>
  <c r="AA95" i="17"/>
  <c r="I14" i="17"/>
  <c r="J249" i="17"/>
  <c r="Q235" i="17"/>
  <c r="AE258" i="17"/>
  <c r="R289" i="17"/>
  <c r="R286" i="17"/>
  <c r="U291" i="17"/>
  <c r="X15" i="17"/>
  <c r="AI287" i="17"/>
  <c r="AJ84" i="17"/>
  <c r="AJ322" i="17"/>
  <c r="Z158" i="17"/>
  <c r="AI140" i="17"/>
  <c r="K57" i="17"/>
  <c r="AQ124" i="17"/>
  <c r="AY324" i="17"/>
  <c r="AF328" i="17"/>
  <c r="S326" i="17"/>
  <c r="AL306" i="17"/>
  <c r="AV329" i="17"/>
  <c r="AM292" i="17"/>
  <c r="O270" i="17"/>
  <c r="AW162" i="17"/>
  <c r="AF213" i="17"/>
  <c r="AA313" i="17"/>
  <c r="AS329" i="17"/>
  <c r="AI82" i="17"/>
  <c r="S244" i="17"/>
  <c r="AV319" i="17"/>
  <c r="S328" i="17"/>
  <c r="AM156" i="17"/>
  <c r="E73" i="17"/>
  <c r="O179" i="17"/>
  <c r="AJ320" i="17"/>
  <c r="R323" i="17"/>
  <c r="L323" i="17"/>
  <c r="AG41" i="17"/>
  <c r="AL308" i="17"/>
  <c r="AD329" i="17"/>
  <c r="AM326" i="17"/>
  <c r="I319" i="17"/>
  <c r="AW16" i="17"/>
  <c r="BA253" i="17"/>
  <c r="K162" i="17"/>
  <c r="E171" i="17"/>
  <c r="AO4" i="17"/>
  <c r="AX247" i="17"/>
  <c r="AC326" i="17"/>
  <c r="AV49" i="17"/>
  <c r="V270" i="17"/>
  <c r="AJ284" i="17"/>
  <c r="AG209" i="17"/>
  <c r="V326" i="17"/>
  <c r="AS332" i="17"/>
  <c r="N329" i="17"/>
  <c r="P215" i="17"/>
  <c r="E259" i="17"/>
  <c r="V197" i="17"/>
  <c r="AZ163" i="17"/>
  <c r="AB260" i="17"/>
  <c r="S127" i="17"/>
  <c r="O327" i="17"/>
  <c r="D333" i="17"/>
  <c r="AS321" i="17"/>
  <c r="X318" i="17"/>
  <c r="V169" i="17"/>
  <c r="BA312" i="17"/>
  <c r="AV317" i="17"/>
  <c r="AP159" i="17"/>
  <c r="AG306" i="17"/>
  <c r="K222" i="17"/>
  <c r="AT320" i="17"/>
  <c r="X267" i="17"/>
  <c r="BA289" i="17"/>
  <c r="X172" i="17"/>
  <c r="E17" i="17"/>
  <c r="AI302" i="17"/>
  <c r="Q288" i="17"/>
  <c r="O252" i="17"/>
  <c r="H62" i="17"/>
  <c r="AG148" i="17"/>
  <c r="AT84" i="17"/>
  <c r="AE251" i="17"/>
  <c r="AD267" i="17"/>
  <c r="O33" i="17"/>
  <c r="Z235" i="17"/>
  <c r="O112" i="17"/>
  <c r="AR252" i="17"/>
  <c r="AP175" i="17"/>
  <c r="AR300" i="17"/>
  <c r="AP273" i="17"/>
  <c r="AT119" i="17"/>
  <c r="AK329" i="17"/>
  <c r="Q80" i="17"/>
  <c r="AD98" i="17"/>
  <c r="Y305" i="17"/>
  <c r="M262" i="17"/>
  <c r="AF299" i="17"/>
  <c r="AN276" i="17"/>
  <c r="T307" i="17"/>
  <c r="AF274" i="17"/>
  <c r="P259" i="17"/>
  <c r="W3" i="17"/>
  <c r="AZ117" i="17"/>
  <c r="AY137" i="17"/>
  <c r="U332" i="17"/>
  <c r="R113" i="17"/>
  <c r="W291" i="17"/>
  <c r="E282" i="17"/>
  <c r="AX292" i="17"/>
  <c r="AW318" i="17"/>
  <c r="R326" i="17"/>
  <c r="AS254" i="17"/>
  <c r="BA282" i="17"/>
  <c r="H91" i="17"/>
  <c r="AS302" i="17"/>
  <c r="AU311" i="17"/>
  <c r="AD256" i="17"/>
  <c r="L224" i="17"/>
  <c r="AR198" i="17"/>
  <c r="AG288" i="17"/>
  <c r="X331" i="17"/>
  <c r="Z308" i="17"/>
  <c r="R242" i="17"/>
  <c r="AL325" i="17"/>
  <c r="AK78" i="17"/>
  <c r="AT29" i="17"/>
  <c r="AL3" i="17"/>
  <c r="G331" i="17"/>
  <c r="AE300" i="17"/>
  <c r="Z121" i="17"/>
  <c r="Y6" i="17"/>
  <c r="U26" i="17"/>
  <c r="AF252" i="17"/>
  <c r="AD168" i="17"/>
  <c r="AM324" i="17"/>
  <c r="AL227" i="17"/>
  <c r="D300" i="17"/>
  <c r="P82" i="17"/>
  <c r="AI293" i="17"/>
  <c r="AC304" i="17"/>
  <c r="H124" i="17"/>
  <c r="V115" i="17"/>
  <c r="AL95" i="17"/>
  <c r="W19" i="17"/>
  <c r="Q294" i="17"/>
  <c r="AP147" i="17"/>
  <c r="K291" i="17"/>
  <c r="AZ276" i="17"/>
  <c r="J319" i="17"/>
  <c r="AF19" i="17"/>
  <c r="L27" i="17"/>
  <c r="K214" i="17"/>
  <c r="AL16" i="17"/>
  <c r="AE193" i="17"/>
  <c r="L242" i="17"/>
  <c r="AH121" i="17"/>
  <c r="E264" i="17"/>
  <c r="J233" i="17"/>
  <c r="F315" i="17"/>
  <c r="AL223" i="17"/>
  <c r="I304" i="17"/>
  <c r="AQ114" i="17"/>
  <c r="U260" i="17"/>
  <c r="AT289" i="17"/>
  <c r="AK270" i="17"/>
  <c r="BA142" i="17"/>
  <c r="Q306" i="17"/>
  <c r="AQ271" i="17"/>
  <c r="AX27" i="17"/>
  <c r="AX62" i="17"/>
  <c r="AR248" i="17"/>
  <c r="X18" i="17"/>
  <c r="AE326" i="17"/>
  <c r="AP333" i="17"/>
  <c r="AB289" i="17"/>
  <c r="AA54" i="17"/>
  <c r="AG230" i="17"/>
  <c r="AQ329" i="17"/>
  <c r="X178" i="17"/>
  <c r="AG76" i="17"/>
  <c r="N250" i="17"/>
  <c r="AI239" i="17"/>
  <c r="Z9" i="17"/>
  <c r="AJ321" i="17"/>
  <c r="L47" i="17"/>
  <c r="R198" i="17"/>
  <c r="S321" i="17"/>
  <c r="AO159" i="17"/>
  <c r="S219" i="17"/>
  <c r="V286" i="17"/>
  <c r="Q197" i="17"/>
  <c r="Z258" i="17"/>
  <c r="P240" i="17"/>
  <c r="AT310" i="17"/>
  <c r="AN86" i="17"/>
  <c r="G318" i="17"/>
  <c r="AG147" i="17"/>
  <c r="AJ17" i="17"/>
  <c r="AP207" i="17"/>
  <c r="AI90" i="17"/>
  <c r="AE94" i="17"/>
  <c r="E328" i="17"/>
  <c r="U331" i="17"/>
  <c r="Z246" i="17"/>
  <c r="AX79" i="17"/>
  <c r="AR249" i="17"/>
  <c r="AE5" i="17"/>
  <c r="AY209" i="17"/>
  <c r="W89" i="17"/>
  <c r="K328" i="17"/>
  <c r="P184" i="17"/>
  <c r="Q326" i="17"/>
  <c r="AA287" i="17"/>
  <c r="N305" i="17"/>
  <c r="P275" i="17"/>
  <c r="AC146" i="17"/>
  <c r="AR303" i="17"/>
  <c r="AH332" i="17"/>
  <c r="AY71" i="17"/>
  <c r="Y28" i="17"/>
  <c r="AQ298" i="17"/>
  <c r="AH231" i="17"/>
  <c r="K3" i="17"/>
  <c r="BA117" i="17"/>
  <c r="Q149" i="17"/>
  <c r="AN299" i="17"/>
  <c r="AZ34" i="17"/>
  <c r="AS146" i="17"/>
  <c r="G241" i="17"/>
  <c r="AN332" i="17"/>
  <c r="L331" i="17"/>
  <c r="AJ135" i="17"/>
  <c r="G56" i="17"/>
  <c r="AG95" i="17"/>
  <c r="Z322" i="17"/>
  <c r="AY145" i="17"/>
  <c r="F104" i="17"/>
  <c r="V108" i="17"/>
  <c r="T295" i="17"/>
  <c r="BA270" i="17"/>
  <c r="AY321" i="17"/>
  <c r="Q315" i="17"/>
  <c r="AI88" i="17"/>
  <c r="BA229" i="17"/>
  <c r="R320" i="17"/>
  <c r="Y291" i="17"/>
  <c r="AT151" i="17"/>
  <c r="AE286" i="17"/>
  <c r="S104" i="17"/>
  <c r="AS68" i="17"/>
  <c r="Q146" i="17"/>
  <c r="AK283" i="17"/>
  <c r="AH52" i="17"/>
  <c r="AD145" i="17"/>
  <c r="U186" i="17"/>
  <c r="D302" i="17"/>
  <c r="AB67" i="17"/>
  <c r="AO108" i="17"/>
  <c r="H321" i="17"/>
  <c r="AS172" i="17"/>
  <c r="Y253" i="17"/>
  <c r="AY311" i="17"/>
  <c r="AY54" i="17"/>
  <c r="AT225" i="17"/>
  <c r="AO286" i="17"/>
  <c r="N317" i="17"/>
  <c r="E119" i="17"/>
  <c r="AG197" i="17"/>
  <c r="E70" i="17"/>
  <c r="T213" i="17"/>
  <c r="AM84" i="17"/>
  <c r="F323" i="17"/>
  <c r="AD160" i="17"/>
  <c r="AB133" i="17"/>
  <c r="AE321" i="17"/>
  <c r="T331" i="17"/>
  <c r="AI319" i="17"/>
  <c r="BA332" i="17"/>
  <c r="AT322" i="17"/>
  <c r="AV323" i="17"/>
  <c r="AK169" i="17"/>
  <c r="X235" i="17"/>
  <c r="AX30" i="17"/>
  <c r="AG205" i="17"/>
  <c r="AE266" i="17"/>
  <c r="E333" i="17"/>
  <c r="AY331" i="17"/>
  <c r="AR276" i="17"/>
  <c r="AP87" i="17"/>
  <c r="AL313" i="17"/>
  <c r="F136" i="17"/>
  <c r="AS306" i="17"/>
  <c r="Z262" i="17"/>
  <c r="O332" i="17"/>
  <c r="T210" i="17"/>
  <c r="O27" i="17"/>
  <c r="AX124" i="17"/>
  <c r="AB320" i="17"/>
  <c r="AR86" i="17"/>
  <c r="AW209" i="17"/>
  <c r="AT242" i="17"/>
  <c r="M324" i="17"/>
  <c r="S333" i="17"/>
  <c r="AB298" i="17"/>
  <c r="U47" i="17"/>
  <c r="I320" i="17"/>
  <c r="AN223" i="17"/>
  <c r="Y137" i="17"/>
  <c r="AF76" i="17"/>
  <c r="F8" i="17"/>
  <c r="AE144" i="17"/>
  <c r="AU306" i="17"/>
  <c r="Q332" i="17"/>
  <c r="AR161" i="17"/>
  <c r="V333" i="17"/>
  <c r="AS210" i="17"/>
  <c r="AQ332" i="17"/>
  <c r="AW122" i="17"/>
  <c r="AJ153" i="17"/>
  <c r="AZ214" i="17"/>
  <c r="D66" i="17"/>
  <c r="I194" i="17"/>
  <c r="AS276" i="17"/>
  <c r="AF297" i="17"/>
  <c r="N96" i="17"/>
  <c r="AA50" i="17"/>
  <c r="AW293" i="17"/>
  <c r="AZ316" i="17"/>
  <c r="E331" i="17"/>
  <c r="AW327" i="17"/>
  <c r="K59" i="17"/>
  <c r="I287" i="17"/>
  <c r="AN308" i="17"/>
  <c r="AC321" i="17"/>
  <c r="AB271" i="17"/>
  <c r="AB310" i="17"/>
  <c r="AR35" i="17"/>
  <c r="F82" i="17"/>
  <c r="M84" i="17"/>
  <c r="M219" i="17"/>
  <c r="AR241" i="17"/>
  <c r="AX306" i="17"/>
  <c r="Y328" i="17"/>
  <c r="AK321" i="17"/>
  <c r="F260" i="17"/>
  <c r="N308" i="17"/>
  <c r="Y313" i="17"/>
  <c r="AX246" i="17"/>
  <c r="AF300" i="17"/>
  <c r="BA239" i="17"/>
  <c r="K109" i="17"/>
  <c r="T115" i="17"/>
  <c r="AQ241" i="17"/>
  <c r="D130" i="17"/>
  <c r="AM108" i="17"/>
  <c r="Y331" i="17"/>
  <c r="AT219" i="17"/>
  <c r="AS303" i="17"/>
  <c r="AT290" i="17"/>
  <c r="AE26" i="17"/>
  <c r="AW15" i="17"/>
  <c r="O289" i="17"/>
  <c r="AO66" i="17"/>
  <c r="V245" i="17"/>
  <c r="AQ180" i="17"/>
  <c r="O282" i="17"/>
  <c r="AZ304" i="17"/>
  <c r="H143" i="17"/>
  <c r="Q102" i="17"/>
  <c r="W316" i="17"/>
  <c r="X177" i="17"/>
  <c r="AS20" i="17"/>
  <c r="N256" i="17"/>
  <c r="S289" i="17"/>
  <c r="M328" i="17"/>
  <c r="AX98" i="17"/>
  <c r="AX290" i="17"/>
  <c r="U326" i="17"/>
  <c r="AA86" i="17"/>
  <c r="AL327" i="17"/>
  <c r="Z69" i="17"/>
  <c r="AS308" i="17"/>
  <c r="T324" i="17"/>
  <c r="AT299" i="17"/>
  <c r="AM90" i="17"/>
  <c r="AO333" i="17"/>
  <c r="G328" i="17"/>
  <c r="Y266" i="17"/>
  <c r="AT109" i="17"/>
  <c r="F176" i="17"/>
  <c r="AK309" i="17"/>
  <c r="G258" i="17"/>
  <c r="AG330" i="17"/>
  <c r="F319" i="17"/>
  <c r="N243" i="17"/>
  <c r="AD74" i="17"/>
  <c r="AG331" i="17"/>
  <c r="AB142" i="17"/>
  <c r="AZ252" i="17"/>
  <c r="AO328" i="17"/>
  <c r="AA273" i="17"/>
  <c r="F304" i="17"/>
  <c r="X270" i="17"/>
  <c r="AT312" i="17"/>
  <c r="X95" i="17"/>
  <c r="AA306" i="17"/>
  <c r="Q113" i="17"/>
  <c r="O225" i="17"/>
  <c r="AQ15" i="17"/>
  <c r="AX326" i="17"/>
  <c r="J164" i="17"/>
  <c r="L241" i="17"/>
  <c r="T312" i="17"/>
  <c r="AN292" i="17"/>
  <c r="T276" i="17"/>
  <c r="V252" i="17"/>
  <c r="AN318" i="17"/>
  <c r="M327" i="17"/>
  <c r="R93" i="17"/>
  <c r="BA258" i="17"/>
  <c r="AL204" i="17"/>
  <c r="M63" i="17"/>
  <c r="P332" i="17"/>
  <c r="AH14" i="17"/>
  <c r="J317" i="17"/>
  <c r="R259" i="17"/>
  <c r="AE318" i="17"/>
  <c r="AJ311" i="17"/>
  <c r="G314" i="17"/>
  <c r="X255" i="17"/>
  <c r="AN315" i="17"/>
  <c r="AZ158" i="17"/>
  <c r="AQ177" i="17"/>
  <c r="AW179" i="17"/>
  <c r="D127" i="17"/>
  <c r="U265" i="17"/>
  <c r="G283" i="17"/>
  <c r="AZ315" i="17"/>
  <c r="Q178" i="17"/>
  <c r="W162" i="17"/>
  <c r="W77" i="17"/>
  <c r="R329" i="17"/>
  <c r="AW90" i="17"/>
  <c r="AR108" i="17"/>
  <c r="AU183" i="17"/>
  <c r="Q272" i="17"/>
  <c r="AY195" i="17"/>
  <c r="S183" i="17"/>
  <c r="U121" i="17"/>
  <c r="AX322" i="17"/>
  <c r="AO298" i="17"/>
  <c r="M203" i="17"/>
  <c r="AH329" i="17"/>
  <c r="AS129" i="17"/>
  <c r="O290" i="17"/>
  <c r="AA238" i="17"/>
  <c r="L269" i="17"/>
  <c r="Q285" i="17"/>
  <c r="Y256" i="17"/>
  <c r="AX69" i="17"/>
  <c r="N331" i="17"/>
  <c r="AX159" i="17"/>
  <c r="AB171" i="17"/>
  <c r="AK266" i="17"/>
  <c r="AO227" i="17"/>
  <c r="AW80" i="17"/>
  <c r="R295" i="17"/>
  <c r="D172" i="17"/>
  <c r="AV304" i="17"/>
  <c r="W306" i="17"/>
  <c r="Z160" i="17"/>
  <c r="V296" i="17"/>
  <c r="AK276" i="17"/>
  <c r="AF253" i="17"/>
  <c r="P329" i="17"/>
  <c r="M157" i="17"/>
  <c r="Z25" i="17"/>
  <c r="AT89" i="17"/>
  <c r="AI101" i="17"/>
  <c r="AY92" i="17"/>
  <c r="AL265" i="17"/>
  <c r="AT314" i="17"/>
  <c r="AN302" i="17"/>
  <c r="S47" i="17"/>
  <c r="J309" i="17"/>
  <c r="AP206" i="17"/>
  <c r="K89" i="17"/>
  <c r="AQ327" i="17"/>
  <c r="E120" i="17"/>
  <c r="X274" i="17"/>
  <c r="AY268" i="17"/>
  <c r="AT50" i="17"/>
  <c r="AN331" i="17"/>
  <c r="AA329" i="17"/>
  <c r="L164" i="17"/>
  <c r="D103" i="17"/>
  <c r="AI55" i="17"/>
  <c r="L291" i="17"/>
  <c r="BA197" i="17"/>
  <c r="S317" i="17"/>
  <c r="AH291" i="17"/>
  <c r="Y290" i="17"/>
  <c r="AD323" i="17"/>
  <c r="E323" i="17"/>
  <c r="AD109" i="17"/>
  <c r="AD121" i="17"/>
  <c r="R280" i="17"/>
  <c r="AY273" i="17"/>
  <c r="H296" i="17"/>
  <c r="V162" i="17"/>
  <c r="K169" i="17"/>
  <c r="J315" i="17"/>
  <c r="M329" i="17"/>
  <c r="W309" i="17"/>
  <c r="AR308" i="17"/>
  <c r="AQ141" i="17"/>
  <c r="BA2" i="17"/>
  <c r="V329" i="17"/>
  <c r="Z175" i="17"/>
  <c r="R305" i="17"/>
  <c r="AA210" i="17"/>
  <c r="S250" i="17"/>
  <c r="AQ277" i="17"/>
  <c r="AX238" i="17"/>
  <c r="H230" i="17"/>
  <c r="AW174" i="17"/>
  <c r="F305" i="17"/>
  <c r="AI292" i="17"/>
  <c r="X294" i="17"/>
  <c r="X333" i="17"/>
  <c r="W332" i="17"/>
  <c r="AP85" i="17"/>
  <c r="U77" i="17"/>
  <c r="AR71" i="17"/>
  <c r="AX84" i="17"/>
  <c r="O230" i="17"/>
  <c r="AM51" i="17"/>
  <c r="AZ102" i="17"/>
  <c r="AD309" i="17"/>
  <c r="AW149" i="17"/>
  <c r="M330" i="17"/>
  <c r="AA291" i="17"/>
  <c r="AN306" i="17"/>
  <c r="AG325" i="17"/>
  <c r="AX168" i="17"/>
  <c r="X312" i="17"/>
  <c r="AQ312" i="17"/>
  <c r="M102" i="17"/>
  <c r="V288" i="17"/>
  <c r="AU274" i="17"/>
  <c r="AP294" i="17"/>
  <c r="AS333" i="17"/>
  <c r="Z328" i="17"/>
  <c r="F327" i="17"/>
  <c r="AH279" i="17"/>
  <c r="AU236" i="17"/>
  <c r="AH330" i="17"/>
  <c r="AM313" i="17"/>
  <c r="AH194" i="17"/>
  <c r="AE117" i="17"/>
  <c r="O80" i="17"/>
  <c r="N62" i="17"/>
  <c r="P289" i="17"/>
  <c r="N181" i="17"/>
  <c r="AC248" i="17"/>
  <c r="AU280" i="17"/>
  <c r="AS281" i="17"/>
  <c r="E330" i="17"/>
  <c r="O147" i="17"/>
  <c r="F278" i="17"/>
  <c r="AE192" i="17"/>
  <c r="AO62" i="17"/>
  <c r="M145" i="17"/>
  <c r="D278" i="17"/>
  <c r="S231" i="17"/>
  <c r="AR203" i="17"/>
  <c r="AA195" i="17"/>
  <c r="AB5" i="17"/>
  <c r="Q269" i="17"/>
  <c r="AZ317" i="17"/>
  <c r="M156" i="17"/>
  <c r="Z129" i="17"/>
  <c r="AX164" i="17"/>
  <c r="AD233" i="17"/>
  <c r="I60" i="17"/>
  <c r="AJ314" i="17"/>
  <c r="E249" i="17"/>
  <c r="U258" i="17"/>
  <c r="AW303" i="17"/>
  <c r="S3" i="17"/>
  <c r="AH126" i="17"/>
  <c r="AE252" i="17"/>
  <c r="L260" i="17"/>
  <c r="G179" i="17"/>
  <c r="G51" i="17"/>
  <c r="AA322" i="17"/>
  <c r="D21" i="17"/>
  <c r="Q313" i="17"/>
  <c r="AY267" i="17"/>
  <c r="O302" i="17"/>
  <c r="AN221" i="17"/>
  <c r="J194" i="17"/>
  <c r="AF198" i="17"/>
  <c r="N64" i="17"/>
  <c r="AT10" i="17"/>
  <c r="J146" i="17"/>
  <c r="P232" i="17"/>
  <c r="AR167" i="17"/>
  <c r="W283" i="17"/>
  <c r="AB287" i="17"/>
  <c r="P295" i="17"/>
  <c r="AG326" i="17"/>
  <c r="AU333" i="17"/>
  <c r="AZ331" i="17"/>
  <c r="H326" i="17"/>
  <c r="AU317" i="17"/>
  <c r="AK134" i="17"/>
  <c r="K331" i="17"/>
  <c r="G16" i="17"/>
  <c r="AN317" i="17"/>
  <c r="D94" i="17"/>
  <c r="AF246" i="17"/>
  <c r="O304" i="17"/>
  <c r="AT103" i="17"/>
  <c r="AL301" i="17"/>
  <c r="AQ311" i="17"/>
  <c r="T264" i="17"/>
  <c r="AH181" i="17"/>
  <c r="AP81" i="17"/>
  <c r="R159" i="17"/>
  <c r="AC148" i="17"/>
  <c r="O61" i="17"/>
  <c r="AD274" i="17"/>
  <c r="Y322" i="17"/>
  <c r="BA186" i="17"/>
  <c r="AN112" i="17"/>
  <c r="E283" i="17"/>
  <c r="AM197" i="17"/>
  <c r="N260" i="17"/>
  <c r="AA15" i="17"/>
  <c r="AB148" i="17"/>
  <c r="S152" i="17"/>
  <c r="AL119" i="17"/>
  <c r="AI330" i="17"/>
  <c r="AI124" i="17"/>
  <c r="S184" i="17"/>
  <c r="AM81" i="17"/>
  <c r="F209" i="17"/>
  <c r="AE242" i="17"/>
  <c r="AK44" i="17"/>
  <c r="Z89" i="17"/>
  <c r="K248" i="17"/>
  <c r="AR325" i="17"/>
  <c r="AN95" i="17"/>
  <c r="I272" i="17"/>
  <c r="T311" i="17"/>
  <c r="AE89" i="17"/>
  <c r="AV320" i="17"/>
  <c r="AD87" i="17"/>
  <c r="AQ142" i="17"/>
  <c r="T161" i="17"/>
  <c r="P282" i="17"/>
  <c r="K268" i="17"/>
  <c r="AZ236" i="17"/>
  <c r="AO330" i="17"/>
  <c r="AJ299" i="17"/>
  <c r="AW69" i="17"/>
  <c r="R318" i="17"/>
  <c r="AF112" i="17"/>
  <c r="AV274" i="17"/>
  <c r="AE72" i="17"/>
  <c r="AF317" i="17"/>
  <c r="AN269" i="17"/>
  <c r="AW310" i="17"/>
  <c r="AE119" i="17"/>
  <c r="G285" i="17"/>
  <c r="AV117" i="17"/>
  <c r="Z240" i="17"/>
  <c r="AP279" i="17"/>
  <c r="BA260" i="17"/>
  <c r="T195" i="17"/>
  <c r="AU116" i="17"/>
  <c r="AG302" i="17"/>
  <c r="S51" i="17"/>
  <c r="AR32" i="17"/>
  <c r="AB307" i="17"/>
  <c r="Z111" i="17"/>
  <c r="AY327" i="17"/>
  <c r="AZ106" i="17"/>
  <c r="AA315" i="17"/>
  <c r="K152" i="17"/>
  <c r="AF289" i="17"/>
  <c r="AY183" i="17"/>
  <c r="AO219" i="17"/>
  <c r="I129" i="17"/>
  <c r="AG217" i="17"/>
  <c r="O268" i="17"/>
  <c r="AS195" i="17"/>
  <c r="X311" i="17"/>
  <c r="AA330" i="17"/>
  <c r="AM330" i="17"/>
  <c r="H3" i="17"/>
  <c r="AP326" i="17"/>
  <c r="AQ92" i="17"/>
  <c r="AD322" i="17"/>
  <c r="AI51" i="17"/>
  <c r="P221" i="17"/>
  <c r="AZ218" i="17"/>
  <c r="AT46" i="17"/>
  <c r="X245" i="17"/>
  <c r="Z284" i="17"/>
  <c r="T258" i="17"/>
  <c r="AQ118" i="17"/>
  <c r="AV150" i="17"/>
  <c r="D80" i="17"/>
  <c r="AK245" i="17"/>
  <c r="AL319" i="17"/>
  <c r="M283" i="17"/>
  <c r="P111" i="17"/>
  <c r="X192" i="17"/>
  <c r="U313" i="17"/>
  <c r="S206" i="17"/>
  <c r="AW237" i="17"/>
  <c r="AU200" i="17"/>
  <c r="X217" i="17"/>
  <c r="Y271" i="17"/>
  <c r="AL295" i="17"/>
  <c r="AA255" i="17"/>
  <c r="AQ42" i="17"/>
  <c r="AR256" i="17"/>
  <c r="P207" i="17"/>
  <c r="AD150" i="17"/>
  <c r="AF267" i="17"/>
  <c r="AU323" i="17"/>
  <c r="N165" i="17"/>
  <c r="X309" i="17"/>
  <c r="G305" i="17"/>
  <c r="J268" i="17"/>
  <c r="AC133" i="17"/>
  <c r="AQ9" i="17"/>
  <c r="AK310" i="17"/>
  <c r="G299" i="17"/>
  <c r="AO287" i="17"/>
  <c r="R117" i="17"/>
  <c r="AC70" i="17"/>
  <c r="L143" i="17"/>
  <c r="AO134" i="17"/>
  <c r="V324" i="17"/>
  <c r="AQ304" i="17"/>
  <c r="F291" i="17"/>
  <c r="AL318" i="17"/>
  <c r="R39" i="17"/>
  <c r="G324" i="17"/>
  <c r="AV252" i="17"/>
  <c r="AY299" i="17"/>
  <c r="W168" i="17"/>
  <c r="AZ332" i="17"/>
  <c r="K55" i="17"/>
  <c r="AD127" i="17"/>
  <c r="Z34" i="17"/>
  <c r="AM329" i="17"/>
  <c r="AB283" i="17"/>
  <c r="R96" i="17"/>
  <c r="P302" i="17"/>
  <c r="AW280" i="17"/>
  <c r="H172" i="17"/>
  <c r="AR112" i="17"/>
  <c r="AM184" i="17"/>
  <c r="AX331" i="17"/>
  <c r="AX144" i="17"/>
  <c r="V171" i="17"/>
  <c r="AS214" i="17"/>
  <c r="AK23" i="17"/>
  <c r="AF322" i="17"/>
  <c r="S120" i="17"/>
  <c r="AJ291" i="17"/>
  <c r="V313" i="17"/>
  <c r="AW331" i="17"/>
  <c r="AY300" i="17"/>
  <c r="AF167" i="17"/>
  <c r="AL251" i="17"/>
  <c r="H190" i="17"/>
  <c r="J279" i="17"/>
  <c r="AP68" i="17"/>
  <c r="AC272" i="17"/>
  <c r="AQ239" i="17"/>
  <c r="E306" i="17"/>
  <c r="J59" i="17"/>
  <c r="AM297" i="17"/>
  <c r="R274" i="17"/>
  <c r="AI280" i="17"/>
  <c r="P276" i="17"/>
  <c r="AR211" i="17"/>
  <c r="M234" i="17"/>
  <c r="AF302" i="17"/>
  <c r="U247" i="17"/>
  <c r="H318" i="17"/>
  <c r="AU273" i="17"/>
  <c r="R263" i="17"/>
  <c r="AW329" i="17"/>
  <c r="Y47" i="17"/>
  <c r="AP321" i="17"/>
  <c r="U32" i="17"/>
  <c r="AQ228" i="17"/>
  <c r="G217" i="17"/>
  <c r="AH79" i="17"/>
  <c r="T320" i="17"/>
  <c r="AY166" i="17"/>
  <c r="Y173" i="17"/>
  <c r="J167" i="17"/>
  <c r="T266" i="17"/>
  <c r="AU331" i="17"/>
  <c r="AC270" i="17"/>
  <c r="AV129" i="17"/>
  <c r="L330" i="17"/>
  <c r="M114" i="17"/>
  <c r="AF30" i="17"/>
  <c r="AW322" i="17"/>
  <c r="AZ318" i="17"/>
  <c r="AH303" i="17"/>
  <c r="N324" i="17"/>
  <c r="AE305" i="17"/>
  <c r="T318" i="17"/>
  <c r="AX120" i="17"/>
  <c r="AL111" i="17"/>
  <c r="AD35" i="17"/>
  <c r="AN187" i="17"/>
  <c r="AR275" i="17"/>
  <c r="Q305" i="17"/>
  <c r="AW75" i="17"/>
  <c r="BA118" i="17"/>
  <c r="O254" i="17"/>
  <c r="M311" i="17"/>
  <c r="J297" i="17"/>
  <c r="N68" i="17"/>
  <c r="S199" i="17"/>
  <c r="AG328" i="17"/>
  <c r="G295" i="17"/>
  <c r="AC329" i="17"/>
  <c r="AB6" i="17"/>
  <c r="AA280" i="17"/>
  <c r="AS10" i="17"/>
  <c r="AD325" i="17"/>
  <c r="W298" i="17"/>
  <c r="L255" i="17"/>
  <c r="Y304" i="17"/>
  <c r="AF333" i="17"/>
  <c r="AQ31" i="17"/>
  <c r="E216" i="17"/>
  <c r="D233" i="17"/>
  <c r="AK11" i="17"/>
  <c r="H141" i="17"/>
  <c r="J295" i="17"/>
  <c r="P328" i="17"/>
  <c r="AG219" i="17"/>
  <c r="AB325" i="17"/>
  <c r="AB45" i="17"/>
  <c r="AL112" i="17"/>
  <c r="AZ132" i="17"/>
  <c r="G282" i="17"/>
  <c r="AJ5" i="17"/>
  <c r="X59" i="17"/>
  <c r="H275" i="17"/>
  <c r="AY181" i="17"/>
  <c r="AZ69" i="17"/>
  <c r="D81" i="17"/>
  <c r="AI284" i="17"/>
  <c r="M333" i="17"/>
  <c r="AT262" i="17"/>
  <c r="AK282" i="17"/>
  <c r="AZ22" i="17"/>
  <c r="K311" i="17"/>
  <c r="Q331" i="17"/>
  <c r="O131" i="17"/>
  <c r="M253" i="17"/>
  <c r="G145" i="17"/>
  <c r="J323" i="17"/>
  <c r="AQ313" i="17"/>
  <c r="AO251" i="17"/>
  <c r="F300" i="17"/>
  <c r="F317" i="17"/>
  <c r="K327" i="17"/>
  <c r="AR178" i="17"/>
  <c r="AZ107" i="17"/>
  <c r="AG74" i="17"/>
  <c r="H328" i="17"/>
  <c r="AP219" i="17"/>
  <c r="AG124" i="17"/>
  <c r="AD111" i="17"/>
  <c r="K297" i="17"/>
  <c r="S283" i="17"/>
  <c r="AD115" i="17"/>
  <c r="D280" i="17"/>
  <c r="R330" i="17"/>
  <c r="R28" i="17"/>
  <c r="AS244" i="17"/>
  <c r="AF242" i="17"/>
  <c r="AE78" i="17"/>
  <c r="AX329" i="17"/>
  <c r="AB322" i="17"/>
  <c r="AY22" i="17"/>
  <c r="AN94" i="17"/>
  <c r="M81" i="17"/>
  <c r="AC196" i="17"/>
  <c r="Q230" i="17"/>
  <c r="AR258" i="17"/>
  <c r="S99" i="17"/>
  <c r="L295" i="17"/>
  <c r="AY153" i="17"/>
  <c r="P308" i="17"/>
  <c r="Z233" i="17"/>
  <c r="V233" i="17"/>
  <c r="AD232" i="17"/>
  <c r="S169" i="17"/>
  <c r="AU330" i="17"/>
  <c r="AO331" i="17"/>
  <c r="AI71" i="17"/>
  <c r="X268" i="17"/>
  <c r="AS209" i="17"/>
  <c r="AM168" i="17"/>
  <c r="N271" i="17"/>
  <c r="AK68" i="17"/>
  <c r="AH252" i="17"/>
  <c r="AD328" i="17"/>
  <c r="J79" i="17"/>
  <c r="W314" i="17"/>
  <c r="Y231" i="17"/>
  <c r="AA323" i="17"/>
  <c r="AF219" i="17"/>
  <c r="AI116" i="17"/>
  <c r="AA14" i="17"/>
  <c r="T240" i="17"/>
  <c r="AU163" i="17"/>
  <c r="F220" i="17"/>
  <c r="AU300" i="17"/>
  <c r="G216" i="17"/>
  <c r="AQ310" i="17"/>
  <c r="AS242" i="17"/>
  <c r="F296" i="17"/>
  <c r="AI281" i="17"/>
  <c r="AB251" i="17"/>
  <c r="H262" i="17"/>
  <c r="Y4" i="17"/>
  <c r="AZ330" i="17"/>
  <c r="AS198" i="17"/>
  <c r="N67" i="17"/>
  <c r="AP86" i="17"/>
  <c r="AH111" i="17"/>
  <c r="AH117" i="17"/>
  <c r="Q200" i="17"/>
  <c r="F141" i="17"/>
  <c r="AM78" i="17"/>
  <c r="AR331" i="17"/>
  <c r="AB47" i="17"/>
  <c r="AZ333" i="17"/>
  <c r="AG298" i="17"/>
  <c r="AP75" i="17"/>
  <c r="AI74" i="17"/>
  <c r="M24" i="17"/>
  <c r="AP223" i="17"/>
  <c r="F301" i="17"/>
  <c r="AE306" i="17"/>
  <c r="AG290" i="17"/>
  <c r="AZ328" i="17"/>
  <c r="AO252" i="17"/>
  <c r="AS203" i="17"/>
  <c r="Y244" i="17"/>
  <c r="AX135" i="17"/>
  <c r="AS327" i="17"/>
  <c r="I333" i="17"/>
  <c r="AS317" i="17"/>
  <c r="W143" i="17"/>
  <c r="O223" i="17"/>
  <c r="AV181" i="17"/>
  <c r="P305" i="17"/>
  <c r="AL17" i="17"/>
  <c r="AH280" i="17"/>
  <c r="AP304" i="17"/>
  <c r="AE263" i="17"/>
  <c r="W233" i="17"/>
  <c r="BA150" i="17"/>
  <c r="H71" i="17"/>
  <c r="AS99" i="17"/>
  <c r="X162" i="17"/>
  <c r="D260" i="17"/>
  <c r="J12" i="17"/>
  <c r="N309" i="17"/>
  <c r="Z28" i="17"/>
  <c r="AE320" i="17"/>
  <c r="AT64" i="17"/>
  <c r="AW218" i="17"/>
  <c r="AZ234" i="17"/>
  <c r="F31" i="17"/>
  <c r="Z157" i="17"/>
  <c r="E50" i="17"/>
  <c r="AM328" i="17"/>
  <c r="AW17" i="17"/>
  <c r="AE303" i="17"/>
  <c r="AW131" i="17"/>
  <c r="G300" i="17"/>
  <c r="AT326" i="17"/>
  <c r="AT8" i="17"/>
  <c r="AA299" i="17"/>
  <c r="Q199" i="17"/>
  <c r="AA279" i="17"/>
  <c r="N330" i="17"/>
  <c r="M326" i="17"/>
  <c r="V137" i="17"/>
  <c r="AQ319" i="17"/>
  <c r="O149" i="17"/>
  <c r="T321" i="17"/>
  <c r="R314" i="17"/>
  <c r="D328" i="17"/>
  <c r="AM138" i="17"/>
  <c r="D19" i="17"/>
  <c r="AL127" i="17"/>
  <c r="J332" i="17"/>
  <c r="AN51" i="17"/>
  <c r="AA180" i="17"/>
  <c r="AP271" i="17"/>
  <c r="AE17" i="17"/>
  <c r="U250" i="17"/>
  <c r="AT216" i="17"/>
  <c r="AI120" i="17"/>
  <c r="E296" i="17"/>
  <c r="P177" i="17"/>
  <c r="O8" i="17"/>
  <c r="AT173" i="17"/>
  <c r="AQ247" i="17"/>
  <c r="AH135" i="17"/>
  <c r="W132" i="17"/>
  <c r="AR283" i="17"/>
  <c r="BA43" i="17"/>
  <c r="AC317" i="17"/>
  <c r="V321" i="17"/>
  <c r="AA331" i="17"/>
  <c r="D262" i="17"/>
  <c r="AH326" i="17"/>
  <c r="J326" i="17"/>
  <c r="I66" i="17"/>
  <c r="AQ162" i="17"/>
  <c r="AU253" i="17"/>
  <c r="P292" i="17"/>
  <c r="S137" i="17"/>
  <c r="Y273" i="17"/>
  <c r="AF20" i="17"/>
  <c r="AC238" i="17"/>
  <c r="AH19" i="17"/>
  <c r="E313" i="17"/>
  <c r="AN324" i="17"/>
  <c r="G239" i="17"/>
  <c r="AL30" i="17"/>
  <c r="F227" i="17"/>
  <c r="N283" i="17"/>
  <c r="BA195" i="17"/>
  <c r="F324" i="17"/>
  <c r="O267" i="17"/>
  <c r="AH221" i="17"/>
  <c r="AX271" i="17"/>
  <c r="AP218" i="17"/>
  <c r="AO110" i="17"/>
  <c r="AV101" i="17"/>
  <c r="AU199" i="17"/>
  <c r="Y98" i="17"/>
  <c r="AB32" i="17"/>
  <c r="P315" i="17"/>
  <c r="AC316" i="17"/>
  <c r="E233" i="17"/>
  <c r="AR229" i="17"/>
  <c r="AX4" i="17"/>
  <c r="K314" i="17"/>
  <c r="S324" i="17"/>
  <c r="AF154" i="17"/>
  <c r="H9" i="17"/>
  <c r="H319" i="17"/>
  <c r="AP148" i="17"/>
  <c r="AC242" i="17"/>
  <c r="AQ37" i="17"/>
  <c r="I276" i="17"/>
  <c r="AW333" i="17"/>
  <c r="AB19" i="17"/>
  <c r="P171" i="17"/>
  <c r="BA319" i="17"/>
  <c r="AF270" i="17"/>
  <c r="AT40" i="17"/>
  <c r="AG164" i="17"/>
  <c r="AY107" i="17"/>
  <c r="AJ159" i="17"/>
  <c r="AJ286" i="17"/>
  <c r="AO177" i="17"/>
  <c r="O308" i="17"/>
  <c r="O258" i="17"/>
  <c r="AT150" i="17"/>
  <c r="AW208" i="17"/>
  <c r="AT315" i="17"/>
  <c r="Z165" i="17"/>
  <c r="AX139" i="17"/>
  <c r="X328" i="17"/>
  <c r="N286" i="17"/>
  <c r="AV112" i="17"/>
  <c r="AJ333" i="17"/>
  <c r="AF331" i="17"/>
  <c r="AA144" i="17"/>
  <c r="V258" i="17"/>
  <c r="K239" i="17"/>
  <c r="V285" i="17"/>
  <c r="U55" i="17"/>
  <c r="O177" i="17"/>
  <c r="D261" i="17"/>
  <c r="AC53" i="17"/>
  <c r="AL323" i="17"/>
  <c r="AI20" i="17"/>
  <c r="AG308" i="17"/>
  <c r="Z317" i="17"/>
  <c r="AB327" i="17"/>
  <c r="S315" i="17"/>
  <c r="H306" i="17"/>
  <c r="T111" i="17"/>
  <c r="AX140" i="17"/>
  <c r="AF163" i="17"/>
  <c r="AS305" i="17"/>
  <c r="H333" i="17"/>
  <c r="Z333" i="17"/>
  <c r="Z36" i="17"/>
  <c r="AU78" i="17"/>
  <c r="AO276" i="17"/>
  <c r="AY249" i="17"/>
  <c r="AH45" i="17"/>
  <c r="D240" i="17"/>
  <c r="O305" i="17"/>
  <c r="I53" i="17"/>
  <c r="AB152" i="17"/>
  <c r="N257" i="17"/>
  <c r="AC328" i="17"/>
  <c r="AX333" i="17"/>
  <c r="AV5" i="17"/>
  <c r="AK25" i="17"/>
  <c r="AK195" i="17"/>
  <c r="X315" i="17"/>
  <c r="W330" i="17"/>
  <c r="AB104" i="17"/>
  <c r="I324" i="17"/>
  <c r="AY178" i="17"/>
  <c r="O119" i="17"/>
  <c r="AU275" i="17"/>
  <c r="V268" i="17"/>
  <c r="U329" i="17"/>
  <c r="AR330" i="17"/>
  <c r="AM256" i="17"/>
  <c r="O180" i="17"/>
  <c r="AO288" i="17"/>
  <c r="Q106" i="17"/>
  <c r="AJ332" i="17"/>
  <c r="AY276" i="17"/>
  <c r="AQ301" i="17"/>
  <c r="AO254" i="17"/>
  <c r="Z228" i="17"/>
  <c r="AP183" i="17"/>
  <c r="Y320" i="17"/>
  <c r="J320" i="17"/>
  <c r="AW44" i="17"/>
  <c r="W184" i="17"/>
  <c r="T269" i="17"/>
  <c r="AW328" i="17"/>
  <c r="N322" i="17"/>
  <c r="BA330" i="17"/>
  <c r="AL52" i="17"/>
  <c r="AV197" i="17"/>
  <c r="AA284" i="17"/>
  <c r="AW112" i="17"/>
  <c r="AN97" i="17"/>
  <c r="AL269" i="17"/>
  <c r="BA112" i="17"/>
  <c r="AE67" i="17"/>
  <c r="AT328" i="17"/>
  <c r="Z311" i="17"/>
  <c r="AC313" i="17"/>
  <c r="V5" i="17"/>
  <c r="X238" i="17"/>
  <c r="AH26" i="17"/>
  <c r="R134" i="17"/>
  <c r="F58" i="17"/>
  <c r="AA277" i="17"/>
  <c r="AI268" i="17"/>
  <c r="E320" i="17"/>
  <c r="D117" i="17"/>
  <c r="AL203" i="17"/>
  <c r="K140" i="17"/>
  <c r="AS274" i="17"/>
  <c r="X231" i="17"/>
  <c r="V299" i="17"/>
  <c r="G9" i="17"/>
  <c r="V330" i="17"/>
  <c r="Q317" i="17"/>
  <c r="AY90" i="17"/>
  <c r="Y195" i="17"/>
  <c r="AK21" i="17"/>
  <c r="Y325" i="17"/>
  <c r="AI312" i="17"/>
  <c r="O272" i="17"/>
  <c r="AD70" i="17"/>
  <c r="AK107" i="17"/>
  <c r="AP222" i="17"/>
  <c r="AW258" i="17"/>
  <c r="P311" i="17"/>
  <c r="Q255" i="17"/>
  <c r="AD146" i="17"/>
  <c r="AS245" i="17"/>
  <c r="Q329" i="17"/>
  <c r="AK230" i="17"/>
  <c r="S151" i="17"/>
  <c r="L61" i="17"/>
  <c r="AP230" i="17"/>
  <c r="AI95" i="17"/>
  <c r="U315" i="17"/>
  <c r="AT276" i="17"/>
  <c r="AY116" i="17"/>
  <c r="AY155" i="17"/>
  <c r="V263" i="17"/>
  <c r="AG272" i="17"/>
  <c r="V92" i="17"/>
  <c r="U249" i="17"/>
  <c r="S272" i="17"/>
  <c r="BA271" i="17"/>
  <c r="G330" i="17"/>
  <c r="AN26" i="17"/>
  <c r="AU74" i="17"/>
  <c r="H309" i="17"/>
  <c r="U289" i="17"/>
  <c r="AW142" i="17"/>
  <c r="AW70" i="17"/>
  <c r="K260" i="17"/>
  <c r="U281" i="17"/>
  <c r="R331" i="17"/>
  <c r="AD330" i="17"/>
  <c r="R306" i="17"/>
  <c r="T316" i="17"/>
  <c r="Q327" i="17"/>
  <c r="AA333" i="17"/>
  <c r="P123" i="17"/>
  <c r="R333" i="17"/>
  <c r="P298" i="17"/>
  <c r="V122" i="17"/>
  <c r="AY39" i="17"/>
  <c r="Y332" i="17"/>
  <c r="AT327" i="17"/>
  <c r="AG281" i="17"/>
  <c r="AO236" i="17"/>
  <c r="AL331" i="17"/>
  <c r="O325" i="17"/>
  <c r="R67" i="17"/>
  <c r="AJ330" i="17"/>
  <c r="AK73" i="17"/>
  <c r="D221" i="17"/>
  <c r="AB329" i="17"/>
  <c r="AM300" i="17"/>
  <c r="I331" i="17"/>
  <c r="W118" i="17"/>
  <c r="T100" i="17"/>
  <c r="AP296" i="17"/>
  <c r="AH176" i="17"/>
  <c r="T288" i="17"/>
  <c r="N311" i="17"/>
  <c r="BA123" i="17"/>
  <c r="AP288" i="17"/>
  <c r="AB36" i="17"/>
  <c r="AC325" i="17"/>
  <c r="S207" i="17"/>
  <c r="AT178" i="17"/>
  <c r="Z239" i="17"/>
  <c r="AR146" i="17"/>
  <c r="AI170" i="17"/>
  <c r="AJ329" i="17"/>
  <c r="AB328" i="17"/>
  <c r="AE109" i="17"/>
  <c r="V52" i="17"/>
  <c r="S105" i="17"/>
  <c r="AL287" i="17"/>
  <c r="AD34" i="17"/>
  <c r="I299" i="17"/>
  <c r="AZ180" i="17"/>
  <c r="AV332" i="17"/>
  <c r="U159" i="17"/>
  <c r="AY309" i="17"/>
  <c r="AR199" i="17"/>
  <c r="AD320" i="17"/>
  <c r="R108" i="17"/>
  <c r="BA331" i="17"/>
  <c r="AE110" i="17"/>
  <c r="Q55" i="17"/>
  <c r="D285" i="17"/>
  <c r="O328" i="17"/>
  <c r="M296" i="17"/>
  <c r="AX181" i="17"/>
  <c r="AW14" i="17"/>
  <c r="AU179" i="17"/>
  <c r="F16" i="17"/>
  <c r="Q32" i="17"/>
  <c r="AG231" i="17"/>
  <c r="W246" i="17"/>
  <c r="D332" i="17"/>
  <c r="AL333" i="17"/>
  <c r="P235" i="17"/>
  <c r="Z16" i="17"/>
  <c r="M48" i="17"/>
  <c r="AR270" i="17"/>
  <c r="H38" i="17"/>
  <c r="AM306" i="17"/>
  <c r="O298" i="17"/>
  <c r="AX327" i="17"/>
  <c r="AG234" i="17"/>
  <c r="AE313" i="17"/>
  <c r="Z221" i="17"/>
  <c r="U169" i="17"/>
  <c r="AL150" i="17"/>
  <c r="AO47" i="17"/>
  <c r="AH253" i="17"/>
  <c r="H219" i="17"/>
  <c r="AP332" i="17"/>
  <c r="AE279" i="17"/>
  <c r="AS322" i="17"/>
  <c r="AF284" i="17"/>
  <c r="AN333" i="17"/>
  <c r="AU86" i="17"/>
  <c r="N319" i="17"/>
  <c r="AD298" i="17"/>
  <c r="K53" i="17"/>
  <c r="N251" i="17"/>
  <c r="AD31" i="17"/>
  <c r="AF31" i="17"/>
  <c r="AK9" i="17"/>
  <c r="J254" i="17"/>
  <c r="AX317" i="17"/>
  <c r="AG75" i="17"/>
  <c r="AO245" i="17"/>
  <c r="Q110" i="17"/>
  <c r="O64" i="17"/>
  <c r="J266" i="17"/>
  <c r="I293" i="17"/>
  <c r="Y263" i="17"/>
  <c r="J330" i="17"/>
  <c r="AO265" i="17"/>
  <c r="U328" i="17"/>
  <c r="W326" i="17"/>
  <c r="D326" i="17"/>
  <c r="AH315" i="17"/>
  <c r="AS148" i="17"/>
  <c r="AE183" i="17"/>
  <c r="L305" i="17"/>
  <c r="AZ287" i="17"/>
  <c r="Q275" i="17"/>
  <c r="AC274" i="17"/>
  <c r="W288" i="17"/>
  <c r="D329" i="17"/>
  <c r="AP306" i="17"/>
  <c r="AB181" i="17"/>
  <c r="AR228" i="17"/>
  <c r="AR190" i="17"/>
  <c r="AK110" i="17"/>
  <c r="AF233" i="17"/>
  <c r="AC144" i="17"/>
  <c r="V331" i="17"/>
  <c r="AW5" i="17"/>
  <c r="AA289" i="17"/>
  <c r="Y257" i="17"/>
  <c r="AU261" i="17"/>
  <c r="AM271" i="17"/>
  <c r="N279" i="17"/>
  <c r="AF243" i="17"/>
  <c r="AX310" i="17"/>
  <c r="N120" i="17"/>
  <c r="AG72" i="17"/>
  <c r="L119" i="17"/>
  <c r="E332" i="17"/>
  <c r="AX324" i="17"/>
  <c r="AC112" i="17"/>
  <c r="V308" i="17"/>
  <c r="L322" i="17"/>
  <c r="Q310" i="17"/>
  <c r="Q62" i="17"/>
  <c r="Y252" i="17"/>
  <c r="T326" i="17"/>
  <c r="D170" i="17"/>
  <c r="T299" i="17"/>
  <c r="AK15" i="17"/>
  <c r="AP328" i="17"/>
  <c r="AZ54" i="17"/>
  <c r="AJ331" i="17"/>
  <c r="AJ40" i="17"/>
  <c r="P124" i="17"/>
  <c r="AL26" i="17"/>
  <c r="AU158" i="17"/>
  <c r="T10" i="17"/>
  <c r="AX293" i="17"/>
  <c r="AW279" i="17"/>
  <c r="M293" i="17"/>
  <c r="AM224" i="17"/>
  <c r="AO202" i="17"/>
  <c r="P167" i="17"/>
  <c r="I329" i="17"/>
  <c r="AZ289" i="17"/>
  <c r="AZ321" i="17"/>
  <c r="AA303" i="17"/>
  <c r="F85" i="17"/>
  <c r="T284" i="17"/>
  <c r="AO315" i="17"/>
  <c r="Y140" i="17"/>
  <c r="AM173" i="17"/>
  <c r="AR60" i="17"/>
  <c r="AU75" i="17"/>
  <c r="R311" i="17"/>
  <c r="AM193" i="17"/>
  <c r="Z319" i="17"/>
  <c r="W325" i="17"/>
  <c r="AF38" i="17"/>
  <c r="AQ166" i="17"/>
  <c r="AN236" i="17"/>
  <c r="AZ81" i="17"/>
  <c r="H201" i="17"/>
  <c r="AI324" i="17"/>
  <c r="F303" i="17"/>
  <c r="R267" i="17"/>
  <c r="F326" i="17"/>
  <c r="AZ305" i="17"/>
  <c r="J333" i="17"/>
  <c r="AW332" i="17"/>
  <c r="AJ36" i="17"/>
  <c r="AQ191" i="17"/>
  <c r="E134" i="17"/>
  <c r="O227" i="17"/>
  <c r="E25" i="17"/>
  <c r="S332" i="17"/>
  <c r="AN330" i="17"/>
  <c r="AP238" i="17"/>
  <c r="AR333" i="17"/>
  <c r="S77" i="17"/>
  <c r="H263" i="17"/>
  <c r="P24" i="17"/>
  <c r="Y317" i="17"/>
  <c r="AW48" i="17"/>
  <c r="W92" i="17"/>
  <c r="D191" i="17"/>
  <c r="AV71" i="17"/>
  <c r="AW243" i="17"/>
  <c r="AP237" i="17"/>
  <c r="AC22" i="17"/>
  <c r="Y127" i="17"/>
  <c r="AY326" i="17"/>
  <c r="K38" i="17"/>
  <c r="AR118" i="17"/>
  <c r="AR317" i="17"/>
  <c r="K158" i="17"/>
  <c r="AD301" i="17"/>
  <c r="W123" i="17"/>
  <c r="AV309" i="17"/>
  <c r="AS8" i="17"/>
  <c r="K12" i="17"/>
  <c r="AR221" i="17"/>
  <c r="L289" i="17"/>
  <c r="X246" i="17"/>
  <c r="O11" i="17"/>
  <c r="L89" i="17"/>
  <c r="AN267" i="17"/>
  <c r="J301" i="17"/>
  <c r="T261" i="17"/>
  <c r="AY282" i="17"/>
  <c r="AR286" i="17"/>
  <c r="AX280" i="17"/>
  <c r="N299" i="17"/>
  <c r="AN249" i="17"/>
  <c r="AJ140" i="17"/>
  <c r="AW86" i="17"/>
  <c r="U214" i="17"/>
  <c r="AQ154" i="17"/>
  <c r="H245" i="17"/>
  <c r="AD260" i="17"/>
  <c r="N303" i="17"/>
  <c r="N285" i="17"/>
  <c r="AX328" i="17"/>
  <c r="AY298" i="17"/>
  <c r="L319" i="17"/>
  <c r="L258" i="17"/>
  <c r="AX25" i="17"/>
  <c r="AP199" i="17"/>
  <c r="V30" i="17"/>
  <c r="AO234" i="17"/>
  <c r="X98" i="17"/>
  <c r="AA93" i="17"/>
  <c r="AK319" i="17"/>
  <c r="AX92" i="17"/>
  <c r="X322" i="17"/>
  <c r="AV217" i="17"/>
  <c r="AQ250" i="17"/>
  <c r="AE333" i="17"/>
  <c r="Z282" i="17"/>
  <c r="AI42" i="17"/>
  <c r="AE191" i="17"/>
  <c r="AY167" i="17"/>
  <c r="S196" i="17"/>
  <c r="AL267" i="17"/>
  <c r="AF325" i="17"/>
  <c r="AO309" i="17"/>
  <c r="I322" i="17"/>
  <c r="X329" i="17"/>
  <c r="AV324" i="17"/>
  <c r="P237" i="17"/>
  <c r="E274" i="17"/>
  <c r="G303" i="17"/>
  <c r="AI179" i="17"/>
  <c r="AS115" i="17"/>
  <c r="AJ328" i="17"/>
  <c r="AB233" i="17"/>
  <c r="AP41" i="17"/>
  <c r="AX96" i="17"/>
  <c r="AY333" i="17"/>
  <c r="V254" i="17"/>
  <c r="AH180" i="17"/>
  <c r="R324" i="17"/>
  <c r="AS307" i="17"/>
  <c r="AW161" i="17"/>
  <c r="H159" i="17"/>
  <c r="S318" i="17"/>
  <c r="AL266" i="17"/>
  <c r="D83" i="17"/>
  <c r="AL280" i="17"/>
  <c r="AG264" i="17"/>
  <c r="AT244" i="17"/>
  <c r="AE276" i="17"/>
  <c r="AL329" i="17"/>
  <c r="D330" i="17"/>
  <c r="M307" i="17"/>
  <c r="K292" i="17"/>
  <c r="AG171" i="17"/>
  <c r="AM316" i="17"/>
  <c r="O297" i="17"/>
  <c r="AD281" i="17"/>
  <c r="T305" i="17"/>
  <c r="AQ70" i="17"/>
  <c r="AH227" i="17"/>
  <c r="W264" i="17"/>
  <c r="AT81" i="17"/>
  <c r="AZ178" i="17"/>
  <c r="S264" i="17"/>
  <c r="I36" i="17"/>
  <c r="AJ26" i="17"/>
  <c r="Z31" i="17"/>
  <c r="L304" i="17"/>
  <c r="AR254" i="17"/>
  <c r="W328" i="17"/>
  <c r="D257" i="17"/>
  <c r="AW297" i="17"/>
  <c r="P47" i="17"/>
  <c r="AS180" i="17"/>
  <c r="Z305" i="17"/>
  <c r="F309" i="17"/>
  <c r="I252" i="17"/>
  <c r="N333" i="17"/>
  <c r="W331" i="17"/>
  <c r="BA216" i="17"/>
  <c r="AO300" i="17"/>
  <c r="M286" i="17"/>
  <c r="AV66" i="17"/>
  <c r="AW296" i="17"/>
  <c r="AI40" i="17"/>
  <c r="I264" i="17"/>
  <c r="AW20" i="17"/>
  <c r="AZ313" i="17"/>
  <c r="AY323" i="17"/>
  <c r="AR209" i="17"/>
  <c r="AI79" i="17"/>
  <c r="O235" i="17"/>
  <c r="AM135" i="17"/>
  <c r="G207" i="17"/>
  <c r="H80" i="17"/>
  <c r="AK289" i="17"/>
  <c r="AK278" i="17"/>
  <c r="AD25" i="17"/>
  <c r="S330" i="17"/>
  <c r="AB172" i="17"/>
  <c r="X237" i="17"/>
  <c r="Q48" i="17"/>
  <c r="J28" i="17"/>
  <c r="AD331" i="17"/>
  <c r="J225" i="17"/>
  <c r="AR321" i="17"/>
  <c r="L194" i="17"/>
  <c r="BA6" i="17"/>
  <c r="X228" i="17"/>
  <c r="S274" i="17"/>
  <c r="AC295" i="17"/>
  <c r="AY118" i="17"/>
  <c r="AE330" i="17"/>
  <c r="AD313" i="17"/>
  <c r="AZ6" i="17"/>
  <c r="AB331" i="17"/>
  <c r="AK28" i="17"/>
  <c r="U246" i="17"/>
  <c r="AA332" i="17"/>
  <c r="AP66" i="17"/>
  <c r="K305" i="17"/>
  <c r="AJ324" i="17"/>
  <c r="AT259" i="17"/>
  <c r="AY294" i="17"/>
  <c r="AD178" i="17"/>
  <c r="H232" i="17"/>
  <c r="L278" i="17"/>
  <c r="AN40" i="17"/>
  <c r="AD197" i="17"/>
  <c r="AD270" i="17"/>
  <c r="V26" i="17"/>
  <c r="G307" i="17"/>
  <c r="G221" i="17"/>
  <c r="AI305" i="17"/>
  <c r="AT114" i="17"/>
  <c r="U188" i="17"/>
  <c r="AV56" i="17"/>
  <c r="AM34" i="17"/>
  <c r="AJ20" i="17"/>
  <c r="AT68" i="17"/>
  <c r="AG136" i="17"/>
  <c r="O208" i="17"/>
  <c r="G329" i="17"/>
  <c r="BA145" i="17"/>
  <c r="AU241" i="17"/>
  <c r="BA277" i="17"/>
  <c r="E30" i="17"/>
  <c r="Z64" i="17"/>
  <c r="R316" i="17"/>
  <c r="AD273" i="17"/>
  <c r="AG278" i="17"/>
  <c r="AT284" i="17"/>
  <c r="G288" i="17"/>
  <c r="AW173" i="17"/>
  <c r="Y294" i="17"/>
  <c r="AB37" i="17"/>
  <c r="Z53" i="17"/>
  <c r="AL315" i="17"/>
  <c r="AN268" i="17"/>
  <c r="AN278" i="17"/>
  <c r="AF332" i="17"/>
  <c r="AF320" i="17"/>
  <c r="N77" i="17"/>
  <c r="AP129" i="17"/>
  <c r="O329" i="17"/>
  <c r="E149" i="17"/>
  <c r="W299" i="17"/>
  <c r="AU218" i="17"/>
  <c r="AT235" i="17"/>
  <c r="AS328" i="17"/>
  <c r="AU147" i="17"/>
  <c r="X152" i="17"/>
  <c r="I269" i="17"/>
  <c r="AN273" i="17"/>
  <c r="V325" i="17"/>
  <c r="U323" i="17"/>
  <c r="AX285" i="17"/>
  <c r="AA300" i="17"/>
  <c r="D311" i="17"/>
  <c r="AV301" i="17"/>
  <c r="AZ299" i="17"/>
  <c r="AG300" i="17"/>
  <c r="AQ307" i="17"/>
  <c r="X304" i="17"/>
  <c r="AT332" i="17"/>
  <c r="BA48" i="17"/>
  <c r="J264" i="17"/>
  <c r="AV67" i="17"/>
  <c r="AR326" i="17"/>
  <c r="Q12" i="17"/>
  <c r="F330" i="17"/>
  <c r="AU325" i="17"/>
  <c r="AO121" i="17"/>
  <c r="K284" i="17"/>
  <c r="BA143" i="17"/>
  <c r="I261" i="17"/>
  <c r="AJ302" i="17"/>
  <c r="AS331" i="17"/>
  <c r="AS325" i="17"/>
  <c r="M66" i="17"/>
  <c r="BA237" i="17"/>
  <c r="AO325" i="17"/>
  <c r="AO41" i="17"/>
  <c r="AP61" i="17"/>
  <c r="AB237" i="17"/>
  <c r="AL47" i="17"/>
  <c r="AT176" i="17"/>
  <c r="AW289" i="17"/>
  <c r="AS90" i="17"/>
  <c r="AZ193" i="17"/>
  <c r="AT214" i="17"/>
  <c r="AV328" i="17"/>
  <c r="AY77" i="17"/>
  <c r="AX241" i="17"/>
  <c r="AF84" i="17"/>
  <c r="AY315" i="17"/>
  <c r="AJ79" i="17"/>
  <c r="T325" i="17"/>
  <c r="AN224" i="17"/>
  <c r="G289" i="17"/>
  <c r="Z275" i="17"/>
  <c r="M319" i="17"/>
  <c r="AV261" i="17"/>
  <c r="AW138" i="17"/>
  <c r="AC330" i="17"/>
  <c r="AS279" i="17"/>
  <c r="P12" i="17"/>
  <c r="G269" i="17"/>
  <c r="AQ299" i="17"/>
  <c r="Y225" i="17"/>
  <c r="W241" i="17"/>
  <c r="Y278" i="17"/>
  <c r="K300" i="17"/>
  <c r="AI229" i="17"/>
  <c r="O312" i="17"/>
  <c r="AR204" i="17"/>
  <c r="M108" i="17"/>
  <c r="AZ79" i="17"/>
  <c r="X295" i="17"/>
  <c r="AO329" i="17"/>
  <c r="AA328" i="17"/>
  <c r="I307" i="17"/>
  <c r="G209" i="17"/>
  <c r="AL307" i="17"/>
  <c r="AM41" i="17"/>
  <c r="AF330" i="17"/>
  <c r="AR98" i="17"/>
  <c r="AO332" i="17"/>
  <c r="G259" i="17"/>
  <c r="AQ331" i="17"/>
  <c r="AD220" i="17"/>
  <c r="AO206" i="17"/>
  <c r="AP265" i="17"/>
  <c r="H332" i="17"/>
  <c r="AR38" i="17"/>
  <c r="AB198" i="17"/>
  <c r="O203" i="17"/>
  <c r="O264" i="17"/>
  <c r="J327" i="17"/>
  <c r="AN162" i="17"/>
  <c r="K247" i="17"/>
  <c r="AD280" i="17"/>
  <c r="AB272" i="17"/>
  <c r="AG84" i="17"/>
  <c r="S240" i="17"/>
  <c r="H40" i="17"/>
  <c r="AZ309" i="17"/>
  <c r="Q105" i="17"/>
  <c r="J307" i="17"/>
  <c r="AZ206" i="17"/>
  <c r="K329" i="17"/>
  <c r="AQ195" i="17"/>
  <c r="AQ183" i="17"/>
  <c r="Z220" i="17"/>
  <c r="K273" i="17"/>
  <c r="Z8" i="17"/>
  <c r="AM298" i="17"/>
  <c r="AW201" i="17"/>
  <c r="BA261" i="17"/>
  <c r="AP176" i="17"/>
  <c r="D205" i="17"/>
  <c r="AR230" i="17"/>
  <c r="AZ216" i="17"/>
  <c r="K62" i="17"/>
  <c r="AY177" i="17"/>
  <c r="AE327" i="17"/>
  <c r="AN219" i="17"/>
  <c r="AE287" i="17"/>
  <c r="Z326" i="17"/>
  <c r="AE334" i="17"/>
  <c r="Z334" i="17"/>
  <c r="BA334" i="17"/>
  <c r="AL334" i="17"/>
  <c r="AN126" i="17"/>
  <c r="AN334" i="17"/>
  <c r="T334" i="17"/>
  <c r="AC334" i="17"/>
  <c r="R254" i="17"/>
  <c r="M303" i="17"/>
  <c r="BA104" i="17"/>
  <c r="D180" i="17"/>
  <c r="L327" i="17"/>
  <c r="AO231" i="17"/>
  <c r="AN31" i="17"/>
  <c r="Q307" i="17"/>
  <c r="AY164" i="17"/>
  <c r="AB268" i="17"/>
  <c r="X53" i="17"/>
  <c r="R258" i="17"/>
  <c r="O300" i="17"/>
  <c r="AQ246" i="17"/>
  <c r="AQ93" i="17"/>
  <c r="AI224" i="17"/>
  <c r="AT308" i="17"/>
  <c r="R296" i="17"/>
  <c r="AX281" i="17"/>
  <c r="Q9" i="17"/>
  <c r="AA134" i="17"/>
  <c r="AU290" i="17"/>
  <c r="M211" i="17"/>
  <c r="R238" i="17"/>
  <c r="AX198" i="17"/>
  <c r="AS211" i="17"/>
  <c r="AW205" i="17"/>
  <c r="AN329" i="17"/>
  <c r="AV170" i="17"/>
  <c r="AS92" i="17"/>
  <c r="AL126" i="17"/>
  <c r="N295" i="17"/>
  <c r="P331" i="17"/>
  <c r="K20" i="17"/>
  <c r="S334" i="17"/>
  <c r="AT334" i="17"/>
  <c r="Q173" i="17"/>
  <c r="AD332" i="17"/>
  <c r="AK308" i="17"/>
  <c r="AO271" i="17"/>
  <c r="R322" i="17"/>
  <c r="AS323" i="17"/>
  <c r="AQ267" i="17"/>
  <c r="Z223" i="17"/>
  <c r="AB59" i="17"/>
  <c r="X184" i="17"/>
  <c r="Q59" i="17"/>
  <c r="AX315" i="17"/>
  <c r="AL328" i="17"/>
  <c r="E175" i="17"/>
  <c r="U333" i="17"/>
  <c r="U330" i="17"/>
  <c r="AI332" i="17"/>
  <c r="AE63" i="17"/>
  <c r="AB52" i="17"/>
  <c r="L328" i="17"/>
  <c r="AI279" i="17"/>
  <c r="AQ224" i="17"/>
  <c r="AR165" i="17"/>
  <c r="AV246" i="17"/>
  <c r="AR126" i="17"/>
  <c r="AD231" i="17"/>
  <c r="AK187" i="17"/>
  <c r="AY58" i="17"/>
  <c r="AV293" i="17"/>
  <c r="AP135" i="17"/>
  <c r="AM11" i="17"/>
  <c r="AU327" i="17"/>
  <c r="AF268" i="17"/>
  <c r="AZ5" i="17"/>
  <c r="L67" i="17"/>
  <c r="V334" i="17"/>
  <c r="Q334" i="17"/>
  <c r="AT122" i="17"/>
  <c r="AZ307" i="17"/>
  <c r="AR151" i="17"/>
  <c r="G142" i="17"/>
  <c r="AQ36" i="17"/>
  <c r="W334" i="17"/>
  <c r="K321" i="17"/>
  <c r="Y333" i="17"/>
  <c r="D140" i="17"/>
  <c r="AZ329" i="17"/>
  <c r="AS183" i="17"/>
  <c r="AU117" i="17"/>
  <c r="O330" i="17"/>
  <c r="AB166" i="17"/>
  <c r="I310" i="17"/>
  <c r="Z179" i="17"/>
  <c r="AJ236" i="17"/>
  <c r="AH289" i="17"/>
  <c r="P260" i="17"/>
  <c r="N281" i="17"/>
  <c r="I246" i="17"/>
  <c r="AD94" i="17"/>
  <c r="AE213" i="17"/>
  <c r="F332" i="17"/>
  <c r="AW255" i="17"/>
  <c r="F213" i="17"/>
  <c r="N296" i="17"/>
  <c r="AX300" i="17"/>
  <c r="H96" i="17"/>
  <c r="R328" i="17"/>
  <c r="AR329" i="17"/>
  <c r="E277" i="17"/>
  <c r="AG117" i="17"/>
  <c r="N306" i="17"/>
  <c r="BA185" i="17"/>
  <c r="AG102" i="17"/>
  <c r="Z229" i="17"/>
  <c r="AQ201" i="17"/>
  <c r="BA100" i="17"/>
  <c r="G297" i="17"/>
  <c r="I328" i="17"/>
  <c r="AZ199" i="17"/>
  <c r="K51" i="17"/>
  <c r="AZ179" i="17"/>
  <c r="K39" i="17"/>
  <c r="BA243" i="17"/>
  <c r="AS187" i="17"/>
  <c r="M298" i="17"/>
  <c r="AD217" i="17"/>
  <c r="AP8" i="17"/>
  <c r="AY312" i="17"/>
  <c r="AH308" i="17"/>
  <c r="S307" i="17"/>
  <c r="L252" i="17"/>
  <c r="AK223" i="17"/>
  <c r="P299" i="17"/>
  <c r="AZ230" i="17"/>
  <c r="AI326" i="17"/>
  <c r="AX22" i="17"/>
  <c r="AV215" i="17"/>
  <c r="AG165" i="17"/>
  <c r="AR323" i="17"/>
  <c r="W271" i="17"/>
  <c r="AQ324" i="17"/>
  <c r="J166" i="17"/>
  <c r="Y267" i="17"/>
  <c r="AB296" i="17"/>
  <c r="AJ139" i="17"/>
  <c r="AA302" i="17"/>
  <c r="AY251" i="17"/>
  <c r="AL310" i="17"/>
  <c r="AB213" i="17"/>
  <c r="AU305" i="17"/>
  <c r="BA54" i="17"/>
  <c r="U287" i="17"/>
  <c r="H183" i="17"/>
  <c r="AP330" i="17"/>
  <c r="AH300" i="17"/>
  <c r="BA241" i="17"/>
  <c r="AA228" i="17"/>
  <c r="AO334" i="17"/>
  <c r="Z219" i="17"/>
  <c r="D186" i="17"/>
  <c r="D306" i="17"/>
  <c r="AK170" i="17"/>
  <c r="G333" i="17"/>
  <c r="AL309" i="17"/>
  <c r="K19" i="17"/>
  <c r="BA68" i="17"/>
  <c r="R231" i="17"/>
  <c r="E326" i="17"/>
  <c r="L268" i="17"/>
  <c r="AT330" i="17"/>
  <c r="T166" i="17"/>
  <c r="AD250" i="17"/>
  <c r="S291" i="17"/>
  <c r="Z293" i="17"/>
  <c r="AS174" i="17"/>
  <c r="AB326" i="17"/>
  <c r="AI328" i="17"/>
  <c r="AH239" i="17"/>
  <c r="AX86" i="17"/>
  <c r="M308" i="17"/>
  <c r="Z209" i="17"/>
  <c r="E84" i="17"/>
  <c r="G332" i="17"/>
  <c r="AU88" i="17"/>
  <c r="X330" i="17"/>
  <c r="AX136" i="17"/>
  <c r="AT158" i="17"/>
  <c r="AU215" i="17"/>
  <c r="AV334" i="17"/>
  <c r="AB334" i="17"/>
  <c r="Y309" i="17"/>
  <c r="E231" i="17"/>
  <c r="F331" i="17"/>
  <c r="AG188" i="17"/>
  <c r="X288" i="17"/>
  <c r="I321" i="17"/>
  <c r="L5" i="17"/>
  <c r="AF137" i="17"/>
  <c r="AN245" i="17"/>
  <c r="AF220" i="17"/>
  <c r="M176" i="17"/>
  <c r="AV330" i="17"/>
  <c r="P318" i="17"/>
  <c r="E257" i="17"/>
  <c r="U327" i="17"/>
  <c r="P267" i="17"/>
  <c r="AD265" i="17"/>
  <c r="I214" i="17"/>
  <c r="AU23" i="17"/>
  <c r="AL101" i="17"/>
  <c r="AW241" i="17"/>
  <c r="X92" i="17"/>
  <c r="H123" i="17"/>
  <c r="AF314" i="17"/>
  <c r="T332" i="17"/>
  <c r="R303" i="17"/>
  <c r="M294" i="17"/>
  <c r="AN34" i="17"/>
  <c r="J207" i="17"/>
  <c r="AY334" i="17"/>
  <c r="Y334" i="17"/>
  <c r="K330" i="17"/>
  <c r="AH320" i="17"/>
  <c r="U276" i="17"/>
  <c r="AO261" i="17"/>
  <c r="AS334" i="17"/>
  <c r="O326" i="17"/>
  <c r="H325" i="17"/>
  <c r="N323" i="17"/>
  <c r="AJ98" i="17"/>
  <c r="V39" i="17"/>
  <c r="Y254" i="17"/>
  <c r="AG78" i="17"/>
  <c r="AT220" i="17"/>
  <c r="P204" i="17"/>
  <c r="AJ334" i="17"/>
  <c r="AX301" i="17"/>
  <c r="W258" i="17"/>
  <c r="AY292" i="17"/>
  <c r="AT303" i="17"/>
  <c r="AE133" i="17"/>
  <c r="AI12" i="17"/>
  <c r="AD279" i="17"/>
  <c r="T333" i="17"/>
  <c r="AQ330" i="17"/>
  <c r="AE9" i="17"/>
  <c r="P281" i="17"/>
  <c r="AM53" i="17"/>
  <c r="AN65" i="17"/>
  <c r="Y321" i="17"/>
  <c r="AT309" i="17"/>
  <c r="AD59" i="17"/>
  <c r="AA318" i="17"/>
  <c r="W119" i="17"/>
  <c r="AW213" i="17"/>
  <c r="K35" i="17"/>
  <c r="AY310" i="17"/>
  <c r="AG333" i="17"/>
  <c r="AN314" i="17"/>
  <c r="V294" i="17"/>
  <c r="AG267" i="17"/>
  <c r="AB102" i="17"/>
  <c r="AC2" i="17"/>
  <c r="X314" i="17"/>
  <c r="AG285" i="17"/>
  <c r="AY32" i="17"/>
  <c r="X230" i="17"/>
  <c r="K179" i="17"/>
  <c r="AE27" i="17"/>
  <c r="V107" i="17"/>
  <c r="AP277" i="17"/>
  <c r="AN304" i="17"/>
  <c r="AO294" i="17"/>
  <c r="O51" i="17"/>
  <c r="AQ41" i="17"/>
  <c r="E327" i="17"/>
  <c r="AE88" i="17"/>
  <c r="AU186" i="17"/>
  <c r="AY322" i="17"/>
  <c r="AK249" i="17"/>
  <c r="AP56" i="17"/>
  <c r="AT185" i="17"/>
  <c r="W333" i="17"/>
  <c r="AW238" i="17"/>
  <c r="AI236" i="17"/>
  <c r="AZ324" i="17"/>
  <c r="M107" i="17"/>
  <c r="AS299" i="17"/>
  <c r="AT270" i="17"/>
  <c r="AI331" i="17"/>
  <c r="V261" i="17"/>
  <c r="AD107" i="17"/>
  <c r="R332" i="17"/>
  <c r="S329" i="17"/>
  <c r="AQ296" i="17"/>
  <c r="BA60" i="17"/>
  <c r="T271" i="17"/>
  <c r="H331" i="17"/>
  <c r="Y270" i="17"/>
  <c r="J334" i="17"/>
  <c r="G334" i="17"/>
  <c r="O334" i="17"/>
  <c r="H334" i="17"/>
  <c r="I334" i="17"/>
  <c r="Z265" i="17"/>
  <c r="AL191" i="17"/>
  <c r="D305" i="17"/>
  <c r="AS267" i="17"/>
  <c r="N222" i="17"/>
  <c r="N225" i="17"/>
  <c r="J230" i="17"/>
  <c r="AW321" i="17"/>
  <c r="D245" i="17"/>
  <c r="AL132" i="17"/>
  <c r="AI325" i="17"/>
  <c r="AH114" i="17"/>
  <c r="AB332" i="17"/>
  <c r="J328" i="17"/>
  <c r="AV282" i="17"/>
  <c r="S299" i="17"/>
  <c r="AN75" i="17"/>
  <c r="AE268" i="17"/>
  <c r="AH29" i="17"/>
  <c r="K309" i="17"/>
  <c r="I306" i="17"/>
  <c r="X272" i="17"/>
  <c r="AZ85" i="17"/>
  <c r="AP334" i="17"/>
  <c r="D334" i="17"/>
  <c r="AI309" i="17"/>
  <c r="AA293" i="17"/>
  <c r="AX204" i="17"/>
  <c r="M276" i="17"/>
  <c r="AO185" i="17"/>
  <c r="AP225" i="17"/>
  <c r="W275" i="17"/>
  <c r="AB316" i="17"/>
  <c r="AM334" i="17"/>
  <c r="F249" i="17"/>
  <c r="AB48" i="17"/>
  <c r="AN321" i="17"/>
  <c r="AC300" i="17"/>
  <c r="Z231" i="17"/>
  <c r="AM331" i="17"/>
  <c r="AA271" i="17"/>
  <c r="U317" i="17"/>
  <c r="I9" i="17"/>
  <c r="AE304" i="17"/>
  <c r="Q289" i="17"/>
  <c r="U319" i="17"/>
  <c r="X48" i="17"/>
  <c r="T303" i="17"/>
  <c r="X303" i="17"/>
  <c r="N334" i="17"/>
  <c r="AT126" i="17"/>
  <c r="Z257" i="17"/>
  <c r="AG320" i="17"/>
  <c r="AR328" i="17"/>
  <c r="L333" i="17"/>
  <c r="N246" i="17"/>
  <c r="AL215" i="17"/>
  <c r="V323" i="17"/>
  <c r="R275" i="17"/>
  <c r="X9" i="17"/>
  <c r="AW147" i="17"/>
  <c r="AR121" i="17"/>
  <c r="T315" i="17"/>
  <c r="AZ334" i="17"/>
  <c r="AR2" i="17"/>
  <c r="R302" i="17"/>
  <c r="F298" i="17"/>
  <c r="O287" i="17"/>
  <c r="R327" i="17"/>
  <c r="AO115" i="17"/>
  <c r="AL91" i="17"/>
  <c r="AJ325" i="17"/>
  <c r="AA91" i="17"/>
  <c r="AK333" i="17"/>
  <c r="AC13" i="17"/>
  <c r="AW334" i="17"/>
  <c r="M291" i="17"/>
  <c r="P2" i="17"/>
  <c r="M229" i="17"/>
  <c r="AE99" i="17"/>
  <c r="J298" i="17"/>
  <c r="H63" i="17"/>
  <c r="AN301" i="17"/>
  <c r="O333" i="17"/>
  <c r="S323" i="17"/>
  <c r="H274" i="17"/>
  <c r="AB169" i="17"/>
  <c r="V317" i="17"/>
  <c r="F70" i="17"/>
  <c r="P66" i="17"/>
  <c r="BA333" i="17"/>
  <c r="BA310" i="17"/>
  <c r="AE56" i="17"/>
  <c r="AS150" i="17"/>
  <c r="AL292" i="17"/>
  <c r="X215" i="17"/>
  <c r="AJ319" i="17"/>
  <c r="AG274" i="17"/>
  <c r="E163" i="17"/>
  <c r="AK240" i="17"/>
  <c r="D109" i="17"/>
  <c r="AW239" i="17"/>
  <c r="AL83" i="17"/>
  <c r="AV229" i="17"/>
  <c r="AO289" i="17"/>
  <c r="Z188" i="17"/>
  <c r="V175" i="17"/>
  <c r="U278" i="17"/>
  <c r="R283" i="17"/>
  <c r="AG85" i="17"/>
  <c r="AV254" i="17"/>
  <c r="AM311" i="17"/>
  <c r="AM114" i="17"/>
  <c r="Z74" i="17"/>
  <c r="S157" i="17"/>
  <c r="AN250" i="17"/>
  <c r="AC309" i="17"/>
  <c r="AC319" i="17"/>
  <c r="Z168" i="17"/>
  <c r="AP246" i="17"/>
  <c r="AK34" i="17"/>
  <c r="L74" i="17"/>
  <c r="AX113" i="17"/>
  <c r="AH272" i="17"/>
  <c r="M62" i="17"/>
  <c r="AX245" i="17"/>
  <c r="AK86" i="17"/>
  <c r="M26" i="17"/>
  <c r="AK277" i="17"/>
  <c r="AS196" i="17"/>
  <c r="AG329" i="17"/>
  <c r="AQ89" i="17"/>
  <c r="Y19" i="17"/>
  <c r="L148" i="17"/>
  <c r="AA105" i="17"/>
  <c r="AG223" i="17"/>
  <c r="AF196" i="17"/>
  <c r="AH309" i="17"/>
  <c r="L277" i="17"/>
  <c r="R334" i="17"/>
  <c r="X334" i="17"/>
  <c r="AQ334" i="17"/>
  <c r="AX334" i="17"/>
  <c r="AF334" i="17"/>
  <c r="AX143" i="17"/>
  <c r="O306" i="17"/>
  <c r="R278" i="17"/>
  <c r="W294" i="17"/>
  <c r="J308" i="17"/>
  <c r="N302" i="17"/>
  <c r="AL330" i="17"/>
  <c r="AR42" i="17"/>
  <c r="BA227" i="17"/>
  <c r="AL288" i="17"/>
  <c r="AT293" i="17"/>
  <c r="Q295" i="17"/>
  <c r="E316" i="17"/>
  <c r="AX325" i="17"/>
  <c r="Q309" i="17"/>
  <c r="AJ300" i="17"/>
  <c r="H297" i="17"/>
  <c r="F21" i="17"/>
  <c r="AY113" i="17"/>
  <c r="K261" i="17"/>
  <c r="Y45" i="17"/>
  <c r="X277" i="17"/>
  <c r="AV316" i="17"/>
  <c r="AB333" i="17"/>
  <c r="AR334" i="17"/>
  <c r="J278" i="17"/>
  <c r="AI329" i="17"/>
  <c r="AL245" i="17"/>
  <c r="M331" i="17"/>
  <c r="AW326" i="17"/>
  <c r="N224" i="17"/>
  <c r="N117" i="17"/>
  <c r="AG108" i="17"/>
  <c r="AA334" i="17"/>
  <c r="AT164" i="17"/>
  <c r="N235" i="17"/>
  <c r="AF329" i="17"/>
  <c r="AX188" i="17"/>
  <c r="AF169" i="17"/>
  <c r="AT202" i="17"/>
  <c r="AC311" i="17"/>
  <c r="T306" i="17"/>
  <c r="Z325" i="17"/>
  <c r="AG144" i="17"/>
  <c r="AE250" i="17"/>
  <c r="M323" i="17"/>
  <c r="V318" i="17"/>
  <c r="AY143" i="17"/>
  <c r="Y301" i="17"/>
  <c r="K334" i="17"/>
  <c r="D324" i="17"/>
  <c r="X26" i="17"/>
  <c r="N328" i="17"/>
  <c r="P258" i="17"/>
  <c r="AN271" i="17"/>
  <c r="O94" i="17"/>
  <c r="AM20" i="17"/>
  <c r="P246" i="17"/>
  <c r="N291" i="17"/>
  <c r="AS165" i="17"/>
  <c r="N170" i="17"/>
  <c r="T129" i="17"/>
  <c r="AY13" i="17"/>
  <c r="F334" i="17"/>
  <c r="AU307" i="17"/>
  <c r="Z332" i="17"/>
  <c r="P321" i="17"/>
  <c r="AE308" i="17"/>
  <c r="AW88" i="17"/>
  <c r="M332" i="17"/>
  <c r="AF92" i="17"/>
  <c r="AI28" i="17"/>
  <c r="BA219" i="17"/>
  <c r="AV269" i="17"/>
  <c r="D230" i="17"/>
  <c r="AI334" i="17"/>
  <c r="AU226" i="17"/>
  <c r="AZ20" i="17"/>
  <c r="P272" i="17"/>
  <c r="AP214" i="17"/>
  <c r="I56" i="17"/>
  <c r="V327" i="17"/>
  <c r="F275" i="17"/>
  <c r="G306" i="17"/>
  <c r="Q97" i="17"/>
  <c r="L160" i="17"/>
  <c r="H252" i="17"/>
  <c r="AH313" i="17"/>
  <c r="AM91" i="17"/>
  <c r="G327" i="17"/>
  <c r="BA248" i="17"/>
  <c r="S141" i="17"/>
  <c r="AD334" i="17"/>
  <c r="AU251" i="17"/>
  <c r="AC103" i="17"/>
  <c r="AO327" i="17"/>
  <c r="AY330" i="17"/>
  <c r="E304" i="17"/>
  <c r="S298" i="17"/>
  <c r="AW244" i="17"/>
  <c r="AS23" i="17"/>
  <c r="AH334" i="17"/>
  <c r="U67" i="17"/>
  <c r="P304" i="17"/>
  <c r="AT267" i="17"/>
  <c r="O315" i="17"/>
  <c r="AD235" i="17"/>
  <c r="AR304" i="17"/>
  <c r="AQ122" i="17"/>
  <c r="X198" i="17"/>
  <c r="U69" i="17"/>
  <c r="AL217" i="17"/>
  <c r="AU92" i="17"/>
  <c r="AI256" i="17"/>
  <c r="I130" i="17"/>
  <c r="BA233" i="17"/>
  <c r="F333" i="17"/>
  <c r="K318" i="17"/>
  <c r="M334" i="17"/>
  <c r="U257" i="17"/>
  <c r="AZ327" i="17"/>
  <c r="W105" i="17"/>
  <c r="AI249" i="17"/>
  <c r="R268" i="17"/>
  <c r="AP210" i="17"/>
  <c r="T110" i="17"/>
  <c r="AO314" i="17"/>
  <c r="AS239" i="17"/>
  <c r="AV325" i="17"/>
  <c r="AG113" i="17"/>
  <c r="S301" i="17"/>
  <c r="AS190" i="17"/>
  <c r="T329" i="17"/>
  <c r="AC298" i="17"/>
  <c r="H228" i="17"/>
  <c r="K299" i="17"/>
  <c r="AG82" i="17"/>
  <c r="AT137" i="17"/>
  <c r="X332" i="17"/>
  <c r="AF231" i="17"/>
  <c r="X266" i="17"/>
  <c r="J158" i="17"/>
  <c r="D87" i="17"/>
  <c r="AG334" i="17"/>
  <c r="AW193" i="17"/>
  <c r="AD119" i="17"/>
  <c r="AB301" i="17"/>
  <c r="N261" i="17"/>
  <c r="V312" i="17"/>
  <c r="S164" i="17"/>
  <c r="AP324" i="17"/>
  <c r="AO209" i="17"/>
  <c r="I297" i="17"/>
  <c r="AV331" i="17"/>
  <c r="N184" i="17"/>
  <c r="O317" i="17"/>
  <c r="AK331" i="17"/>
  <c r="O163" i="17"/>
  <c r="S280" i="17"/>
  <c r="AK48" i="17"/>
  <c r="Z276" i="17"/>
  <c r="I332" i="17"/>
  <c r="AG218" i="17"/>
  <c r="G79" i="17"/>
  <c r="AN44" i="17"/>
  <c r="T230" i="17"/>
  <c r="AF283" i="17"/>
  <c r="AX26" i="17"/>
  <c r="I266" i="17"/>
  <c r="AL324" i="17"/>
  <c r="AR31" i="17"/>
  <c r="D265" i="17"/>
  <c r="AF79" i="17"/>
  <c r="I71" i="17"/>
  <c r="AC40" i="17"/>
  <c r="AE315" i="17"/>
  <c r="AO7" i="17"/>
  <c r="Y285" i="17"/>
  <c r="AK322" i="17"/>
  <c r="AF280" i="17"/>
  <c r="D74" i="17"/>
  <c r="D239" i="17"/>
  <c r="L163" i="17"/>
  <c r="H215" i="17"/>
  <c r="AE190" i="17"/>
  <c r="AZ265" i="17"/>
  <c r="S50" i="17"/>
  <c r="AR307" i="17"/>
  <c r="AG168" i="17"/>
  <c r="AY325" i="17"/>
  <c r="AV185" i="17"/>
  <c r="E69" i="17"/>
  <c r="AU332" i="17"/>
  <c r="AM211" i="17"/>
  <c r="AB290" i="17"/>
  <c r="AQ333" i="17"/>
  <c r="AS171" i="17"/>
  <c r="Z46" i="17"/>
  <c r="U112" i="17"/>
  <c r="AV303" i="17"/>
  <c r="W154" i="17"/>
  <c r="AY105" i="17"/>
  <c r="I195" i="17"/>
  <c r="AZ277" i="17"/>
  <c r="BA53" i="17"/>
  <c r="AU288" i="17"/>
  <c r="O263" i="17"/>
  <c r="AK334" i="17"/>
  <c r="AU334" i="17"/>
  <c r="E334" i="17"/>
  <c r="U334" i="17"/>
  <c r="AO320" i="17"/>
  <c r="Q159" i="17"/>
  <c r="F321" i="17"/>
  <c r="S319" i="17"/>
  <c r="AV251" i="17"/>
  <c r="AK311" i="17"/>
  <c r="V332" i="17"/>
  <c r="AW273" i="17"/>
  <c r="AM72" i="17"/>
  <c r="H254" i="17"/>
  <c r="W68" i="17"/>
  <c r="T278" i="17"/>
  <c r="AI313" i="17"/>
  <c r="AW330" i="17"/>
  <c r="P312" i="17"/>
  <c r="AP156" i="17"/>
  <c r="AL25" i="17"/>
  <c r="AN325" i="17"/>
  <c r="AT60" i="17"/>
  <c r="F302" i="17"/>
  <c r="AA27" i="17"/>
  <c r="AD91" i="17"/>
  <c r="AX222" i="17"/>
  <c r="AO144" i="17"/>
  <c r="AH327" i="17"/>
  <c r="L324" i="17"/>
  <c r="BA174" i="17"/>
  <c r="AP293" i="17"/>
  <c r="Y198" i="17"/>
  <c r="AL235" i="17"/>
  <c r="AJ21" i="17"/>
  <c r="J24" i="17"/>
  <c r="D327" i="17"/>
  <c r="AG182" i="17"/>
  <c r="N327" i="17"/>
  <c r="AA243" i="17"/>
  <c r="Y199" i="17"/>
  <c r="AX15" i="17"/>
  <c r="R59" i="17"/>
  <c r="P334" i="17"/>
  <c r="AC315" i="17"/>
  <c r="AV296" i="17"/>
  <c r="Z132" i="17"/>
  <c r="T330" i="17"/>
  <c r="P263" i="17"/>
  <c r="AK36" i="17"/>
  <c r="AJ6" i="17"/>
  <c r="AA111" i="17"/>
  <c r="I78" i="17"/>
  <c r="AS147" i="17"/>
  <c r="P80" i="17"/>
  <c r="AM79" i="17"/>
  <c r="D308" i="17"/>
  <c r="O247" i="17"/>
  <c r="AT196" i="17"/>
  <c r="AG313" i="17"/>
  <c r="AA245" i="17"/>
  <c r="L334" i="17"/>
  <c r="AW145" i="17"/>
  <c r="W213" i="17"/>
  <c r="Y206" i="17"/>
  <c r="AQ145" i="17"/>
  <c r="I253" i="17"/>
  <c r="T323" i="17"/>
  <c r="AJ304" i="17"/>
  <c r="BA268" i="17"/>
  <c r="AP278" i="17"/>
  <c r="W10" i="17"/>
  <c r="J305" i="17"/>
  <c r="N211" i="17"/>
  <c r="D259" i="17"/>
  <c r="M279" i="17"/>
  <c r="K302" i="17"/>
  <c r="V42" i="17"/>
  <c r="AZ248" i="17"/>
  <c r="I65" i="17"/>
  <c r="AP316" i="17"/>
  <c r="V234" i="17"/>
  <c r="AJ323" i="17"/>
  <c r="F33" i="17"/>
  <c r="AB259" i="17"/>
  <c r="AM112" i="17"/>
  <c r="O214" i="17"/>
  <c r="D335" i="17"/>
  <c r="AV335" i="17"/>
  <c r="AO335" i="17"/>
  <c r="AG335" i="17"/>
  <c r="AZ335" i="17"/>
  <c r="M335" i="17"/>
  <c r="AE335" i="17"/>
  <c r="AR335" i="17"/>
  <c r="J335" i="17"/>
  <c r="BA335" i="17"/>
  <c r="AN335" i="17"/>
  <c r="AS335" i="17"/>
  <c r="W335" i="17"/>
  <c r="V335" i="17"/>
  <c r="Z335" i="17"/>
  <c r="U335" i="17"/>
  <c r="AT335" i="17"/>
  <c r="F335" i="17"/>
  <c r="AA335" i="17"/>
  <c r="AM335" i="17"/>
  <c r="E335" i="17"/>
  <c r="Q335" i="17"/>
  <c r="G335" i="17"/>
  <c r="AC335" i="17"/>
  <c r="H335" i="17"/>
  <c r="AQ335" i="17"/>
  <c r="N335" i="17"/>
  <c r="AX335" i="17"/>
  <c r="AJ335" i="17"/>
  <c r="I335" i="17"/>
  <c r="K335" i="17"/>
  <c r="AF335" i="17"/>
  <c r="AH335" i="17"/>
  <c r="P335" i="17"/>
  <c r="X335" i="17"/>
  <c r="AU335" i="17"/>
  <c r="AK335" i="17"/>
  <c r="O335" i="17"/>
  <c r="AI335" i="17"/>
  <c r="AL335" i="17"/>
  <c r="AW335" i="17"/>
  <c r="AP335" i="17"/>
  <c r="AB335" i="17"/>
  <c r="S335" i="17"/>
  <c r="T335" i="17"/>
  <c r="AD335" i="17"/>
  <c r="R335" i="17"/>
  <c r="Y335" i="17"/>
  <c r="AY335" i="17"/>
  <c r="L335" i="17"/>
  <c r="C337" i="17" l="1"/>
  <c r="AT336" i="17"/>
  <c r="AE336" i="17"/>
  <c r="P336" i="17"/>
  <c r="AQ336" i="17"/>
  <c r="X336" i="17"/>
  <c r="BA336" i="17"/>
  <c r="L336" i="17"/>
  <c r="AN336" i="17"/>
  <c r="I336" i="17"/>
  <c r="K336" i="17"/>
  <c r="T336" i="17"/>
  <c r="AA336" i="17"/>
  <c r="O336" i="17"/>
  <c r="AX336" i="17"/>
  <c r="M336" i="17"/>
  <c r="AI336" i="17"/>
  <c r="AK336" i="17"/>
  <c r="E336" i="17"/>
  <c r="G336" i="17"/>
  <c r="AV336" i="17"/>
  <c r="AG336" i="17"/>
  <c r="AF336" i="17"/>
  <c r="AY336" i="17"/>
  <c r="Z336" i="17"/>
  <c r="N336" i="17"/>
  <c r="AO336" i="17"/>
  <c r="AR336" i="17"/>
  <c r="AZ336" i="17"/>
  <c r="AD336" i="17"/>
  <c r="AL336" i="17"/>
  <c r="Y336" i="17"/>
  <c r="J336" i="17"/>
  <c r="Q336" i="17"/>
  <c r="U336" i="17"/>
  <c r="R336" i="17"/>
  <c r="AU336" i="17"/>
  <c r="AJ336" i="17"/>
  <c r="F336" i="17"/>
  <c r="AC336" i="17"/>
  <c r="AW336" i="17"/>
  <c r="AP336" i="17"/>
  <c r="AH336" i="17"/>
  <c r="AB336" i="17"/>
  <c r="D336" i="17"/>
  <c r="H336" i="17"/>
  <c r="AM336" i="17"/>
  <c r="V336" i="17"/>
  <c r="AS336" i="17"/>
  <c r="W336" i="17"/>
  <c r="S336" i="17"/>
  <c r="C338" i="17" l="1"/>
  <c r="AP337" i="17"/>
  <c r="AU337" i="17"/>
  <c r="I337" i="17"/>
  <c r="AI337" i="17"/>
  <c r="AX337" i="17"/>
  <c r="L337" i="17"/>
  <c r="AK337" i="17"/>
  <c r="BA337" i="17"/>
  <c r="M337" i="17"/>
  <c r="J337" i="17"/>
  <c r="H337" i="17"/>
  <c r="U337" i="17"/>
  <c r="AS337" i="17"/>
  <c r="AD337" i="17"/>
  <c r="Q337" i="17"/>
  <c r="AV337" i="17"/>
  <c r="E337" i="17"/>
  <c r="AA337" i="17"/>
  <c r="T337" i="17"/>
  <c r="D337" i="17"/>
  <c r="G337" i="17"/>
  <c r="AB337" i="17"/>
  <c r="AN337" i="17"/>
  <c r="N337" i="17"/>
  <c r="AZ337" i="17"/>
  <c r="AO337" i="17"/>
  <c r="AF337" i="17"/>
  <c r="AL337" i="17"/>
  <c r="R337" i="17"/>
  <c r="P337" i="17"/>
  <c r="AJ337" i="17"/>
  <c r="AE337" i="17"/>
  <c r="AQ337" i="17"/>
  <c r="AT337" i="17"/>
  <c r="V337" i="17"/>
  <c r="O337" i="17"/>
  <c r="AY337" i="17"/>
  <c r="Z337" i="17"/>
  <c r="AG337" i="17"/>
  <c r="AR337" i="17"/>
  <c r="S337" i="17"/>
  <c r="W337" i="17"/>
  <c r="AW337" i="17"/>
  <c r="F337" i="17"/>
  <c r="AC337" i="17"/>
  <c r="AM337" i="17"/>
  <c r="Y337" i="17"/>
  <c r="AH337" i="17"/>
  <c r="K337" i="17"/>
  <c r="X337" i="17"/>
  <c r="C339" i="17" l="1"/>
  <c r="AM338" i="17"/>
  <c r="M338" i="17"/>
  <c r="Q338" i="17"/>
  <c r="L338" i="17"/>
  <c r="O338" i="17"/>
  <c r="AR338" i="17"/>
  <c r="W338" i="17"/>
  <c r="AX338" i="17"/>
  <c r="D338" i="17"/>
  <c r="AI338" i="17"/>
  <c r="AD338" i="17"/>
  <c r="AV338" i="17"/>
  <c r="AF338" i="17"/>
  <c r="AW338" i="17"/>
  <c r="AH338" i="17"/>
  <c r="AC338" i="17"/>
  <c r="AY338" i="17"/>
  <c r="AZ338" i="17"/>
  <c r="AG338" i="17"/>
  <c r="AU338" i="17"/>
  <c r="E338" i="17"/>
  <c r="R338" i="17"/>
  <c r="S338" i="17"/>
  <c r="H338" i="17"/>
  <c r="V338" i="17"/>
  <c r="I338" i="17"/>
  <c r="AE338" i="17"/>
  <c r="G338" i="17"/>
  <c r="BA338" i="17"/>
  <c r="AL338" i="17"/>
  <c r="K338" i="17"/>
  <c r="AK338" i="17"/>
  <c r="AS338" i="17"/>
  <c r="Y338" i="17"/>
  <c r="AO338" i="17"/>
  <c r="X338" i="17"/>
  <c r="AQ338" i="17"/>
  <c r="AB338" i="17"/>
  <c r="AA338" i="17"/>
  <c r="F338" i="17"/>
  <c r="T338" i="17"/>
  <c r="Z338" i="17"/>
  <c r="AT338" i="17"/>
  <c r="J338" i="17"/>
  <c r="AP338" i="17"/>
  <c r="AN338" i="17"/>
  <c r="U338" i="17"/>
  <c r="N338" i="17"/>
  <c r="P338" i="17"/>
  <c r="AJ338" i="17"/>
  <c r="C340" i="17" l="1"/>
  <c r="AG339" i="17"/>
  <c r="AJ339" i="17"/>
  <c r="AK339" i="17"/>
  <c r="H339" i="17"/>
  <c r="M339" i="17"/>
  <c r="L339" i="17"/>
  <c r="AA339" i="17"/>
  <c r="J339" i="17"/>
  <c r="I339" i="17"/>
  <c r="X339" i="17"/>
  <c r="AI339" i="17"/>
  <c r="AR339" i="17"/>
  <c r="AW339" i="17"/>
  <c r="AP339" i="17"/>
  <c r="AD339" i="17"/>
  <c r="Q339" i="17"/>
  <c r="AO339" i="17"/>
  <c r="E339" i="17"/>
  <c r="AL339" i="17"/>
  <c r="O339" i="17"/>
  <c r="AY339" i="17"/>
  <c r="AC339" i="17"/>
  <c r="Z339" i="17"/>
  <c r="K339" i="17"/>
  <c r="V339" i="17"/>
  <c r="AF339" i="17"/>
  <c r="AH339" i="17"/>
  <c r="F339" i="17"/>
  <c r="S339" i="17"/>
  <c r="G339" i="17"/>
  <c r="Y339" i="17"/>
  <c r="AE339" i="17"/>
  <c r="AU339" i="17"/>
  <c r="N339" i="17"/>
  <c r="P339" i="17"/>
  <c r="AN339" i="17"/>
  <c r="BA339" i="17"/>
  <c r="R339" i="17"/>
  <c r="AS339" i="17"/>
  <c r="AZ339" i="17"/>
  <c r="D339" i="17"/>
  <c r="AT339" i="17"/>
  <c r="T339" i="17"/>
  <c r="W339" i="17"/>
  <c r="AB339" i="17"/>
  <c r="AV339" i="17"/>
  <c r="AM339" i="17"/>
  <c r="AX339" i="17"/>
  <c r="U339" i="17"/>
  <c r="AQ339" i="17"/>
  <c r="C341" i="17" l="1"/>
  <c r="T340" i="17"/>
  <c r="AQ340" i="17"/>
  <c r="AZ340" i="17"/>
  <c r="AN340" i="17"/>
  <c r="AW340" i="17"/>
  <c r="AG340" i="17"/>
  <c r="AJ340" i="17"/>
  <c r="AP340" i="17"/>
  <c r="K340" i="17"/>
  <c r="U340" i="17"/>
  <c r="I340" i="17"/>
  <c r="E340" i="17"/>
  <c r="AC340" i="17"/>
  <c r="S340" i="17"/>
  <c r="O340" i="17"/>
  <c r="H340" i="17"/>
  <c r="Y340" i="17"/>
  <c r="AV340" i="17"/>
  <c r="F340" i="17"/>
  <c r="AF340" i="17"/>
  <c r="X340" i="17"/>
  <c r="BA340" i="17"/>
  <c r="Z340" i="17"/>
  <c r="AL340" i="17"/>
  <c r="AS340" i="17"/>
  <c r="D340" i="17"/>
  <c r="AD340" i="17"/>
  <c r="AU340" i="17"/>
  <c r="AT340" i="17"/>
  <c r="J340" i="17"/>
  <c r="V340" i="17"/>
  <c r="Q340" i="17"/>
  <c r="M340" i="17"/>
  <c r="L340" i="17"/>
  <c r="N340" i="17"/>
  <c r="AA340" i="17"/>
  <c r="AK340" i="17"/>
  <c r="AO340" i="17"/>
  <c r="AR340" i="17"/>
  <c r="AB340" i="17"/>
  <c r="AY340" i="17"/>
  <c r="AI340" i="17"/>
  <c r="AE340" i="17"/>
  <c r="G340" i="17"/>
  <c r="AH340" i="17"/>
  <c r="AX340" i="17"/>
  <c r="R340" i="17"/>
  <c r="P340" i="17"/>
  <c r="W340" i="17"/>
  <c r="AM340" i="17"/>
  <c r="C342" i="17" l="1"/>
  <c r="AT341" i="17"/>
  <c r="X341" i="17"/>
  <c r="AR341" i="17"/>
  <c r="Z341" i="17"/>
  <c r="R341" i="17"/>
  <c r="AK341" i="17"/>
  <c r="AS341" i="17"/>
  <c r="H341" i="17"/>
  <c r="P341" i="17"/>
  <c r="AY341" i="17"/>
  <c r="Y341" i="17"/>
  <c r="I341" i="17"/>
  <c r="O341" i="17"/>
  <c r="AD341" i="17"/>
  <c r="AJ341" i="17"/>
  <c r="V341" i="17"/>
  <c r="W341" i="17"/>
  <c r="AL341" i="17"/>
  <c r="K341" i="17"/>
  <c r="AC341" i="17"/>
  <c r="AX341" i="17"/>
  <c r="U341" i="17"/>
  <c r="S341" i="17"/>
  <c r="AO341" i="17"/>
  <c r="Q341" i="17"/>
  <c r="AN341" i="17"/>
  <c r="AH341" i="17"/>
  <c r="AP341" i="17"/>
  <c r="AE341" i="17"/>
  <c r="N341" i="17"/>
  <c r="AV341" i="17"/>
  <c r="D341" i="17"/>
  <c r="M341" i="17"/>
  <c r="AA341" i="17"/>
  <c r="AM341" i="17"/>
  <c r="E341" i="17"/>
  <c r="AF341" i="17"/>
  <c r="AI341" i="17"/>
  <c r="AZ341" i="17"/>
  <c r="T341" i="17"/>
  <c r="F341" i="17"/>
  <c r="AW341" i="17"/>
  <c r="AG341" i="17"/>
  <c r="AB341" i="17"/>
  <c r="G341" i="17"/>
  <c r="AU341" i="17"/>
  <c r="J341" i="17"/>
  <c r="L341" i="17"/>
  <c r="AQ341" i="17"/>
  <c r="BA341" i="17"/>
  <c r="C343" i="17" l="1"/>
  <c r="Z342" i="17"/>
  <c r="AX342" i="17"/>
  <c r="R342" i="17"/>
  <c r="AE342" i="17"/>
  <c r="G342" i="17"/>
  <c r="Q342" i="17"/>
  <c r="O342" i="17"/>
  <c r="N342" i="17"/>
  <c r="AT342" i="17"/>
  <c r="H342" i="17"/>
  <c r="K342" i="17"/>
  <c r="AZ342" i="17"/>
  <c r="BA342" i="17"/>
  <c r="L342" i="17"/>
  <c r="S342" i="17"/>
  <c r="AK342" i="17"/>
  <c r="V342" i="17"/>
  <c r="AL342" i="17"/>
  <c r="E342" i="17"/>
  <c r="AF342" i="17"/>
  <c r="AQ342" i="17"/>
  <c r="AG342" i="17"/>
  <c r="AP342" i="17"/>
  <c r="AU342" i="17"/>
  <c r="AJ342" i="17"/>
  <c r="AH342" i="17"/>
  <c r="AS342" i="17"/>
  <c r="AI342" i="17"/>
  <c r="P342" i="17"/>
  <c r="Y342" i="17"/>
  <c r="AC342" i="17"/>
  <c r="AB342" i="17"/>
  <c r="W342" i="17"/>
  <c r="D342" i="17"/>
  <c r="AV342" i="17"/>
  <c r="F342" i="17"/>
  <c r="AA342" i="17"/>
  <c r="J342" i="17"/>
  <c r="U342" i="17"/>
  <c r="AW342" i="17"/>
  <c r="AN342" i="17"/>
  <c r="AR342" i="17"/>
  <c r="I342" i="17"/>
  <c r="X342" i="17"/>
  <c r="AM342" i="17"/>
  <c r="AO342" i="17"/>
  <c r="AD342" i="17"/>
  <c r="AY342" i="17"/>
  <c r="T342" i="17"/>
  <c r="M342" i="17"/>
  <c r="C344" i="17" l="1"/>
  <c r="H343" i="17"/>
  <c r="AL343" i="17"/>
  <c r="AI343" i="17"/>
  <c r="W343" i="17"/>
  <c r="AM343" i="17"/>
  <c r="D343" i="17"/>
  <c r="F343" i="17"/>
  <c r="E343" i="17"/>
  <c r="R343" i="17"/>
  <c r="J343" i="17"/>
  <c r="U343" i="17"/>
  <c r="AF343" i="17"/>
  <c r="AV343" i="17"/>
  <c r="X343" i="17"/>
  <c r="T343" i="17"/>
  <c r="V343" i="17"/>
  <c r="K343" i="17"/>
  <c r="S343" i="17"/>
  <c r="M343" i="17"/>
  <c r="BA343" i="17"/>
  <c r="AQ343" i="17"/>
  <c r="AG343" i="17"/>
  <c r="I343" i="17"/>
  <c r="AO343" i="17"/>
  <c r="O343" i="17"/>
  <c r="AZ343" i="17"/>
  <c r="Z343" i="17"/>
  <c r="AC343" i="17"/>
  <c r="AU343" i="17"/>
  <c r="AK343" i="17"/>
  <c r="AY343" i="17"/>
  <c r="AW343" i="17"/>
  <c r="AP343" i="17"/>
  <c r="AJ343" i="17"/>
  <c r="AD343" i="17"/>
  <c r="AE343" i="17"/>
  <c r="G343" i="17"/>
  <c r="AH343" i="17"/>
  <c r="AB343" i="17"/>
  <c r="AN343" i="17"/>
  <c r="Y343" i="17"/>
  <c r="Q343" i="17"/>
  <c r="AT343" i="17"/>
  <c r="AS343" i="17"/>
  <c r="N343" i="17"/>
  <c r="AA343" i="17"/>
  <c r="AR343" i="17"/>
  <c r="AX343" i="17"/>
  <c r="L343" i="17"/>
  <c r="P343" i="17"/>
  <c r="C345" i="17" l="1"/>
  <c r="AF344" i="17"/>
  <c r="AH344" i="17"/>
  <c r="AM344" i="17"/>
  <c r="G344" i="17"/>
  <c r="V344" i="17"/>
  <c r="AB344" i="17"/>
  <c r="AK344" i="17"/>
  <c r="AT344" i="17"/>
  <c r="AN344" i="17"/>
  <c r="AQ344" i="17"/>
  <c r="F344" i="17"/>
  <c r="U344" i="17"/>
  <c r="AC344" i="17"/>
  <c r="O344" i="17"/>
  <c r="H344" i="17"/>
  <c r="AV344" i="17"/>
  <c r="AY344" i="17"/>
  <c r="AO344" i="17"/>
  <c r="N344" i="17"/>
  <c r="K344" i="17"/>
  <c r="AG344" i="17"/>
  <c r="L344" i="17"/>
  <c r="AD344" i="17"/>
  <c r="AJ344" i="17"/>
  <c r="X344" i="17"/>
  <c r="BA344" i="17"/>
  <c r="AR344" i="17"/>
  <c r="J344" i="17"/>
  <c r="D344" i="17"/>
  <c r="AS344" i="17"/>
  <c r="AP344" i="17"/>
  <c r="AL344" i="17"/>
  <c r="AZ344" i="17"/>
  <c r="R344" i="17"/>
  <c r="AE344" i="17"/>
  <c r="Q344" i="17"/>
  <c r="Z344" i="17"/>
  <c r="Y344" i="17"/>
  <c r="M344" i="17"/>
  <c r="P344" i="17"/>
  <c r="AW344" i="17"/>
  <c r="AU344" i="17"/>
  <c r="S344" i="17"/>
  <c r="AX344" i="17"/>
  <c r="I344" i="17"/>
  <c r="W344" i="17"/>
  <c r="E344" i="17"/>
  <c r="T344" i="17"/>
  <c r="AA344" i="17"/>
  <c r="AI344" i="17"/>
  <c r="C346" i="17" l="1"/>
  <c r="J345" i="17"/>
  <c r="V345" i="17"/>
  <c r="AT345" i="17"/>
  <c r="AO345" i="17"/>
  <c r="BA345" i="17"/>
  <c r="AD345" i="17"/>
  <c r="AY345" i="17"/>
  <c r="AB345" i="17"/>
  <c r="AE345" i="17"/>
  <c r="N345" i="17"/>
  <c r="G345" i="17"/>
  <c r="AA345" i="17"/>
  <c r="P345" i="17"/>
  <c r="AJ345" i="17"/>
  <c r="F345" i="17"/>
  <c r="S345" i="17"/>
  <c r="X345" i="17"/>
  <c r="Z345" i="17"/>
  <c r="O345" i="17"/>
  <c r="U345" i="17"/>
  <c r="W345" i="17"/>
  <c r="Y345" i="17"/>
  <c r="AP345" i="17"/>
  <c r="R345" i="17"/>
  <c r="AV345" i="17"/>
  <c r="AS345" i="17"/>
  <c r="AI345" i="17"/>
  <c r="I345" i="17"/>
  <c r="AF345" i="17"/>
  <c r="L345" i="17"/>
  <c r="AN345" i="17"/>
  <c r="K345" i="17"/>
  <c r="E345" i="17"/>
  <c r="AU345" i="17"/>
  <c r="D345" i="17"/>
  <c r="AR345" i="17"/>
  <c r="H345" i="17"/>
  <c r="AC345" i="17"/>
  <c r="AK345" i="17"/>
  <c r="AQ345" i="17"/>
  <c r="AM345" i="17"/>
  <c r="AG345" i="17"/>
  <c r="M345" i="17"/>
  <c r="AZ345" i="17"/>
  <c r="AX345" i="17"/>
  <c r="AW345" i="17"/>
  <c r="Q345" i="17"/>
  <c r="AL345" i="17"/>
  <c r="AH345" i="17"/>
  <c r="T345" i="17"/>
  <c r="C347" i="17" l="1"/>
  <c r="AJ346" i="17"/>
  <c r="W346" i="17"/>
  <c r="AD346" i="17"/>
  <c r="Z346" i="17"/>
  <c r="AC346" i="17"/>
  <c r="AT346" i="17"/>
  <c r="J346" i="17"/>
  <c r="AO346" i="17"/>
  <c r="AI346" i="17"/>
  <c r="H346" i="17"/>
  <c r="O346" i="17"/>
  <c r="G346" i="17"/>
  <c r="AM346" i="17"/>
  <c r="Q346" i="17"/>
  <c r="I346" i="17"/>
  <c r="AV346" i="17"/>
  <c r="V346" i="17"/>
  <c r="T346" i="17"/>
  <c r="AG346" i="17"/>
  <c r="M346" i="17"/>
  <c r="AF346" i="17"/>
  <c r="AS346" i="17"/>
  <c r="AZ346" i="17"/>
  <c r="AW346" i="17"/>
  <c r="U346" i="17"/>
  <c r="F346" i="17"/>
  <c r="BA346" i="17"/>
  <c r="AR346" i="17"/>
  <c r="K346" i="17"/>
  <c r="AL346" i="17"/>
  <c r="AB346" i="17"/>
  <c r="S346" i="17"/>
  <c r="Y346" i="17"/>
  <c r="AX346" i="17"/>
  <c r="AY346" i="17"/>
  <c r="AQ346" i="17"/>
  <c r="AU346" i="17"/>
  <c r="L346" i="17"/>
  <c r="AK346" i="17"/>
  <c r="AP346" i="17"/>
  <c r="AE346" i="17"/>
  <c r="P346" i="17"/>
  <c r="E346" i="17"/>
  <c r="R346" i="17"/>
  <c r="AA346" i="17"/>
  <c r="D346" i="17"/>
  <c r="X346" i="17"/>
  <c r="AN346" i="17"/>
  <c r="N346" i="17"/>
  <c r="AH346" i="17"/>
  <c r="C348" i="17" l="1"/>
  <c r="S347" i="17"/>
  <c r="P347" i="17"/>
  <c r="AG347" i="17"/>
  <c r="AM347" i="17"/>
  <c r="AX347" i="17"/>
  <c r="AH347" i="17"/>
  <c r="AY347" i="17"/>
  <c r="AD347" i="17"/>
  <c r="AF347" i="17"/>
  <c r="R347" i="17"/>
  <c r="U347" i="17"/>
  <c r="I347" i="17"/>
  <c r="T347" i="17"/>
  <c r="J347" i="17"/>
  <c r="F347" i="17"/>
  <c r="BA347" i="17"/>
  <c r="G347" i="17"/>
  <c r="AC347" i="17"/>
  <c r="AV347" i="17"/>
  <c r="N347" i="17"/>
  <c r="AR347" i="17"/>
  <c r="AT347" i="17"/>
  <c r="Q347" i="17"/>
  <c r="H347" i="17"/>
  <c r="O347" i="17"/>
  <c r="AQ347" i="17"/>
  <c r="K347" i="17"/>
  <c r="AJ347" i="17"/>
  <c r="AO347" i="17"/>
  <c r="AE347" i="17"/>
  <c r="AK347" i="17"/>
  <c r="AA347" i="17"/>
  <c r="AL347" i="17"/>
  <c r="V347" i="17"/>
  <c r="Z347" i="17"/>
  <c r="AS347" i="17"/>
  <c r="W347" i="17"/>
  <c r="L347" i="17"/>
  <c r="AI347" i="17"/>
  <c r="AU347" i="17"/>
  <c r="D347" i="17"/>
  <c r="M347" i="17"/>
  <c r="AB347" i="17"/>
  <c r="AW347" i="17"/>
  <c r="AN347" i="17"/>
  <c r="X347" i="17"/>
  <c r="E347" i="17"/>
  <c r="AZ347" i="17"/>
  <c r="AP347" i="17"/>
  <c r="Y347" i="17"/>
  <c r="C349" i="17" l="1"/>
  <c r="AD348" i="17"/>
  <c r="BA348" i="17"/>
  <c r="AZ348" i="17"/>
  <c r="AS348" i="17"/>
  <c r="AA348" i="17"/>
  <c r="D348" i="17"/>
  <c r="W348" i="17"/>
  <c r="AT348" i="17"/>
  <c r="Y348" i="17"/>
  <c r="AJ348" i="17"/>
  <c r="T348" i="17"/>
  <c r="AN348" i="17"/>
  <c r="Z348" i="17"/>
  <c r="Q348" i="17"/>
  <c r="L348" i="17"/>
  <c r="I348" i="17"/>
  <c r="AF348" i="17"/>
  <c r="P348" i="17"/>
  <c r="M348" i="17"/>
  <c r="AE348" i="17"/>
  <c r="R348" i="17"/>
  <c r="AC348" i="17"/>
  <c r="AY348" i="17"/>
  <c r="AX348" i="17"/>
  <c r="AU348" i="17"/>
  <c r="G348" i="17"/>
  <c r="N348" i="17"/>
  <c r="S348" i="17"/>
  <c r="AH348" i="17"/>
  <c r="AR348" i="17"/>
  <c r="X348" i="17"/>
  <c r="K348" i="17"/>
  <c r="J348" i="17"/>
  <c r="AW348" i="17"/>
  <c r="AK348" i="17"/>
  <c r="V348" i="17"/>
  <c r="AG348" i="17"/>
  <c r="AL348" i="17"/>
  <c r="AI348" i="17"/>
  <c r="AO348" i="17"/>
  <c r="O348" i="17"/>
  <c r="E348" i="17"/>
  <c r="F348" i="17"/>
  <c r="AQ348" i="17"/>
  <c r="AP348" i="17"/>
  <c r="AB348" i="17"/>
  <c r="AV348" i="17"/>
  <c r="H348" i="17"/>
  <c r="AM348" i="17"/>
  <c r="U348" i="17"/>
  <c r="C350" i="17" l="1"/>
  <c r="AZ349" i="17"/>
  <c r="AQ349" i="17"/>
  <c r="AB349" i="17"/>
  <c r="AT349" i="17"/>
  <c r="G349" i="17"/>
  <c r="AO349" i="17"/>
  <c r="Z349" i="17"/>
  <c r="AP349" i="17"/>
  <c r="M349" i="17"/>
  <c r="X349" i="17"/>
  <c r="P349" i="17"/>
  <c r="AS349" i="17"/>
  <c r="AL349" i="17"/>
  <c r="E349" i="17"/>
  <c r="H349" i="17"/>
  <c r="D349" i="17"/>
  <c r="AW349" i="17"/>
  <c r="N349" i="17"/>
  <c r="L349" i="17"/>
  <c r="BA349" i="17"/>
  <c r="AV349" i="17"/>
  <c r="I349" i="17"/>
  <c r="Q349" i="17"/>
  <c r="AJ349" i="17"/>
  <c r="AN349" i="17"/>
  <c r="J349" i="17"/>
  <c r="S349" i="17"/>
  <c r="AE349" i="17"/>
  <c r="AI349" i="17"/>
  <c r="F349" i="17"/>
  <c r="AD349" i="17"/>
  <c r="AC349" i="17"/>
  <c r="Y349" i="17"/>
  <c r="R349" i="17"/>
  <c r="AU349" i="17"/>
  <c r="AH349" i="17"/>
  <c r="AY349" i="17"/>
  <c r="AG349" i="17"/>
  <c r="AR349" i="17"/>
  <c r="T349" i="17"/>
  <c r="W349" i="17"/>
  <c r="V349" i="17"/>
  <c r="AX349" i="17"/>
  <c r="K349" i="17"/>
  <c r="O349" i="17"/>
  <c r="AA349" i="17"/>
  <c r="U349" i="17"/>
  <c r="AF349" i="17"/>
  <c r="AK349" i="17"/>
  <c r="AM349" i="17"/>
  <c r="C351" i="17" l="1"/>
  <c r="P350" i="17"/>
  <c r="X350" i="17"/>
  <c r="AW350" i="17"/>
  <c r="M350" i="17"/>
  <c r="AA350" i="17"/>
  <c r="AE350" i="17"/>
  <c r="O350" i="17"/>
  <c r="U350" i="17"/>
  <c r="AQ350" i="17"/>
  <c r="AX350" i="17"/>
  <c r="AR350" i="17"/>
  <c r="S350" i="17"/>
  <c r="V350" i="17"/>
  <c r="AL350" i="17"/>
  <c r="G350" i="17"/>
  <c r="AH350" i="17"/>
  <c r="E350" i="17"/>
  <c r="AM350" i="17"/>
  <c r="R350" i="17"/>
  <c r="F350" i="17"/>
  <c r="AB350" i="17"/>
  <c r="H350" i="17"/>
  <c r="W350" i="17"/>
  <c r="AT350" i="17"/>
  <c r="AV350" i="17"/>
  <c r="T350" i="17"/>
  <c r="AY350" i="17"/>
  <c r="AJ350" i="17"/>
  <c r="N350" i="17"/>
  <c r="L350" i="17"/>
  <c r="AN350" i="17"/>
  <c r="J350" i="17"/>
  <c r="I350" i="17"/>
  <c r="AZ350" i="17"/>
  <c r="AP350" i="17"/>
  <c r="D350" i="17"/>
  <c r="AD350" i="17"/>
  <c r="AI350" i="17"/>
  <c r="AS350" i="17"/>
  <c r="Q350" i="17"/>
  <c r="AO350" i="17"/>
  <c r="AF350" i="17"/>
  <c r="AC350" i="17"/>
  <c r="K350" i="17"/>
  <c r="AK350" i="17"/>
  <c r="Z350" i="17"/>
  <c r="Y350" i="17"/>
  <c r="AU350" i="17"/>
  <c r="AG350" i="17"/>
  <c r="BA350" i="17"/>
  <c r="C352" i="17" l="1"/>
  <c r="AC351" i="17"/>
  <c r="O351" i="17"/>
  <c r="AR351" i="17"/>
  <c r="AZ351" i="17"/>
  <c r="AL351" i="17"/>
  <c r="AO351" i="17"/>
  <c r="X351" i="17"/>
  <c r="F351" i="17"/>
  <c r="H351" i="17"/>
  <c r="AI351" i="17"/>
  <c r="L351" i="17"/>
  <c r="P351" i="17"/>
  <c r="AG351" i="17"/>
  <c r="Y351" i="17"/>
  <c r="AY351" i="17"/>
  <c r="K351" i="17"/>
  <c r="T351" i="17"/>
  <c r="AM351" i="17"/>
  <c r="Q351" i="17"/>
  <c r="S351" i="17"/>
  <c r="AK351" i="17"/>
  <c r="AB351" i="17"/>
  <c r="BA351" i="17"/>
  <c r="I351" i="17"/>
  <c r="AJ351" i="17"/>
  <c r="AV351" i="17"/>
  <c r="E351" i="17"/>
  <c r="AW351" i="17"/>
  <c r="W351" i="17"/>
  <c r="AF351" i="17"/>
  <c r="R351" i="17"/>
  <c r="AU351" i="17"/>
  <c r="AA351" i="17"/>
  <c r="AH351" i="17"/>
  <c r="AT351" i="17"/>
  <c r="M351" i="17"/>
  <c r="AX351" i="17"/>
  <c r="U351" i="17"/>
  <c r="AD351" i="17"/>
  <c r="J351" i="17"/>
  <c r="G351" i="17"/>
  <c r="N351" i="17"/>
  <c r="AP351" i="17"/>
  <c r="Z351" i="17"/>
  <c r="AS351" i="17"/>
  <c r="D351" i="17"/>
  <c r="AN351" i="17"/>
  <c r="AE351" i="17"/>
  <c r="V351" i="17"/>
  <c r="AQ351" i="17"/>
  <c r="C353" i="17" l="1"/>
  <c r="BA352" i="17"/>
  <c r="H352" i="17"/>
  <c r="AV352" i="17"/>
  <c r="AM352" i="17"/>
  <c r="AQ352" i="17"/>
  <c r="AA352" i="17"/>
  <c r="AC352" i="17"/>
  <c r="L352" i="17"/>
  <c r="AJ352" i="17"/>
  <c r="K352" i="17"/>
  <c r="E352" i="17"/>
  <c r="AB352" i="17"/>
  <c r="N352" i="17"/>
  <c r="Z352" i="17"/>
  <c r="X352" i="17"/>
  <c r="G352" i="17"/>
  <c r="AI352" i="17"/>
  <c r="AX352" i="17"/>
  <c r="AK352" i="17"/>
  <c r="AY352" i="17"/>
  <c r="AR352" i="17"/>
  <c r="AG352" i="17"/>
  <c r="AH352" i="17"/>
  <c r="O352" i="17"/>
  <c r="AS352" i="17"/>
  <c r="D352" i="17"/>
  <c r="AD352" i="17"/>
  <c r="AZ352" i="17"/>
  <c r="Q352" i="17"/>
  <c r="S352" i="17"/>
  <c r="R352" i="17"/>
  <c r="I352" i="17"/>
  <c r="Y352" i="17"/>
  <c r="U352" i="17"/>
  <c r="J352" i="17"/>
  <c r="V352" i="17"/>
  <c r="F352" i="17"/>
  <c r="AL352" i="17"/>
  <c r="AF352" i="17"/>
  <c r="M352" i="17"/>
  <c r="AN352" i="17"/>
  <c r="AP352" i="17"/>
  <c r="AW352" i="17"/>
  <c r="T352" i="17"/>
  <c r="W352" i="17"/>
  <c r="AU352" i="17"/>
  <c r="AT352" i="17"/>
  <c r="P352" i="17"/>
  <c r="AE352" i="17"/>
  <c r="AO352" i="17"/>
  <c r="C354" i="17" l="1"/>
  <c r="AA353" i="17"/>
  <c r="E353" i="17"/>
  <c r="O353" i="17"/>
  <c r="AP353" i="17"/>
  <c r="K353" i="17"/>
  <c r="T353" i="17"/>
  <c r="H353" i="17"/>
  <c r="I353" i="17"/>
  <c r="AU353" i="17"/>
  <c r="W353" i="17"/>
  <c r="BA353" i="17"/>
  <c r="AI353" i="17"/>
  <c r="AO353" i="17"/>
  <c r="Q353" i="17"/>
  <c r="AK353" i="17"/>
  <c r="P353" i="17"/>
  <c r="AG353" i="17"/>
  <c r="AY353" i="17"/>
  <c r="AS353" i="17"/>
  <c r="J353" i="17"/>
  <c r="AH353" i="17"/>
  <c r="AQ353" i="17"/>
  <c r="U353" i="17"/>
  <c r="AX353" i="17"/>
  <c r="N353" i="17"/>
  <c r="AZ353" i="17"/>
  <c r="AF353" i="17"/>
  <c r="AB353" i="17"/>
  <c r="M353" i="17"/>
  <c r="AC353" i="17"/>
  <c r="AV353" i="17"/>
  <c r="S353" i="17"/>
  <c r="AL353" i="17"/>
  <c r="AM353" i="17"/>
  <c r="L353" i="17"/>
  <c r="Y353" i="17"/>
  <c r="AN353" i="17"/>
  <c r="V353" i="17"/>
  <c r="Z353" i="17"/>
  <c r="AT353" i="17"/>
  <c r="R353" i="17"/>
  <c r="AJ353" i="17"/>
  <c r="F353" i="17"/>
  <c r="D353" i="17"/>
  <c r="AE353" i="17"/>
  <c r="AR353" i="17"/>
  <c r="X353" i="17"/>
  <c r="AW353" i="17"/>
  <c r="AD353" i="17"/>
  <c r="G353" i="17"/>
  <c r="C355" i="17" l="1"/>
  <c r="AZ354" i="17"/>
  <c r="L354" i="17"/>
  <c r="J354" i="17"/>
  <c r="V354" i="17"/>
  <c r="AE354" i="17"/>
  <c r="AX354" i="17"/>
  <c r="K354" i="17"/>
  <c r="T354" i="17"/>
  <c r="F354" i="17"/>
  <c r="N354" i="17"/>
  <c r="BA354" i="17"/>
  <c r="H354" i="17"/>
  <c r="Z354" i="17"/>
  <c r="AC354" i="17"/>
  <c r="M354" i="17"/>
  <c r="AP354" i="17"/>
  <c r="AT354" i="17"/>
  <c r="Q354" i="17"/>
  <c r="AS354" i="17"/>
  <c r="AD354" i="17"/>
  <c r="AG354" i="17"/>
  <c r="AQ354" i="17"/>
  <c r="AV354" i="17"/>
  <c r="AR354" i="17"/>
  <c r="AA354" i="17"/>
  <c r="R354" i="17"/>
  <c r="U354" i="17"/>
  <c r="W354" i="17"/>
  <c r="AI354" i="17"/>
  <c r="I354" i="17"/>
  <c r="AO354" i="17"/>
  <c r="D354" i="17"/>
  <c r="AB354" i="17"/>
  <c r="AN354" i="17"/>
  <c r="AY354" i="17"/>
  <c r="P354" i="17"/>
  <c r="AM354" i="17"/>
  <c r="AH354" i="17"/>
  <c r="AU354" i="17"/>
  <c r="G354" i="17"/>
  <c r="O354" i="17"/>
  <c r="S354" i="17"/>
  <c r="AL354" i="17"/>
  <c r="X354" i="17"/>
  <c r="AJ354" i="17"/>
  <c r="AW354" i="17"/>
  <c r="E354" i="17"/>
  <c r="AF354" i="17"/>
  <c r="Y354" i="17"/>
  <c r="AK354" i="17"/>
  <c r="C356" i="17" l="1"/>
  <c r="K355" i="17"/>
  <c r="AE355" i="17"/>
  <c r="AZ355" i="17"/>
  <c r="AX355" i="17"/>
  <c r="AY355" i="17"/>
  <c r="AM355" i="17"/>
  <c r="R355" i="17"/>
  <c r="AO355" i="17"/>
  <c r="U355" i="17"/>
  <c r="S355" i="17"/>
  <c r="AR355" i="17"/>
  <c r="O355" i="17"/>
  <c r="AN355" i="17"/>
  <c r="Y355" i="17"/>
  <c r="AJ355" i="17"/>
  <c r="E355" i="17"/>
  <c r="I355" i="17"/>
  <c r="H355" i="17"/>
  <c r="J355" i="17"/>
  <c r="P355" i="17"/>
  <c r="AI355" i="17"/>
  <c r="AT355" i="17"/>
  <c r="AC355" i="17"/>
  <c r="AV355" i="17"/>
  <c r="AU355" i="17"/>
  <c r="AS355" i="17"/>
  <c r="L355" i="17"/>
  <c r="BA355" i="17"/>
  <c r="D355" i="17"/>
  <c r="AH355" i="17"/>
  <c r="AL355" i="17"/>
  <c r="W355" i="17"/>
  <c r="G355" i="17"/>
  <c r="AG355" i="17"/>
  <c r="AF355" i="17"/>
  <c r="X355" i="17"/>
  <c r="AP355" i="17"/>
  <c r="Z355" i="17"/>
  <c r="AW355" i="17"/>
  <c r="AK355" i="17"/>
  <c r="AD355" i="17"/>
  <c r="T355" i="17"/>
  <c r="AB355" i="17"/>
  <c r="Q355" i="17"/>
  <c r="AA355" i="17"/>
  <c r="N355" i="17"/>
  <c r="V355" i="17"/>
  <c r="M355" i="17"/>
  <c r="F355" i="17"/>
  <c r="AQ355" i="17"/>
  <c r="C357" i="17" l="1"/>
  <c r="M356" i="17"/>
  <c r="AL356" i="17"/>
  <c r="AZ356" i="17"/>
  <c r="AO356" i="17"/>
  <c r="AN356" i="17"/>
  <c r="Y356" i="17"/>
  <c r="BA356" i="17"/>
  <c r="U356" i="17"/>
  <c r="E356" i="17"/>
  <c r="AI356" i="17"/>
  <c r="AU356" i="17"/>
  <c r="AV356" i="17"/>
  <c r="AE356" i="17"/>
  <c r="AH356" i="17"/>
  <c r="AF356" i="17"/>
  <c r="P356" i="17"/>
  <c r="AS356" i="17"/>
  <c r="AR356" i="17"/>
  <c r="AQ356" i="17"/>
  <c r="L356" i="17"/>
  <c r="S356" i="17"/>
  <c r="F356" i="17"/>
  <c r="AD356" i="17"/>
  <c r="N356" i="17"/>
  <c r="G356" i="17"/>
  <c r="AJ356" i="17"/>
  <c r="T356" i="17"/>
  <c r="O356" i="17"/>
  <c r="AX356" i="17"/>
  <c r="R356" i="17"/>
  <c r="AP356" i="17"/>
  <c r="Z356" i="17"/>
  <c r="K356" i="17"/>
  <c r="V356" i="17"/>
  <c r="AM356" i="17"/>
  <c r="AB356" i="17"/>
  <c r="AW356" i="17"/>
  <c r="D356" i="17"/>
  <c r="H356" i="17"/>
  <c r="AG356" i="17"/>
  <c r="I356" i="17"/>
  <c r="AC356" i="17"/>
  <c r="Q356" i="17"/>
  <c r="J356" i="17"/>
  <c r="AY356" i="17"/>
  <c r="W356" i="17"/>
  <c r="AK356" i="17"/>
  <c r="AT356" i="17"/>
  <c r="X356" i="17"/>
  <c r="AA356" i="17"/>
  <c r="C358" i="17" l="1"/>
  <c r="AS357" i="17"/>
  <c r="U357" i="17"/>
  <c r="Y357" i="17"/>
  <c r="S357" i="17"/>
  <c r="M357" i="17"/>
  <c r="AA357" i="17"/>
  <c r="AD357" i="17"/>
  <c r="F357" i="17"/>
  <c r="BA357" i="17"/>
  <c r="AX357" i="17"/>
  <c r="AC357" i="17"/>
  <c r="E357" i="17"/>
  <c r="AG357" i="17"/>
  <c r="AJ357" i="17"/>
  <c r="L357" i="17"/>
  <c r="AK357" i="17"/>
  <c r="AP357" i="17"/>
  <c r="T357" i="17"/>
  <c r="X357" i="17"/>
  <c r="J357" i="17"/>
  <c r="AV357" i="17"/>
  <c r="K357" i="17"/>
  <c r="D357" i="17"/>
  <c r="AY357" i="17"/>
  <c r="AT357" i="17"/>
  <c r="AW357" i="17"/>
  <c r="AO357" i="17"/>
  <c r="AF357" i="17"/>
  <c r="AI357" i="17"/>
  <c r="H357" i="17"/>
  <c r="W357" i="17"/>
  <c r="Z357" i="17"/>
  <c r="I357" i="17"/>
  <c r="AQ357" i="17"/>
  <c r="AR357" i="17"/>
  <c r="G357" i="17"/>
  <c r="AU357" i="17"/>
  <c r="N357" i="17"/>
  <c r="P357" i="17"/>
  <c r="AE357" i="17"/>
  <c r="AM357" i="17"/>
  <c r="AN357" i="17"/>
  <c r="R357" i="17"/>
  <c r="AH357" i="17"/>
  <c r="Q357" i="17"/>
  <c r="AB357" i="17"/>
  <c r="AZ357" i="17"/>
  <c r="V357" i="17"/>
  <c r="AL357" i="17"/>
  <c r="O357" i="17"/>
  <c r="C359" i="17" l="1"/>
  <c r="AZ358" i="17"/>
  <c r="H358" i="17"/>
  <c r="AE358" i="17"/>
  <c r="Q358" i="17"/>
  <c r="L358" i="17"/>
  <c r="AU358" i="17"/>
  <c r="Y358" i="17"/>
  <c r="AM358" i="17"/>
  <c r="AA358" i="17"/>
  <c r="AQ358" i="17"/>
  <c r="AO358" i="17"/>
  <c r="T358" i="17"/>
  <c r="AK358" i="17"/>
  <c r="X358" i="17"/>
  <c r="AC358" i="17"/>
  <c r="S358" i="17"/>
  <c r="AX358" i="17"/>
  <c r="W358" i="17"/>
  <c r="AP358" i="17"/>
  <c r="AR358" i="17"/>
  <c r="AV358" i="17"/>
  <c r="Z358" i="17"/>
  <c r="AD358" i="17"/>
  <c r="E358" i="17"/>
  <c r="F358" i="17"/>
  <c r="K358" i="17"/>
  <c r="AG358" i="17"/>
  <c r="R358" i="17"/>
  <c r="O358" i="17"/>
  <c r="J358" i="17"/>
  <c r="BA358" i="17"/>
  <c r="AH358" i="17"/>
  <c r="AB358" i="17"/>
  <c r="AY358" i="17"/>
  <c r="AN358" i="17"/>
  <c r="AW358" i="17"/>
  <c r="U358" i="17"/>
  <c r="AT358" i="17"/>
  <c r="AI358" i="17"/>
  <c r="G358" i="17"/>
  <c r="N358" i="17"/>
  <c r="AL358" i="17"/>
  <c r="D358" i="17"/>
  <c r="AS358" i="17"/>
  <c r="AF358" i="17"/>
  <c r="AJ358" i="17"/>
  <c r="V358" i="17"/>
  <c r="P358" i="17"/>
  <c r="I358" i="17"/>
  <c r="M358" i="17"/>
  <c r="C360" i="17" l="1"/>
  <c r="S359" i="17"/>
  <c r="W359" i="17"/>
  <c r="AF359" i="17"/>
  <c r="Z359" i="17"/>
  <c r="AA359" i="17"/>
  <c r="AM359" i="17"/>
  <c r="R359" i="17"/>
  <c r="L359" i="17"/>
  <c r="AS359" i="17"/>
  <c r="D359" i="17"/>
  <c r="AV359" i="17"/>
  <c r="AB359" i="17"/>
  <c r="BA359" i="17"/>
  <c r="AO359" i="17"/>
  <c r="U359" i="17"/>
  <c r="V359" i="17"/>
  <c r="E359" i="17"/>
  <c r="T359" i="17"/>
  <c r="O359" i="17"/>
  <c r="AX359" i="17"/>
  <c r="AP359" i="17"/>
  <c r="AK359" i="17"/>
  <c r="I359" i="17"/>
  <c r="AU359" i="17"/>
  <c r="AR359" i="17"/>
  <c r="K359" i="17"/>
  <c r="AD359" i="17"/>
  <c r="AC359" i="17"/>
  <c r="Y359" i="17"/>
  <c r="AH359" i="17"/>
  <c r="AL359" i="17"/>
  <c r="AT359" i="17"/>
  <c r="AN359" i="17"/>
  <c r="AQ359" i="17"/>
  <c r="X359" i="17"/>
  <c r="AJ359" i="17"/>
  <c r="AI359" i="17"/>
  <c r="P359" i="17"/>
  <c r="M359" i="17"/>
  <c r="AZ359" i="17"/>
  <c r="AG359" i="17"/>
  <c r="G359" i="17"/>
  <c r="N359" i="17"/>
  <c r="AW359" i="17"/>
  <c r="J359" i="17"/>
  <c r="Q359" i="17"/>
  <c r="AY359" i="17"/>
  <c r="F359" i="17"/>
  <c r="H359" i="17"/>
  <c r="AE359" i="17"/>
  <c r="C361" i="17" l="1"/>
  <c r="W360" i="17"/>
  <c r="R360" i="17"/>
  <c r="AK360" i="17"/>
  <c r="AU360" i="17"/>
  <c r="AJ360" i="17"/>
  <c r="AA360" i="17"/>
  <c r="G360" i="17"/>
  <c r="AO360" i="17"/>
  <c r="L360" i="17"/>
  <c r="J360" i="17"/>
  <c r="U360" i="17"/>
  <c r="AG360" i="17"/>
  <c r="AT360" i="17"/>
  <c r="AX360" i="17"/>
  <c r="V360" i="17"/>
  <c r="BA360" i="17"/>
  <c r="K360" i="17"/>
  <c r="Z360" i="17"/>
  <c r="AW360" i="17"/>
  <c r="P360" i="17"/>
  <c r="I360" i="17"/>
  <c r="AP360" i="17"/>
  <c r="Q360" i="17"/>
  <c r="E360" i="17"/>
  <c r="D360" i="17"/>
  <c r="AY360" i="17"/>
  <c r="S360" i="17"/>
  <c r="T360" i="17"/>
  <c r="Y360" i="17"/>
  <c r="N360" i="17"/>
  <c r="AE360" i="17"/>
  <c r="AQ360" i="17"/>
  <c r="AZ360" i="17"/>
  <c r="X360" i="17"/>
  <c r="AS360" i="17"/>
  <c r="AD360" i="17"/>
  <c r="AB360" i="17"/>
  <c r="AN360" i="17"/>
  <c r="AF360" i="17"/>
  <c r="F360" i="17"/>
  <c r="AC360" i="17"/>
  <c r="H360" i="17"/>
  <c r="AH360" i="17"/>
  <c r="AR360" i="17"/>
  <c r="AV360" i="17"/>
  <c r="AI360" i="17"/>
  <c r="AM360" i="17"/>
  <c r="O360" i="17"/>
  <c r="M360" i="17"/>
  <c r="AL360" i="17"/>
  <c r="C362" i="17" l="1"/>
  <c r="G361" i="17"/>
  <c r="AL361" i="17"/>
  <c r="Q361" i="17"/>
  <c r="L361" i="17"/>
  <c r="AN361" i="17"/>
  <c r="AR361" i="17"/>
  <c r="Z361" i="17"/>
  <c r="AS361" i="17"/>
  <c r="AW361" i="17"/>
  <c r="AB361" i="17"/>
  <c r="AZ361" i="17"/>
  <c r="R361" i="17"/>
  <c r="V361" i="17"/>
  <c r="AU361" i="17"/>
  <c r="T361" i="17"/>
  <c r="AI361" i="17"/>
  <c r="M361" i="17"/>
  <c r="AO361" i="17"/>
  <c r="AF361" i="17"/>
  <c r="P361" i="17"/>
  <c r="AM361" i="17"/>
  <c r="E361" i="17"/>
  <c r="AQ361" i="17"/>
  <c r="BA361" i="17"/>
  <c r="AV361" i="17"/>
  <c r="U361" i="17"/>
  <c r="K361" i="17"/>
  <c r="AK361" i="17"/>
  <c r="J361" i="17"/>
  <c r="X361" i="17"/>
  <c r="AH361" i="17"/>
  <c r="D361" i="17"/>
  <c r="W361" i="17"/>
  <c r="I361" i="17"/>
  <c r="Y361" i="17"/>
  <c r="AA361" i="17"/>
  <c r="O361" i="17"/>
  <c r="AJ361" i="17"/>
  <c r="N361" i="17"/>
  <c r="S361" i="17"/>
  <c r="AE361" i="17"/>
  <c r="AY361" i="17"/>
  <c r="AX361" i="17"/>
  <c r="F361" i="17"/>
  <c r="AG361" i="17"/>
  <c r="AC361" i="17"/>
  <c r="H361" i="17"/>
  <c r="AP361" i="17"/>
  <c r="AD361" i="17"/>
  <c r="AT361" i="17"/>
  <c r="C363" i="17" l="1"/>
  <c r="AP362" i="17"/>
  <c r="AW362" i="17"/>
  <c r="J362" i="17"/>
  <c r="AH362" i="17"/>
  <c r="AV362" i="17"/>
  <c r="AX362" i="17"/>
  <c r="Q362" i="17"/>
  <c r="Z362" i="17"/>
  <c r="AA362" i="17"/>
  <c r="E362" i="17"/>
  <c r="G362" i="17"/>
  <c r="W362" i="17"/>
  <c r="AJ362" i="17"/>
  <c r="D362" i="17"/>
  <c r="BA362" i="17"/>
  <c r="I362" i="17"/>
  <c r="H362" i="17"/>
  <c r="K362" i="17"/>
  <c r="M362" i="17"/>
  <c r="AY362" i="17"/>
  <c r="AU362" i="17"/>
  <c r="AC362" i="17"/>
  <c r="O362" i="17"/>
  <c r="AK362" i="17"/>
  <c r="AL362" i="17"/>
  <c r="X362" i="17"/>
  <c r="Y362" i="17"/>
  <c r="AN362" i="17"/>
  <c r="V362" i="17"/>
  <c r="AS362" i="17"/>
  <c r="AB362" i="17"/>
  <c r="AF362" i="17"/>
  <c r="F362" i="17"/>
  <c r="R362" i="17"/>
  <c r="U362" i="17"/>
  <c r="AM362" i="17"/>
  <c r="AI362" i="17"/>
  <c r="AO362" i="17"/>
  <c r="AT362" i="17"/>
  <c r="S362" i="17"/>
  <c r="N362" i="17"/>
  <c r="AD362" i="17"/>
  <c r="L362" i="17"/>
  <c r="AE362" i="17"/>
  <c r="AG362" i="17"/>
  <c r="T362" i="17"/>
  <c r="AR362" i="17"/>
  <c r="P362" i="17"/>
  <c r="AQ362" i="17"/>
  <c r="AZ362" i="17"/>
  <c r="C364" i="17" l="1"/>
  <c r="V363" i="17"/>
  <c r="AL363" i="17"/>
  <c r="S363" i="17"/>
  <c r="L363" i="17"/>
  <c r="AF363" i="17"/>
  <c r="AE363" i="17"/>
  <c r="M363" i="17"/>
  <c r="AU363" i="17"/>
  <c r="AP363" i="17"/>
  <c r="I363" i="17"/>
  <c r="P363" i="17"/>
  <c r="F363" i="17"/>
  <c r="AH363" i="17"/>
  <c r="Q363" i="17"/>
  <c r="AK363" i="17"/>
  <c r="X363" i="17"/>
  <c r="AR363" i="17"/>
  <c r="AX363" i="17"/>
  <c r="AQ363" i="17"/>
  <c r="Y363" i="17"/>
  <c r="E363" i="17"/>
  <c r="AV363" i="17"/>
  <c r="H363" i="17"/>
  <c r="AD363" i="17"/>
  <c r="AB363" i="17"/>
  <c r="AN363" i="17"/>
  <c r="AS363" i="17"/>
  <c r="AA363" i="17"/>
  <c r="AZ363" i="17"/>
  <c r="AT363" i="17"/>
  <c r="T363" i="17"/>
  <c r="AC363" i="17"/>
  <c r="D363" i="17"/>
  <c r="G363" i="17"/>
  <c r="AM363" i="17"/>
  <c r="AY363" i="17"/>
  <c r="AG363" i="17"/>
  <c r="AW363" i="17"/>
  <c r="W363" i="17"/>
  <c r="AJ363" i="17"/>
  <c r="AI363" i="17"/>
  <c r="N363" i="17"/>
  <c r="Z363" i="17"/>
  <c r="BA363" i="17"/>
  <c r="J363" i="17"/>
  <c r="O363" i="17"/>
  <c r="R363" i="17"/>
  <c r="AO363" i="17"/>
  <c r="U363" i="17"/>
  <c r="K363" i="17"/>
  <c r="C365" i="17" l="1"/>
  <c r="K364" i="17"/>
  <c r="U364" i="17"/>
  <c r="AF364" i="17"/>
  <c r="AU364" i="17"/>
  <c r="AB364" i="17"/>
  <c r="AD364" i="17"/>
  <c r="AP364" i="17"/>
  <c r="AG364" i="17"/>
  <c r="P364" i="17"/>
  <c r="AK364" i="17"/>
  <c r="T364" i="17"/>
  <c r="AV364" i="17"/>
  <c r="AY364" i="17"/>
  <c r="AA364" i="17"/>
  <c r="BA364" i="17"/>
  <c r="AR364" i="17"/>
  <c r="D364" i="17"/>
  <c r="AO364" i="17"/>
  <c r="H364" i="17"/>
  <c r="AX364" i="17"/>
  <c r="Q364" i="17"/>
  <c r="W364" i="17"/>
  <c r="S364" i="17"/>
  <c r="R364" i="17"/>
  <c r="AN364" i="17"/>
  <c r="AI364" i="17"/>
  <c r="AT364" i="17"/>
  <c r="V364" i="17"/>
  <c r="O364" i="17"/>
  <c r="Y364" i="17"/>
  <c r="AQ364" i="17"/>
  <c r="AE364" i="17"/>
  <c r="X364" i="17"/>
  <c r="AZ364" i="17"/>
  <c r="F364" i="17"/>
  <c r="AS364" i="17"/>
  <c r="G364" i="17"/>
  <c r="AH364" i="17"/>
  <c r="Z364" i="17"/>
  <c r="AM364" i="17"/>
  <c r="AW364" i="17"/>
  <c r="M364" i="17"/>
  <c r="E364" i="17"/>
  <c r="N364" i="17"/>
  <c r="AJ364" i="17"/>
  <c r="J364" i="17"/>
  <c r="I364" i="17"/>
  <c r="AL364" i="17"/>
  <c r="AC364" i="17"/>
  <c r="L364" i="17"/>
  <c r="C366" i="17" l="1"/>
  <c r="AI365" i="17"/>
  <c r="N365" i="17"/>
  <c r="L365" i="17"/>
  <c r="F365" i="17"/>
  <c r="AJ365" i="17"/>
  <c r="AP365" i="17"/>
  <c r="AY365" i="17"/>
  <c r="S365" i="17"/>
  <c r="AO365" i="17"/>
  <c r="AS365" i="17"/>
  <c r="I365" i="17"/>
  <c r="AU365" i="17"/>
  <c r="Y365" i="17"/>
  <c r="AD365" i="17"/>
  <c r="AC365" i="17"/>
  <c r="M365" i="17"/>
  <c r="AR365" i="17"/>
  <c r="D365" i="17"/>
  <c r="AE365" i="17"/>
  <c r="T365" i="17"/>
  <c r="P365" i="17"/>
  <c r="E365" i="17"/>
  <c r="X365" i="17"/>
  <c r="K365" i="17"/>
  <c r="AB365" i="17"/>
  <c r="AG365" i="17"/>
  <c r="AF365" i="17"/>
  <c r="AX365" i="17"/>
  <c r="Z365" i="17"/>
  <c r="V365" i="17"/>
  <c r="AH365" i="17"/>
  <c r="AA365" i="17"/>
  <c r="Q365" i="17"/>
  <c r="AL365" i="17"/>
  <c r="O365" i="17"/>
  <c r="AV365" i="17"/>
  <c r="AN365" i="17"/>
  <c r="H365" i="17"/>
  <c r="BA365" i="17"/>
  <c r="AT365" i="17"/>
  <c r="AW365" i="17"/>
  <c r="AK365" i="17"/>
  <c r="R365" i="17"/>
  <c r="G365" i="17"/>
  <c r="W365" i="17"/>
  <c r="U365" i="17"/>
  <c r="AQ365" i="17"/>
  <c r="AM365" i="17"/>
  <c r="AZ365" i="17"/>
  <c r="J365" i="17"/>
  <c r="C367" i="17" l="1"/>
  <c r="AJ366" i="17"/>
  <c r="AI366" i="17"/>
  <c r="E366" i="17"/>
  <c r="S366" i="17"/>
  <c r="AB366" i="17"/>
  <c r="AN366" i="17"/>
  <c r="F366" i="17"/>
  <c r="V366" i="17"/>
  <c r="AD366" i="17"/>
  <c r="N366" i="17"/>
  <c r="AK366" i="17"/>
  <c r="H366" i="17"/>
  <c r="AA366" i="17"/>
  <c r="R366" i="17"/>
  <c r="AX366" i="17"/>
  <c r="AH366" i="17"/>
  <c r="AM366" i="17"/>
  <c r="AU366" i="17"/>
  <c r="AE366" i="17"/>
  <c r="AZ366" i="17"/>
  <c r="AW366" i="17"/>
  <c r="AQ366" i="17"/>
  <c r="L366" i="17"/>
  <c r="AS366" i="17"/>
  <c r="I366" i="17"/>
  <c r="AR366" i="17"/>
  <c r="AP366" i="17"/>
  <c r="J366" i="17"/>
  <c r="U366" i="17"/>
  <c r="P366" i="17"/>
  <c r="AG366" i="17"/>
  <c r="K366" i="17"/>
  <c r="T366" i="17"/>
  <c r="AT366" i="17"/>
  <c r="AO366" i="17"/>
  <c r="W366" i="17"/>
  <c r="AL366" i="17"/>
  <c r="AY366" i="17"/>
  <c r="G366" i="17"/>
  <c r="AF366" i="17"/>
  <c r="AV366" i="17"/>
  <c r="X366" i="17"/>
  <c r="O366" i="17"/>
  <c r="Z366" i="17"/>
  <c r="Y366" i="17"/>
  <c r="M366" i="17"/>
  <c r="BA366" i="17"/>
  <c r="D366" i="17"/>
  <c r="AC366" i="17"/>
  <c r="Q366" i="17"/>
  <c r="C368" i="17" l="1"/>
  <c r="T367" i="17"/>
  <c r="AB367" i="17"/>
  <c r="AD367" i="17"/>
  <c r="AV367" i="17"/>
  <c r="V367" i="17"/>
  <c r="Z367" i="17"/>
  <c r="N367" i="17"/>
  <c r="AG367" i="17"/>
  <c r="AR367" i="17"/>
  <c r="AW367" i="17"/>
  <c r="AE367" i="17"/>
  <c r="AH367" i="17"/>
  <c r="AX367" i="17"/>
  <c r="AA367" i="17"/>
  <c r="E367" i="17"/>
  <c r="AO367" i="17"/>
  <c r="D367" i="17"/>
  <c r="AK367" i="17"/>
  <c r="AJ367" i="17"/>
  <c r="O367" i="17"/>
  <c r="AY367" i="17"/>
  <c r="AC367" i="17"/>
  <c r="AT367" i="17"/>
  <c r="BA367" i="17"/>
  <c r="AL367" i="17"/>
  <c r="P367" i="17"/>
  <c r="M367" i="17"/>
  <c r="Q367" i="17"/>
  <c r="S367" i="17"/>
  <c r="R367" i="17"/>
  <c r="H367" i="17"/>
  <c r="Y367" i="17"/>
  <c r="F367" i="17"/>
  <c r="J367" i="17"/>
  <c r="AI367" i="17"/>
  <c r="AQ367" i="17"/>
  <c r="AS367" i="17"/>
  <c r="X367" i="17"/>
  <c r="AZ367" i="17"/>
  <c r="G367" i="17"/>
  <c r="L367" i="17"/>
  <c r="AN367" i="17"/>
  <c r="AM367" i="17"/>
  <c r="AP367" i="17"/>
  <c r="AU367" i="17"/>
  <c r="K367" i="17"/>
  <c r="U367" i="17"/>
  <c r="I367" i="17"/>
  <c r="AF367" i="17"/>
  <c r="W367" i="17"/>
  <c r="C369" i="17" l="1"/>
  <c r="AY368" i="17"/>
  <c r="Z368" i="17"/>
  <c r="AM368" i="17"/>
  <c r="AA368" i="17"/>
  <c r="AZ368" i="17"/>
  <c r="G368" i="17"/>
  <c r="BA368" i="17"/>
  <c r="M368" i="17"/>
  <c r="R368" i="17"/>
  <c r="V368" i="17"/>
  <c r="O368" i="17"/>
  <c r="AT368" i="17"/>
  <c r="P368" i="17"/>
  <c r="AI368" i="17"/>
  <c r="AN368" i="17"/>
  <c r="I368" i="17"/>
  <c r="AD368" i="17"/>
  <c r="AP368" i="17"/>
  <c r="AE368" i="17"/>
  <c r="Q368" i="17"/>
  <c r="T368" i="17"/>
  <c r="X368" i="17"/>
  <c r="AR368" i="17"/>
  <c r="AC368" i="17"/>
  <c r="L368" i="17"/>
  <c r="AW368" i="17"/>
  <c r="F368" i="17"/>
  <c r="AX368" i="17"/>
  <c r="AQ368" i="17"/>
  <c r="AV368" i="17"/>
  <c r="S368" i="17"/>
  <c r="AK368" i="17"/>
  <c r="AJ368" i="17"/>
  <c r="AH368" i="17"/>
  <c r="AS368" i="17"/>
  <c r="AL368" i="17"/>
  <c r="AU368" i="17"/>
  <c r="J368" i="17"/>
  <c r="AO368" i="17"/>
  <c r="AG368" i="17"/>
  <c r="N368" i="17"/>
  <c r="W368" i="17"/>
  <c r="E368" i="17"/>
  <c r="Y368" i="17"/>
  <c r="K368" i="17"/>
  <c r="U368" i="17"/>
  <c r="AF368" i="17"/>
  <c r="AB368" i="17"/>
  <c r="D368" i="17"/>
  <c r="H368" i="17"/>
  <c r="C370" i="17" l="1"/>
  <c r="X369" i="17"/>
  <c r="AO369" i="17"/>
  <c r="AD369" i="17"/>
  <c r="AC369" i="17"/>
  <c r="N369" i="17"/>
  <c r="AS369" i="17"/>
  <c r="AJ369" i="17"/>
  <c r="Q369" i="17"/>
  <c r="AF369" i="17"/>
  <c r="AG369" i="17"/>
  <c r="R369" i="17"/>
  <c r="AM369" i="17"/>
  <c r="AT369" i="17"/>
  <c r="L369" i="17"/>
  <c r="U369" i="17"/>
  <c r="AX369" i="17"/>
  <c r="AL369" i="17"/>
  <c r="O369" i="17"/>
  <c r="P369" i="17"/>
  <c r="D369" i="17"/>
  <c r="AQ369" i="17"/>
  <c r="AI369" i="17"/>
  <c r="AA369" i="17"/>
  <c r="AN369" i="17"/>
  <c r="Z369" i="17"/>
  <c r="W369" i="17"/>
  <c r="AE369" i="17"/>
  <c r="AH369" i="17"/>
  <c r="Y369" i="17"/>
  <c r="F369" i="17"/>
  <c r="E369" i="17"/>
  <c r="AP369" i="17"/>
  <c r="AZ369" i="17"/>
  <c r="AR369" i="17"/>
  <c r="I369" i="17"/>
  <c r="S369" i="17"/>
  <c r="BA369" i="17"/>
  <c r="AW369" i="17"/>
  <c r="AV369" i="17"/>
  <c r="AU369" i="17"/>
  <c r="AK369" i="17"/>
  <c r="H369" i="17"/>
  <c r="K369" i="17"/>
  <c r="M369" i="17"/>
  <c r="T369" i="17"/>
  <c r="J369" i="17"/>
  <c r="V369" i="17"/>
  <c r="AB369" i="17"/>
  <c r="G369" i="17"/>
  <c r="AY369" i="17"/>
  <c r="C371" i="17" l="1"/>
  <c r="AZ370" i="17"/>
  <c r="AE370" i="17"/>
  <c r="S370" i="17"/>
  <c r="L370" i="17"/>
  <c r="X370" i="17"/>
  <c r="AM370" i="17"/>
  <c r="Z370" i="17"/>
  <c r="AW370" i="17"/>
  <c r="P370" i="17"/>
  <c r="AD370" i="17"/>
  <c r="R370" i="17"/>
  <c r="AV370" i="17"/>
  <c r="AG370" i="17"/>
  <c r="BA370" i="17"/>
  <c r="E370" i="17"/>
  <c r="AP370" i="17"/>
  <c r="AX370" i="17"/>
  <c r="AB370" i="17"/>
  <c r="AR370" i="17"/>
  <c r="AF370" i="17"/>
  <c r="H370" i="17"/>
  <c r="V370" i="17"/>
  <c r="AS370" i="17"/>
  <c r="AY370" i="17"/>
  <c r="AL370" i="17"/>
  <c r="AQ370" i="17"/>
  <c r="D370" i="17"/>
  <c r="AT370" i="17"/>
  <c r="F370" i="17"/>
  <c r="T370" i="17"/>
  <c r="AU370" i="17"/>
  <c r="M370" i="17"/>
  <c r="AI370" i="17"/>
  <c r="W370" i="17"/>
  <c r="I370" i="17"/>
  <c r="AK370" i="17"/>
  <c r="O370" i="17"/>
  <c r="J370" i="17"/>
  <c r="AA370" i="17"/>
  <c r="G370" i="17"/>
  <c r="AH370" i="17"/>
  <c r="K370" i="17"/>
  <c r="AN370" i="17"/>
  <c r="AO370" i="17"/>
  <c r="AC370" i="17"/>
  <c r="Q370" i="17"/>
  <c r="N370" i="17"/>
  <c r="AJ370" i="17"/>
  <c r="U370" i="17"/>
  <c r="Y370" i="17"/>
  <c r="C372" i="17" l="1"/>
  <c r="N371" i="17"/>
  <c r="AO371" i="17"/>
  <c r="AV371" i="17"/>
  <c r="AR371" i="17"/>
  <c r="J371" i="17"/>
  <c r="AN371" i="17"/>
  <c r="W371" i="17"/>
  <c r="L371" i="17"/>
  <c r="AJ371" i="17"/>
  <c r="K371" i="17"/>
  <c r="AQ371" i="17"/>
  <c r="Q371" i="17"/>
  <c r="AZ371" i="17"/>
  <c r="V371" i="17"/>
  <c r="AK371" i="17"/>
  <c r="O371" i="17"/>
  <c r="AT371" i="17"/>
  <c r="AX371" i="17"/>
  <c r="AG371" i="17"/>
  <c r="U371" i="17"/>
  <c r="H371" i="17"/>
  <c r="AL371" i="17"/>
  <c r="R371" i="17"/>
  <c r="AE371" i="17"/>
  <c r="BA371" i="17"/>
  <c r="T371" i="17"/>
  <c r="S371" i="17"/>
  <c r="E371" i="17"/>
  <c r="F371" i="17"/>
  <c r="AU371" i="17"/>
  <c r="AF371" i="17"/>
  <c r="Z371" i="17"/>
  <c r="AH371" i="17"/>
  <c r="AY371" i="17"/>
  <c r="I371" i="17"/>
  <c r="AA371" i="17"/>
  <c r="AI371" i="17"/>
  <c r="M371" i="17"/>
  <c r="X371" i="17"/>
  <c r="G371" i="17"/>
  <c r="AM371" i="17"/>
  <c r="AC371" i="17"/>
  <c r="AP371" i="17"/>
  <c r="AS371" i="17"/>
  <c r="Y371" i="17"/>
  <c r="AD371" i="17"/>
  <c r="D371" i="17"/>
  <c r="AB371" i="17"/>
  <c r="P371" i="17"/>
  <c r="AW371" i="17"/>
  <c r="C373" i="17" l="1"/>
  <c r="M372" i="17"/>
  <c r="H372" i="17"/>
  <c r="U372" i="17"/>
  <c r="F372" i="17"/>
  <c r="S372" i="17"/>
  <c r="AV372" i="17"/>
  <c r="Q372" i="17"/>
  <c r="T372" i="17"/>
  <c r="L372" i="17"/>
  <c r="AD372" i="17"/>
  <c r="N372" i="17"/>
  <c r="AW372" i="17"/>
  <c r="AQ372" i="17"/>
  <c r="AG372" i="17"/>
  <c r="AE372" i="17"/>
  <c r="AN372" i="17"/>
  <c r="Y372" i="17"/>
  <c r="AT372" i="17"/>
  <c r="AL372" i="17"/>
  <c r="R372" i="17"/>
  <c r="G372" i="17"/>
  <c r="AO372" i="17"/>
  <c r="AB372" i="17"/>
  <c r="AC372" i="17"/>
  <c r="AH372" i="17"/>
  <c r="V372" i="17"/>
  <c r="O372" i="17"/>
  <c r="AR372" i="17"/>
  <c r="AA372" i="17"/>
  <c r="K372" i="17"/>
  <c r="W372" i="17"/>
  <c r="AM372" i="17"/>
  <c r="AU372" i="17"/>
  <c r="J372" i="17"/>
  <c r="AZ372" i="17"/>
  <c r="BA372" i="17"/>
  <c r="Z372" i="17"/>
  <c r="AS372" i="17"/>
  <c r="AX372" i="17"/>
  <c r="X372" i="17"/>
  <c r="AJ372" i="17"/>
  <c r="E372" i="17"/>
  <c r="AI372" i="17"/>
  <c r="I372" i="17"/>
  <c r="AF372" i="17"/>
  <c r="AP372" i="17"/>
  <c r="P372" i="17"/>
  <c r="AY372" i="17"/>
  <c r="D372" i="17"/>
  <c r="AK372" i="17"/>
  <c r="C374" i="17" l="1"/>
  <c r="AZ373" i="17"/>
  <c r="AK373" i="17"/>
  <c r="AX373" i="17"/>
  <c r="U373" i="17"/>
  <c r="T373" i="17"/>
  <c r="I373" i="17"/>
  <c r="O373" i="17"/>
  <c r="AC373" i="17"/>
  <c r="K373" i="17"/>
  <c r="AS373" i="17"/>
  <c r="AI373" i="17"/>
  <c r="Q373" i="17"/>
  <c r="Z373" i="17"/>
  <c r="X373" i="17"/>
  <c r="L373" i="17"/>
  <c r="AL373" i="17"/>
  <c r="P373" i="17"/>
  <c r="AU373" i="17"/>
  <c r="AA373" i="17"/>
  <c r="V373" i="17"/>
  <c r="Y373" i="17"/>
  <c r="G373" i="17"/>
  <c r="AG373" i="17"/>
  <c r="F373" i="17"/>
  <c r="AV373" i="17"/>
  <c r="D373" i="17"/>
  <c r="AQ373" i="17"/>
  <c r="H373" i="17"/>
  <c r="AE373" i="17"/>
  <c r="S373" i="17"/>
  <c r="R373" i="17"/>
  <c r="AM373" i="17"/>
  <c r="AW373" i="17"/>
  <c r="AH373" i="17"/>
  <c r="W373" i="17"/>
  <c r="M373" i="17"/>
  <c r="N373" i="17"/>
  <c r="AT373" i="17"/>
  <c r="AF373" i="17"/>
  <c r="AY373" i="17"/>
  <c r="AN373" i="17"/>
  <c r="AB373" i="17"/>
  <c r="AD373" i="17"/>
  <c r="AR373" i="17"/>
  <c r="AO373" i="17"/>
  <c r="E373" i="17"/>
  <c r="AJ373" i="17"/>
  <c r="AP373" i="17"/>
  <c r="J373" i="17"/>
  <c r="BA373" i="17"/>
  <c r="C375" i="17" l="1"/>
  <c r="Z374" i="17"/>
  <c r="K374" i="17"/>
  <c r="AH374" i="17"/>
  <c r="AD374" i="17"/>
  <c r="AC374" i="17"/>
  <c r="S374" i="17"/>
  <c r="AW374" i="17"/>
  <c r="V374" i="17"/>
  <c r="P374" i="17"/>
  <c r="AQ374" i="17"/>
  <c r="X374" i="17"/>
  <c r="AG374" i="17"/>
  <c r="AY374" i="17"/>
  <c r="N374" i="17"/>
  <c r="E374" i="17"/>
  <c r="F374" i="17"/>
  <c r="AT374" i="17"/>
  <c r="AA374" i="17"/>
  <c r="AK374" i="17"/>
  <c r="Y374" i="17"/>
  <c r="R374" i="17"/>
  <c r="AL374" i="17"/>
  <c r="O374" i="17"/>
  <c r="AM374" i="17"/>
  <c r="AP374" i="17"/>
  <c r="L374" i="17"/>
  <c r="H374" i="17"/>
  <c r="AB374" i="17"/>
  <c r="M374" i="17"/>
  <c r="AO374" i="17"/>
  <c r="T374" i="17"/>
  <c r="AE374" i="17"/>
  <c r="AX374" i="17"/>
  <c r="BA374" i="17"/>
  <c r="AZ374" i="17"/>
  <c r="D374" i="17"/>
  <c r="AR374" i="17"/>
  <c r="I374" i="17"/>
  <c r="J374" i="17"/>
  <c r="G374" i="17"/>
  <c r="AS374" i="17"/>
  <c r="AF374" i="17"/>
  <c r="AJ374" i="17"/>
  <c r="U374" i="17"/>
  <c r="AV374" i="17"/>
  <c r="AI374" i="17"/>
  <c r="Q374" i="17"/>
  <c r="AU374" i="17"/>
  <c r="AN374" i="17"/>
  <c r="W374" i="17"/>
  <c r="C376" i="17" l="1"/>
  <c r="BA375" i="17"/>
  <c r="U375" i="17"/>
  <c r="X375" i="17"/>
  <c r="AP375" i="17"/>
  <c r="Y375" i="17"/>
  <c r="Q375" i="17"/>
  <c r="AK375" i="17"/>
  <c r="Z375" i="17"/>
  <c r="AZ375" i="17"/>
  <c r="AQ375" i="17"/>
  <c r="AX375" i="17"/>
  <c r="P375" i="17"/>
  <c r="D375" i="17"/>
  <c r="AO375" i="17"/>
  <c r="I375" i="17"/>
  <c r="AA375" i="17"/>
  <c r="O375" i="17"/>
  <c r="AR375" i="17"/>
  <c r="AI375" i="17"/>
  <c r="AC375" i="17"/>
  <c r="AJ375" i="17"/>
  <c r="L375" i="17"/>
  <c r="AG375" i="17"/>
  <c r="AH375" i="17"/>
  <c r="J375" i="17"/>
  <c r="M375" i="17"/>
  <c r="AW375" i="17"/>
  <c r="W375" i="17"/>
  <c r="AS375" i="17"/>
  <c r="G375" i="17"/>
  <c r="AF375" i="17"/>
  <c r="AN375" i="17"/>
  <c r="AB375" i="17"/>
  <c r="AM375" i="17"/>
  <c r="K375" i="17"/>
  <c r="F375" i="17"/>
  <c r="AV375" i="17"/>
  <c r="R375" i="17"/>
  <c r="V375" i="17"/>
  <c r="E375" i="17"/>
  <c r="AU375" i="17"/>
  <c r="H375" i="17"/>
  <c r="T375" i="17"/>
  <c r="S375" i="17"/>
  <c r="AT375" i="17"/>
  <c r="AY375" i="17"/>
  <c r="AE375" i="17"/>
  <c r="AD375" i="17"/>
  <c r="N375" i="17"/>
  <c r="AL375" i="17"/>
  <c r="C377" i="17" l="1"/>
  <c r="D376" i="17"/>
  <c r="AM376" i="17"/>
  <c r="AD376" i="17"/>
  <c r="S376" i="17"/>
  <c r="Z376" i="17"/>
  <c r="J376" i="17"/>
  <c r="T376" i="17"/>
  <c r="BA376" i="17"/>
  <c r="AQ376" i="17"/>
  <c r="AI376" i="17"/>
  <c r="U376" i="17"/>
  <c r="N376" i="17"/>
  <c r="AP376" i="17"/>
  <c r="I376" i="17"/>
  <c r="AT376" i="17"/>
  <c r="AJ376" i="17"/>
  <c r="F376" i="17"/>
  <c r="AA376" i="17"/>
  <c r="X376" i="17"/>
  <c r="H376" i="17"/>
  <c r="M376" i="17"/>
  <c r="E376" i="17"/>
  <c r="AV376" i="17"/>
  <c r="Q376" i="17"/>
  <c r="AK376" i="17"/>
  <c r="W376" i="17"/>
  <c r="Y376" i="17"/>
  <c r="R376" i="17"/>
  <c r="AW376" i="17"/>
  <c r="AY376" i="17"/>
  <c r="AZ376" i="17"/>
  <c r="L376" i="17"/>
  <c r="O376" i="17"/>
  <c r="K376" i="17"/>
  <c r="AH376" i="17"/>
  <c r="V376" i="17"/>
  <c r="AF376" i="17"/>
  <c r="AB376" i="17"/>
  <c r="AS376" i="17"/>
  <c r="AX376" i="17"/>
  <c r="P376" i="17"/>
  <c r="G376" i="17"/>
  <c r="AO376" i="17"/>
  <c r="AU376" i="17"/>
  <c r="AC376" i="17"/>
  <c r="AN376" i="17"/>
  <c r="AG376" i="17"/>
  <c r="AE376" i="17"/>
  <c r="AL376" i="17"/>
  <c r="AR376" i="17"/>
  <c r="C378" i="17" l="1"/>
  <c r="AL377" i="17"/>
  <c r="AY377" i="17"/>
  <c r="Z377" i="17"/>
  <c r="V377" i="17"/>
  <c r="R377" i="17"/>
  <c r="AS377" i="17"/>
  <c r="U377" i="17"/>
  <c r="F377" i="17"/>
  <c r="W377" i="17"/>
  <c r="X377" i="17"/>
  <c r="G377" i="17"/>
  <c r="AO377" i="17"/>
  <c r="K377" i="17"/>
  <c r="AR377" i="17"/>
  <c r="AK377" i="17"/>
  <c r="H377" i="17"/>
  <c r="N377" i="17"/>
  <c r="E377" i="17"/>
  <c r="AN377" i="17"/>
  <c r="I377" i="17"/>
  <c r="M377" i="17"/>
  <c r="AW377" i="17"/>
  <c r="AX377" i="17"/>
  <c r="AV377" i="17"/>
  <c r="AC377" i="17"/>
  <c r="Y377" i="17"/>
  <c r="Q377" i="17"/>
  <c r="L377" i="17"/>
  <c r="J377" i="17"/>
  <c r="AJ377" i="17"/>
  <c r="AB377" i="17"/>
  <c r="AT377" i="17"/>
  <c r="AD377" i="17"/>
  <c r="AZ377" i="17"/>
  <c r="T377" i="17"/>
  <c r="AP377" i="17"/>
  <c r="D377" i="17"/>
  <c r="AI377" i="17"/>
  <c r="AG377" i="17"/>
  <c r="AU377" i="17"/>
  <c r="AE377" i="17"/>
  <c r="S377" i="17"/>
  <c r="AM377" i="17"/>
  <c r="AF377" i="17"/>
  <c r="O377" i="17"/>
  <c r="AH377" i="17"/>
  <c r="P377" i="17"/>
  <c r="AA377" i="17"/>
  <c r="BA377" i="17"/>
  <c r="AQ377" i="17"/>
  <c r="C379" i="17" l="1"/>
  <c r="T378" i="17"/>
  <c r="AK378" i="17"/>
  <c r="E378" i="17"/>
  <c r="Y378" i="17"/>
  <c r="J378" i="17"/>
  <c r="AD378" i="17"/>
  <c r="AH378" i="17"/>
  <c r="Q378" i="17"/>
  <c r="V378" i="17"/>
  <c r="AL378" i="17"/>
  <c r="W378" i="17"/>
  <c r="AG378" i="17"/>
  <c r="O378" i="17"/>
  <c r="AE378" i="17"/>
  <c r="L378" i="17"/>
  <c r="AJ378" i="17"/>
  <c r="AS378" i="17"/>
  <c r="AF378" i="17"/>
  <c r="AA378" i="17"/>
  <c r="AM378" i="17"/>
  <c r="G378" i="17"/>
  <c r="K378" i="17"/>
  <c r="AB378" i="17"/>
  <c r="N378" i="17"/>
  <c r="AO378" i="17"/>
  <c r="AP378" i="17"/>
  <c r="P378" i="17"/>
  <c r="AT378" i="17"/>
  <c r="S378" i="17"/>
  <c r="AW378" i="17"/>
  <c r="M378" i="17"/>
  <c r="D378" i="17"/>
  <c r="AX378" i="17"/>
  <c r="Z378" i="17"/>
  <c r="AY378" i="17"/>
  <c r="H378" i="17"/>
  <c r="X378" i="17"/>
  <c r="BA378" i="17"/>
  <c r="I378" i="17"/>
  <c r="U378" i="17"/>
  <c r="AU378" i="17"/>
  <c r="F378" i="17"/>
  <c r="AZ378" i="17"/>
  <c r="AQ378" i="17"/>
  <c r="AV378" i="17"/>
  <c r="AI378" i="17"/>
  <c r="AR378" i="17"/>
  <c r="AN378" i="17"/>
  <c r="AC378" i="17"/>
  <c r="R378" i="17"/>
  <c r="C380" i="17" l="1"/>
  <c r="AO379" i="17"/>
  <c r="AY379" i="17"/>
  <c r="M379" i="17"/>
  <c r="Y379" i="17"/>
  <c r="Q379" i="17"/>
  <c r="AI379" i="17"/>
  <c r="AP379" i="17"/>
  <c r="R379" i="17"/>
  <c r="L379" i="17"/>
  <c r="AM379" i="17"/>
  <c r="I379" i="17"/>
  <c r="T379" i="17"/>
  <c r="AF379" i="17"/>
  <c r="AR379" i="17"/>
  <c r="AN379" i="17"/>
  <c r="X379" i="17"/>
  <c r="AL379" i="17"/>
  <c r="AQ379" i="17"/>
  <c r="BA379" i="17"/>
  <c r="AA379" i="17"/>
  <c r="N379" i="17"/>
  <c r="AZ379" i="17"/>
  <c r="Z379" i="17"/>
  <c r="AB379" i="17"/>
  <c r="P379" i="17"/>
  <c r="H379" i="17"/>
  <c r="AX379" i="17"/>
  <c r="AH379" i="17"/>
  <c r="AE379" i="17"/>
  <c r="G379" i="17"/>
  <c r="V379" i="17"/>
  <c r="E379" i="17"/>
  <c r="AC379" i="17"/>
  <c r="S379" i="17"/>
  <c r="AJ379" i="17"/>
  <c r="AT379" i="17"/>
  <c r="AK379" i="17"/>
  <c r="D379" i="17"/>
  <c r="AV379" i="17"/>
  <c r="K379" i="17"/>
  <c r="AU379" i="17"/>
  <c r="AS379" i="17"/>
  <c r="J379" i="17"/>
  <c r="AG379" i="17"/>
  <c r="F379" i="17"/>
  <c r="AW379" i="17"/>
  <c r="W379" i="17"/>
  <c r="U379" i="17"/>
  <c r="O379" i="17"/>
  <c r="AD379" i="17"/>
  <c r="C381" i="17" l="1"/>
  <c r="AT380" i="17"/>
  <c r="AH380" i="17"/>
  <c r="AU380" i="17"/>
  <c r="AQ380" i="17"/>
  <c r="AX380" i="17"/>
  <c r="AY380" i="17"/>
  <c r="F380" i="17"/>
  <c r="K380" i="17"/>
  <c r="P380" i="17"/>
  <c r="M380" i="17"/>
  <c r="R380" i="17"/>
  <c r="W380" i="17"/>
  <c r="N380" i="17"/>
  <c r="H380" i="17"/>
  <c r="BA380" i="17"/>
  <c r="AZ380" i="17"/>
  <c r="Q380" i="17"/>
  <c r="AS380" i="17"/>
  <c r="AF380" i="17"/>
  <c r="AJ380" i="17"/>
  <c r="AK380" i="17"/>
  <c r="O380" i="17"/>
  <c r="AO380" i="17"/>
  <c r="AD380" i="17"/>
  <c r="AG380" i="17"/>
  <c r="AV380" i="17"/>
  <c r="I380" i="17"/>
  <c r="G380" i="17"/>
  <c r="D380" i="17"/>
  <c r="AN380" i="17"/>
  <c r="AM380" i="17"/>
  <c r="AR380" i="17"/>
  <c r="L380" i="17"/>
  <c r="Z380" i="17"/>
  <c r="T380" i="17"/>
  <c r="AA380" i="17"/>
  <c r="E380" i="17"/>
  <c r="AL380" i="17"/>
  <c r="X380" i="17"/>
  <c r="V380" i="17"/>
  <c r="U380" i="17"/>
  <c r="AI380" i="17"/>
  <c r="Y380" i="17"/>
  <c r="AC380" i="17"/>
  <c r="AB380" i="17"/>
  <c r="AW380" i="17"/>
  <c r="AE380" i="17"/>
  <c r="J380" i="17"/>
  <c r="AP380" i="17"/>
  <c r="S380" i="17"/>
  <c r="C382" i="17" l="1"/>
  <c r="AB381" i="17"/>
  <c r="AG381" i="17"/>
  <c r="AR381" i="17"/>
  <c r="AN381" i="17"/>
  <c r="R381" i="17"/>
  <c r="Y381" i="17"/>
  <c r="AI381" i="17"/>
  <c r="AS381" i="17"/>
  <c r="AV381" i="17"/>
  <c r="G381" i="17"/>
  <c r="AU381" i="17"/>
  <c r="AA381" i="17"/>
  <c r="E381" i="17"/>
  <c r="AE381" i="17"/>
  <c r="O381" i="17"/>
  <c r="AK381" i="17"/>
  <c r="AX381" i="17"/>
  <c r="AM381" i="17"/>
  <c r="Q381" i="17"/>
  <c r="AY381" i="17"/>
  <c r="F381" i="17"/>
  <c r="H381" i="17"/>
  <c r="AD381" i="17"/>
  <c r="AC381" i="17"/>
  <c r="M381" i="17"/>
  <c r="AH381" i="17"/>
  <c r="T381" i="17"/>
  <c r="W381" i="17"/>
  <c r="AO381" i="17"/>
  <c r="P381" i="17"/>
  <c r="AW381" i="17"/>
  <c r="AL381" i="17"/>
  <c r="N381" i="17"/>
  <c r="AJ381" i="17"/>
  <c r="AF381" i="17"/>
  <c r="I381" i="17"/>
  <c r="K381" i="17"/>
  <c r="AP381" i="17"/>
  <c r="U381" i="17"/>
  <c r="S381" i="17"/>
  <c r="X381" i="17"/>
  <c r="Z381" i="17"/>
  <c r="BA381" i="17"/>
  <c r="AT381" i="17"/>
  <c r="AZ381" i="17"/>
  <c r="L381" i="17"/>
  <c r="AQ381" i="17"/>
  <c r="D381" i="17"/>
  <c r="J381" i="17"/>
  <c r="V381" i="17"/>
  <c r="C383" i="17" l="1"/>
  <c r="S382" i="17"/>
  <c r="AC382" i="17"/>
  <c r="O382" i="17"/>
  <c r="AV382" i="17"/>
  <c r="N382" i="17"/>
  <c r="Y382" i="17"/>
  <c r="I382" i="17"/>
  <c r="AS382" i="17"/>
  <c r="AU382" i="17"/>
  <c r="AP382" i="17"/>
  <c r="F382" i="17"/>
  <c r="R382" i="17"/>
  <c r="AJ382" i="17"/>
  <c r="T382" i="17"/>
  <c r="BA382" i="17"/>
  <c r="AQ382" i="17"/>
  <c r="AY382" i="17"/>
  <c r="AO382" i="17"/>
  <c r="AG382" i="17"/>
  <c r="AB382" i="17"/>
  <c r="J382" i="17"/>
  <c r="AI382" i="17"/>
  <c r="X382" i="17"/>
  <c r="G382" i="17"/>
  <c r="V382" i="17"/>
  <c r="AK382" i="17"/>
  <c r="L382" i="17"/>
  <c r="AM382" i="17"/>
  <c r="W382" i="17"/>
  <c r="K382" i="17"/>
  <c r="E382" i="17"/>
  <c r="AA382" i="17"/>
  <c r="P382" i="17"/>
  <c r="M382" i="17"/>
  <c r="AF382" i="17"/>
  <c r="AD382" i="17"/>
  <c r="AW382" i="17"/>
  <c r="AE382" i="17"/>
  <c r="D382" i="17"/>
  <c r="Q382" i="17"/>
  <c r="U382" i="17"/>
  <c r="AZ382" i="17"/>
  <c r="Z382" i="17"/>
  <c r="AX382" i="17"/>
  <c r="AR382" i="17"/>
  <c r="AT382" i="17"/>
  <c r="H382" i="17"/>
  <c r="AL382" i="17"/>
  <c r="AH382" i="17"/>
  <c r="AN382" i="17"/>
  <c r="C384" i="17" l="1"/>
  <c r="G383" i="17"/>
  <c r="D383" i="17"/>
  <c r="AN383" i="17"/>
  <c r="AL383" i="17"/>
  <c r="AZ383" i="17"/>
  <c r="S383" i="17"/>
  <c r="AY383" i="17"/>
  <c r="L383" i="17"/>
  <c r="I383" i="17"/>
  <c r="J383" i="17"/>
  <c r="AA383" i="17"/>
  <c r="V383" i="17"/>
  <c r="AE383" i="17"/>
  <c r="Q383" i="17"/>
  <c r="AQ383" i="17"/>
  <c r="AF383" i="17"/>
  <c r="AV383" i="17"/>
  <c r="O383" i="17"/>
  <c r="X383" i="17"/>
  <c r="T383" i="17"/>
  <c r="W383" i="17"/>
  <c r="AW383" i="17"/>
  <c r="AR383" i="17"/>
  <c r="AJ383" i="17"/>
  <c r="BA383" i="17"/>
  <c r="N383" i="17"/>
  <c r="AH383" i="17"/>
  <c r="AG383" i="17"/>
  <c r="AI383" i="17"/>
  <c r="E383" i="17"/>
  <c r="P383" i="17"/>
  <c r="AK383" i="17"/>
  <c r="R383" i="17"/>
  <c r="K383" i="17"/>
  <c r="AM383" i="17"/>
  <c r="AX383" i="17"/>
  <c r="F383" i="17"/>
  <c r="AD383" i="17"/>
  <c r="AB383" i="17"/>
  <c r="Z383" i="17"/>
  <c r="AP383" i="17"/>
  <c r="Y383" i="17"/>
  <c r="AU383" i="17"/>
  <c r="U383" i="17"/>
  <c r="H383" i="17"/>
  <c r="AT383" i="17"/>
  <c r="AC383" i="17"/>
  <c r="AS383" i="17"/>
  <c r="AO383" i="17"/>
  <c r="M383" i="17"/>
  <c r="C385" i="17" l="1"/>
  <c r="AT384" i="17"/>
  <c r="AJ384" i="17"/>
  <c r="AL384" i="17"/>
  <c r="W384" i="17"/>
  <c r="M384" i="17"/>
  <c r="R384" i="17"/>
  <c r="N384" i="17"/>
  <c r="AW384" i="17"/>
  <c r="AO384" i="17"/>
  <c r="X384" i="17"/>
  <c r="AQ384" i="17"/>
  <c r="AR384" i="17"/>
  <c r="I384" i="17"/>
  <c r="AC384" i="17"/>
  <c r="T384" i="17"/>
  <c r="S384" i="17"/>
  <c r="J384" i="17"/>
  <c r="F384" i="17"/>
  <c r="AN384" i="17"/>
  <c r="AD384" i="17"/>
  <c r="BA384" i="17"/>
  <c r="P384" i="17"/>
  <c r="V384" i="17"/>
  <c r="AE384" i="17"/>
  <c r="Q384" i="17"/>
  <c r="AX384" i="17"/>
  <c r="AY384" i="17"/>
  <c r="AB384" i="17"/>
  <c r="AI384" i="17"/>
  <c r="Y384" i="17"/>
  <c r="AH384" i="17"/>
  <c r="K384" i="17"/>
  <c r="O384" i="17"/>
  <c r="AV384" i="17"/>
  <c r="AF384" i="17"/>
  <c r="E384" i="17"/>
  <c r="D384" i="17"/>
  <c r="U384" i="17"/>
  <c r="G384" i="17"/>
  <c r="AU384" i="17"/>
  <c r="AA384" i="17"/>
  <c r="H384" i="17"/>
  <c r="AP384" i="17"/>
  <c r="Z384" i="17"/>
  <c r="AM384" i="17"/>
  <c r="AK384" i="17"/>
  <c r="AG384" i="17"/>
  <c r="L384" i="17"/>
  <c r="AZ384" i="17"/>
  <c r="AS384" i="17"/>
  <c r="C386" i="17" l="1"/>
  <c r="T385" i="17"/>
  <c r="AA385" i="17"/>
  <c r="AY385" i="17"/>
  <c r="Z385" i="17"/>
  <c r="W385" i="17"/>
  <c r="AR385" i="17"/>
  <c r="AE385" i="17"/>
  <c r="D385" i="17"/>
  <c r="BA385" i="17"/>
  <c r="AW385" i="17"/>
  <c r="AT385" i="17"/>
  <c r="H385" i="17"/>
  <c r="P385" i="17"/>
  <c r="AP385" i="17"/>
  <c r="S385" i="17"/>
  <c r="AK385" i="17"/>
  <c r="X385" i="17"/>
  <c r="AN385" i="17"/>
  <c r="K385" i="17"/>
  <c r="AX385" i="17"/>
  <c r="AH385" i="17"/>
  <c r="AB385" i="17"/>
  <c r="G385" i="17"/>
  <c r="L385" i="17"/>
  <c r="F385" i="17"/>
  <c r="M385" i="17"/>
  <c r="V385" i="17"/>
  <c r="O385" i="17"/>
  <c r="AD385" i="17"/>
  <c r="AM385" i="17"/>
  <c r="AS385" i="17"/>
  <c r="AG385" i="17"/>
  <c r="AI385" i="17"/>
  <c r="AF385" i="17"/>
  <c r="Y385" i="17"/>
  <c r="J385" i="17"/>
  <c r="R385" i="17"/>
  <c r="AL385" i="17"/>
  <c r="AQ385" i="17"/>
  <c r="AJ385" i="17"/>
  <c r="AU385" i="17"/>
  <c r="E385" i="17"/>
  <c r="AV385" i="17"/>
  <c r="Q385" i="17"/>
  <c r="AO385" i="17"/>
  <c r="U385" i="17"/>
  <c r="N385" i="17"/>
  <c r="AC385" i="17"/>
  <c r="I385" i="17"/>
  <c r="AZ385" i="17"/>
  <c r="C387" i="17" l="1"/>
  <c r="AG386" i="17"/>
  <c r="R386" i="17"/>
  <c r="AW386" i="17"/>
  <c r="D386" i="17"/>
  <c r="AU386" i="17"/>
  <c r="Z386" i="17"/>
  <c r="X386" i="17"/>
  <c r="AA386" i="17"/>
  <c r="M386" i="17"/>
  <c r="V386" i="17"/>
  <c r="E386" i="17"/>
  <c r="BA386" i="17"/>
  <c r="AJ386" i="17"/>
  <c r="AK386" i="17"/>
  <c r="AL386" i="17"/>
  <c r="AH386" i="17"/>
  <c r="U386" i="17"/>
  <c r="AE386" i="17"/>
  <c r="H386" i="17"/>
  <c r="AT386" i="17"/>
  <c r="Y386" i="17"/>
  <c r="AP386" i="17"/>
  <c r="O386" i="17"/>
  <c r="AB386" i="17"/>
  <c r="K386" i="17"/>
  <c r="F386" i="17"/>
  <c r="AC386" i="17"/>
  <c r="AQ386" i="17"/>
  <c r="AZ386" i="17"/>
  <c r="N386" i="17"/>
  <c r="AF386" i="17"/>
  <c r="S386" i="17"/>
  <c r="AR386" i="17"/>
  <c r="J386" i="17"/>
  <c r="AS386" i="17"/>
  <c r="AO386" i="17"/>
  <c r="AV386" i="17"/>
  <c r="AM386" i="17"/>
  <c r="AY386" i="17"/>
  <c r="I386" i="17"/>
  <c r="AX386" i="17"/>
  <c r="Q386" i="17"/>
  <c r="T386" i="17"/>
  <c r="AI386" i="17"/>
  <c r="P386" i="17"/>
  <c r="G386" i="17"/>
  <c r="AN386" i="17"/>
  <c r="W386" i="17"/>
  <c r="L386" i="17"/>
  <c r="AD386" i="17"/>
  <c r="C388" i="17" l="1"/>
  <c r="AZ387" i="17"/>
  <c r="AD387" i="17"/>
  <c r="AR387" i="17"/>
  <c r="AH387" i="17"/>
  <c r="BA387" i="17"/>
  <c r="K387" i="17"/>
  <c r="AO387" i="17"/>
  <c r="D387" i="17"/>
  <c r="AX387" i="17"/>
  <c r="AJ387" i="17"/>
  <c r="J387" i="17"/>
  <c r="M387" i="17"/>
  <c r="AA387" i="17"/>
  <c r="H387" i="17"/>
  <c r="AU387" i="17"/>
  <c r="AT387" i="17"/>
  <c r="AM387" i="17"/>
  <c r="T387" i="17"/>
  <c r="AF387" i="17"/>
  <c r="W387" i="17"/>
  <c r="F387" i="17"/>
  <c r="AG387" i="17"/>
  <c r="AE387" i="17"/>
  <c r="U387" i="17"/>
  <c r="AK387" i="17"/>
  <c r="AS387" i="17"/>
  <c r="X387" i="17"/>
  <c r="AB387" i="17"/>
  <c r="AY387" i="17"/>
  <c r="AP387" i="17"/>
  <c r="R387" i="17"/>
  <c r="P387" i="17"/>
  <c r="S387" i="17"/>
  <c r="AV387" i="17"/>
  <c r="AC387" i="17"/>
  <c r="L387" i="17"/>
  <c r="AQ387" i="17"/>
  <c r="AN387" i="17"/>
  <c r="G387" i="17"/>
  <c r="V387" i="17"/>
  <c r="AL387" i="17"/>
  <c r="N387" i="17"/>
  <c r="Q387" i="17"/>
  <c r="E387" i="17"/>
  <c r="Z387" i="17"/>
  <c r="I387" i="17"/>
  <c r="Y387" i="17"/>
  <c r="AI387" i="17"/>
  <c r="O387" i="17"/>
  <c r="AW387" i="17"/>
  <c r="C389" i="17" l="1"/>
  <c r="J388" i="17"/>
  <c r="AM388" i="17"/>
  <c r="O388" i="17"/>
  <c r="AF388" i="17"/>
  <c r="L388" i="17"/>
  <c r="M388" i="17"/>
  <c r="D388" i="17"/>
  <c r="AS388" i="17"/>
  <c r="AR388" i="17"/>
  <c r="AT388" i="17"/>
  <c r="U388" i="17"/>
  <c r="Q388" i="17"/>
  <c r="AL388" i="17"/>
  <c r="V388" i="17"/>
  <c r="K388" i="17"/>
  <c r="I388" i="17"/>
  <c r="AZ388" i="17"/>
  <c r="AE388" i="17"/>
  <c r="W388" i="17"/>
  <c r="AV388" i="17"/>
  <c r="AB388" i="17"/>
  <c r="AG388" i="17"/>
  <c r="E388" i="17"/>
  <c r="AQ388" i="17"/>
  <c r="AI388" i="17"/>
  <c r="AO388" i="17"/>
  <c r="AU388" i="17"/>
  <c r="H388" i="17"/>
  <c r="AX388" i="17"/>
  <c r="T388" i="17"/>
  <c r="AW388" i="17"/>
  <c r="N388" i="17"/>
  <c r="P388" i="17"/>
  <c r="G388" i="17"/>
  <c r="AP388" i="17"/>
  <c r="Z388" i="17"/>
  <c r="AJ388" i="17"/>
  <c r="S388" i="17"/>
  <c r="AC388" i="17"/>
  <c r="BA388" i="17"/>
  <c r="AN388" i="17"/>
  <c r="AD388" i="17"/>
  <c r="Y388" i="17"/>
  <c r="AH388" i="17"/>
  <c r="R388" i="17"/>
  <c r="AY388" i="17"/>
  <c r="F388" i="17"/>
  <c r="X388" i="17"/>
  <c r="AA388" i="17"/>
  <c r="AK388" i="17"/>
  <c r="C390" i="17" l="1"/>
  <c r="Z389" i="17"/>
  <c r="P389" i="17"/>
  <c r="L389" i="17"/>
  <c r="V389" i="17"/>
  <c r="AI389" i="17"/>
  <c r="AV389" i="17"/>
  <c r="AH389" i="17"/>
  <c r="M389" i="17"/>
  <c r="AS389" i="17"/>
  <c r="W389" i="17"/>
  <c r="H389" i="17"/>
  <c r="D389" i="17"/>
  <c r="G389" i="17"/>
  <c r="R389" i="17"/>
  <c r="K389" i="17"/>
  <c r="AX389" i="17"/>
  <c r="AN389" i="17"/>
  <c r="Y389" i="17"/>
  <c r="T389" i="17"/>
  <c r="U389" i="17"/>
  <c r="AQ389" i="17"/>
  <c r="AO389" i="17"/>
  <c r="S389" i="17"/>
  <c r="X389" i="17"/>
  <c r="AY389" i="17"/>
  <c r="O389" i="17"/>
  <c r="AU389" i="17"/>
  <c r="AT389" i="17"/>
  <c r="Q389" i="17"/>
  <c r="AP389" i="17"/>
  <c r="BA389" i="17"/>
  <c r="E389" i="17"/>
  <c r="AA389" i="17"/>
  <c r="AB389" i="17"/>
  <c r="AC389" i="17"/>
  <c r="I389" i="17"/>
  <c r="AL389" i="17"/>
  <c r="AR389" i="17"/>
  <c r="AJ389" i="17"/>
  <c r="J389" i="17"/>
  <c r="F389" i="17"/>
  <c r="AW389" i="17"/>
  <c r="AG389" i="17"/>
  <c r="N389" i="17"/>
  <c r="AK389" i="17"/>
  <c r="AM389" i="17"/>
  <c r="AE389" i="17"/>
  <c r="AD389" i="17"/>
  <c r="AF389" i="17"/>
  <c r="AZ389" i="17"/>
  <c r="C391" i="17" l="1"/>
  <c r="T390" i="17"/>
  <c r="AM390" i="17"/>
  <c r="AJ390" i="17"/>
  <c r="N390" i="17"/>
  <c r="AK390" i="17"/>
  <c r="AT390" i="17"/>
  <c r="M390" i="17"/>
  <c r="R390" i="17"/>
  <c r="L390" i="17"/>
  <c r="W390" i="17"/>
  <c r="AD390" i="17"/>
  <c r="AH390" i="17"/>
  <c r="E390" i="17"/>
  <c r="AZ390" i="17"/>
  <c r="AW390" i="17"/>
  <c r="AO390" i="17"/>
  <c r="S390" i="17"/>
  <c r="Z390" i="17"/>
  <c r="AG390" i="17"/>
  <c r="I390" i="17"/>
  <c r="AY390" i="17"/>
  <c r="Y390" i="17"/>
  <c r="O390" i="17"/>
  <c r="G390" i="17"/>
  <c r="P390" i="17"/>
  <c r="AI390" i="17"/>
  <c r="AQ390" i="17"/>
  <c r="AE390" i="17"/>
  <c r="X390" i="17"/>
  <c r="AX390" i="17"/>
  <c r="AV390" i="17"/>
  <c r="AL390" i="17"/>
  <c r="J390" i="17"/>
  <c r="AN390" i="17"/>
  <c r="AC390" i="17"/>
  <c r="AS390" i="17"/>
  <c r="AP390" i="17"/>
  <c r="Q390" i="17"/>
  <c r="BA390" i="17"/>
  <c r="U390" i="17"/>
  <c r="AU390" i="17"/>
  <c r="AF390" i="17"/>
  <c r="AA390" i="17"/>
  <c r="F390" i="17"/>
  <c r="AR390" i="17"/>
  <c r="D390" i="17"/>
  <c r="V390" i="17"/>
  <c r="AB390" i="17"/>
  <c r="K390" i="17"/>
  <c r="H390" i="17"/>
  <c r="C392" i="17" l="1"/>
  <c r="AL391" i="17"/>
  <c r="D391" i="17"/>
  <c r="O391" i="17"/>
  <c r="I391" i="17"/>
  <c r="AE391" i="17"/>
  <c r="AV391" i="17"/>
  <c r="P391" i="17"/>
  <c r="AX391" i="17"/>
  <c r="AD391" i="17"/>
  <c r="S391" i="17"/>
  <c r="K391" i="17"/>
  <c r="AB391" i="17"/>
  <c r="E391" i="17"/>
  <c r="AR391" i="17"/>
  <c r="T391" i="17"/>
  <c r="AQ391" i="17"/>
  <c r="F391" i="17"/>
  <c r="J391" i="17"/>
  <c r="Q391" i="17"/>
  <c r="AY391" i="17"/>
  <c r="AH391" i="17"/>
  <c r="L391" i="17"/>
  <c r="AT391" i="17"/>
  <c r="AS391" i="17"/>
  <c r="AC391" i="17"/>
  <c r="AZ391" i="17"/>
  <c r="AG391" i="17"/>
  <c r="Z391" i="17"/>
  <c r="AO391" i="17"/>
  <c r="AU391" i="17"/>
  <c r="AP391" i="17"/>
  <c r="W391" i="17"/>
  <c r="BA391" i="17"/>
  <c r="AK391" i="17"/>
  <c r="M391" i="17"/>
  <c r="AN391" i="17"/>
  <c r="AW391" i="17"/>
  <c r="R391" i="17"/>
  <c r="H391" i="17"/>
  <c r="AF391" i="17"/>
  <c r="V391" i="17"/>
  <c r="Y391" i="17"/>
  <c r="N391" i="17"/>
  <c r="U391" i="17"/>
  <c r="AM391" i="17"/>
  <c r="AI391" i="17"/>
  <c r="AA391" i="17"/>
  <c r="G391" i="17"/>
  <c r="X391" i="17"/>
  <c r="AJ391" i="17"/>
  <c r="C393" i="17" l="1"/>
  <c r="AL392" i="17"/>
  <c r="N392" i="17"/>
  <c r="AF392" i="17"/>
  <c r="T392" i="17"/>
  <c r="V392" i="17"/>
  <c r="G392" i="17"/>
  <c r="AT392" i="17"/>
  <c r="BA392" i="17"/>
  <c r="AM392" i="17"/>
  <c r="AO392" i="17"/>
  <c r="W392" i="17"/>
  <c r="AU392" i="17"/>
  <c r="X392" i="17"/>
  <c r="K392" i="17"/>
  <c r="AW392" i="17"/>
  <c r="O392" i="17"/>
  <c r="L392" i="17"/>
  <c r="P392" i="17"/>
  <c r="AB392" i="17"/>
  <c r="I392" i="17"/>
  <c r="Y392" i="17"/>
  <c r="AC392" i="17"/>
  <c r="M392" i="17"/>
  <c r="AR392" i="17"/>
  <c r="AA392" i="17"/>
  <c r="AS392" i="17"/>
  <c r="AZ392" i="17"/>
  <c r="Q392" i="17"/>
  <c r="AE392" i="17"/>
  <c r="AD392" i="17"/>
  <c r="Z392" i="17"/>
  <c r="H392" i="17"/>
  <c r="S392" i="17"/>
  <c r="AG392" i="17"/>
  <c r="D392" i="17"/>
  <c r="U392" i="17"/>
  <c r="AI392" i="17"/>
  <c r="AN392" i="17"/>
  <c r="AH392" i="17"/>
  <c r="AJ392" i="17"/>
  <c r="AY392" i="17"/>
  <c r="F392" i="17"/>
  <c r="J392" i="17"/>
  <c r="R392" i="17"/>
  <c r="E392" i="17"/>
  <c r="AQ392" i="17"/>
  <c r="AK392" i="17"/>
  <c r="AV392" i="17"/>
  <c r="AX392" i="17"/>
  <c r="AP392" i="17"/>
  <c r="C394" i="17" l="1"/>
  <c r="Q393" i="17"/>
  <c r="AX393" i="17"/>
  <c r="AB393" i="17"/>
  <c r="I393" i="17"/>
  <c r="AR393" i="17"/>
  <c r="N393" i="17"/>
  <c r="M393" i="17"/>
  <c r="AA393" i="17"/>
  <c r="AI393" i="17"/>
  <c r="AU393" i="17"/>
  <c r="L393" i="17"/>
  <c r="AG393" i="17"/>
  <c r="AK393" i="17"/>
  <c r="AV393" i="17"/>
  <c r="U393" i="17"/>
  <c r="AZ393" i="17"/>
  <c r="AH393" i="17"/>
  <c r="W393" i="17"/>
  <c r="AY393" i="17"/>
  <c r="V393" i="17"/>
  <c r="AE393" i="17"/>
  <c r="G393" i="17"/>
  <c r="AS393" i="17"/>
  <c r="X393" i="17"/>
  <c r="Y393" i="17"/>
  <c r="AC393" i="17"/>
  <c r="F393" i="17"/>
  <c r="E393" i="17"/>
  <c r="P393" i="17"/>
  <c r="AD393" i="17"/>
  <c r="AW393" i="17"/>
  <c r="K393" i="17"/>
  <c r="AN393" i="17"/>
  <c r="R393" i="17"/>
  <c r="O393" i="17"/>
  <c r="AF393" i="17"/>
  <c r="AT393" i="17"/>
  <c r="Z393" i="17"/>
  <c r="J393" i="17"/>
  <c r="H393" i="17"/>
  <c r="AQ393" i="17"/>
  <c r="AO393" i="17"/>
  <c r="AL393" i="17"/>
  <c r="S393" i="17"/>
  <c r="D393" i="17"/>
  <c r="BA393" i="17"/>
  <c r="AP393" i="17"/>
  <c r="AM393" i="17"/>
  <c r="T393" i="17"/>
  <c r="AJ393" i="17"/>
  <c r="C395" i="17" l="1"/>
  <c r="E394" i="17"/>
  <c r="AC394" i="17"/>
  <c r="AV394" i="17"/>
  <c r="AL394" i="17"/>
  <c r="AK394" i="17"/>
  <c r="Q394" i="17"/>
  <c r="AM394" i="17"/>
  <c r="T394" i="17"/>
  <c r="X394" i="17"/>
  <c r="AN394" i="17"/>
  <c r="AW394" i="17"/>
  <c r="Y394" i="17"/>
  <c r="AY394" i="17"/>
  <c r="AP394" i="17"/>
  <c r="AG394" i="17"/>
  <c r="AQ394" i="17"/>
  <c r="AT394" i="17"/>
  <c r="I394" i="17"/>
  <c r="AB394" i="17"/>
  <c r="K394" i="17"/>
  <c r="AJ394" i="17"/>
  <c r="G394" i="17"/>
  <c r="L394" i="17"/>
  <c r="O394" i="17"/>
  <c r="P394" i="17"/>
  <c r="H394" i="17"/>
  <c r="AU394" i="17"/>
  <c r="AF394" i="17"/>
  <c r="AO394" i="17"/>
  <c r="N394" i="17"/>
  <c r="V394" i="17"/>
  <c r="AH394" i="17"/>
  <c r="W394" i="17"/>
  <c r="AD394" i="17"/>
  <c r="J394" i="17"/>
  <c r="R394" i="17"/>
  <c r="AS394" i="17"/>
  <c r="U394" i="17"/>
  <c r="AR394" i="17"/>
  <c r="AE394" i="17"/>
  <c r="D394" i="17"/>
  <c r="F394" i="17"/>
  <c r="AZ394" i="17"/>
  <c r="Z394" i="17"/>
  <c r="AA394" i="17"/>
  <c r="S394" i="17"/>
  <c r="AX394" i="17"/>
  <c r="M394" i="17"/>
  <c r="AI394" i="17"/>
  <c r="BA394" i="17"/>
  <c r="C396" i="17" l="1"/>
  <c r="S395" i="17"/>
  <c r="AZ395" i="17"/>
  <c r="F395" i="17"/>
  <c r="AW395" i="17"/>
  <c r="V395" i="17"/>
  <c r="L395" i="17"/>
  <c r="BA395" i="17"/>
  <c r="E395" i="17"/>
  <c r="AO395" i="17"/>
  <c r="AV395" i="17"/>
  <c r="AU395" i="17"/>
  <c r="AQ395" i="17"/>
  <c r="K395" i="17"/>
  <c r="J395" i="17"/>
  <c r="M395" i="17"/>
  <c r="AH395" i="17"/>
  <c r="O395" i="17"/>
  <c r="AP395" i="17"/>
  <c r="AJ395" i="17"/>
  <c r="AX395" i="17"/>
  <c r="AB395" i="17"/>
  <c r="R395" i="17"/>
  <c r="H395" i="17"/>
  <c r="I395" i="17"/>
  <c r="Y395" i="17"/>
  <c r="AY395" i="17"/>
  <c r="Q395" i="17"/>
  <c r="AG395" i="17"/>
  <c r="AE395" i="17"/>
  <c r="U395" i="17"/>
  <c r="AT395" i="17"/>
  <c r="AA395" i="17"/>
  <c r="AR395" i="17"/>
  <c r="D395" i="17"/>
  <c r="AM395" i="17"/>
  <c r="W395" i="17"/>
  <c r="AS395" i="17"/>
  <c r="AF395" i="17"/>
  <c r="AD395" i="17"/>
  <c r="G395" i="17"/>
  <c r="T395" i="17"/>
  <c r="P395" i="17"/>
  <c r="X395" i="17"/>
  <c r="N395" i="17"/>
  <c r="AN395" i="17"/>
  <c r="AC395" i="17"/>
  <c r="Z395" i="17"/>
  <c r="AI395" i="17"/>
  <c r="AL395" i="17"/>
  <c r="AK395" i="17"/>
  <c r="C397" i="17" l="1"/>
  <c r="AX396" i="17"/>
  <c r="K396" i="17"/>
  <c r="Q396" i="17"/>
  <c r="AZ396" i="17"/>
  <c r="AO396" i="17"/>
  <c r="AK396" i="17"/>
  <c r="M396" i="17"/>
  <c r="G396" i="17"/>
  <c r="AA396" i="17"/>
  <c r="AM396" i="17"/>
  <c r="AN396" i="17"/>
  <c r="Y396" i="17"/>
  <c r="X396" i="17"/>
  <c r="V396" i="17"/>
  <c r="I396" i="17"/>
  <c r="AP396" i="17"/>
  <c r="AJ396" i="17"/>
  <c r="AH396" i="17"/>
  <c r="T396" i="17"/>
  <c r="P396" i="17"/>
  <c r="Z396" i="17"/>
  <c r="U396" i="17"/>
  <c r="W396" i="17"/>
  <c r="O396" i="17"/>
  <c r="BA396" i="17"/>
  <c r="H396" i="17"/>
  <c r="AG396" i="17"/>
  <c r="F396" i="17"/>
  <c r="AL396" i="17"/>
  <c r="J396" i="17"/>
  <c r="AS396" i="17"/>
  <c r="AR396" i="17"/>
  <c r="AU396" i="17"/>
  <c r="AB396" i="17"/>
  <c r="D396" i="17"/>
  <c r="AD396" i="17"/>
  <c r="AT396" i="17"/>
  <c r="AY396" i="17"/>
  <c r="AV396" i="17"/>
  <c r="S396" i="17"/>
  <c r="AE396" i="17"/>
  <c r="E396" i="17"/>
  <c r="AF396" i="17"/>
  <c r="R396" i="17"/>
  <c r="AC396" i="17"/>
  <c r="AI396" i="17"/>
  <c r="L396" i="17"/>
  <c r="N396" i="17"/>
  <c r="AW396" i="17"/>
  <c r="AQ396" i="17"/>
  <c r="C398" i="17" l="1"/>
  <c r="S397" i="17"/>
  <c r="P397" i="17"/>
  <c r="BA397" i="17"/>
  <c r="W397" i="17"/>
  <c r="R397" i="17"/>
  <c r="H397" i="17"/>
  <c r="T397" i="17"/>
  <c r="AM397" i="17"/>
  <c r="N397" i="17"/>
  <c r="U397" i="17"/>
  <c r="AO397" i="17"/>
  <c r="AG397" i="17"/>
  <c r="AX397" i="17"/>
  <c r="AC397" i="17"/>
  <c r="AI397" i="17"/>
  <c r="AN397" i="17"/>
  <c r="F397" i="17"/>
  <c r="AK397" i="17"/>
  <c r="X397" i="17"/>
  <c r="AE397" i="17"/>
  <c r="AL397" i="17"/>
  <c r="D397" i="17"/>
  <c r="AS397" i="17"/>
  <c r="AJ397" i="17"/>
  <c r="AW397" i="17"/>
  <c r="AU397" i="17"/>
  <c r="I397" i="17"/>
  <c r="AV397" i="17"/>
  <c r="AF397" i="17"/>
  <c r="L397" i="17"/>
  <c r="AB397" i="17"/>
  <c r="E397" i="17"/>
  <c r="AH397" i="17"/>
  <c r="Z397" i="17"/>
  <c r="AP397" i="17"/>
  <c r="M397" i="17"/>
  <c r="AA397" i="17"/>
  <c r="AD397" i="17"/>
  <c r="AY397" i="17"/>
  <c r="K397" i="17"/>
  <c r="J397" i="17"/>
  <c r="AR397" i="17"/>
  <c r="Y397" i="17"/>
  <c r="Q397" i="17"/>
  <c r="AZ397" i="17"/>
  <c r="AT397" i="17"/>
  <c r="O397" i="17"/>
  <c r="V397" i="17"/>
  <c r="AQ397" i="17"/>
  <c r="G397" i="17"/>
  <c r="C399" i="17" l="1"/>
  <c r="AH398" i="17"/>
  <c r="AD398" i="17"/>
  <c r="AM398" i="17"/>
  <c r="AP398" i="17"/>
  <c r="H398" i="17"/>
  <c r="I398" i="17"/>
  <c r="N398" i="17"/>
  <c r="AJ398" i="17"/>
  <c r="U398" i="17"/>
  <c r="AZ398" i="17"/>
  <c r="AN398" i="17"/>
  <c r="AU398" i="17"/>
  <c r="W398" i="17"/>
  <c r="AF398" i="17"/>
  <c r="AT398" i="17"/>
  <c r="E398" i="17"/>
  <c r="L398" i="17"/>
  <c r="X398" i="17"/>
  <c r="BA398" i="17"/>
  <c r="AX398" i="17"/>
  <c r="AI398" i="17"/>
  <c r="AA398" i="17"/>
  <c r="S398" i="17"/>
  <c r="G398" i="17"/>
  <c r="AC398" i="17"/>
  <c r="AS398" i="17"/>
  <c r="AG398" i="17"/>
  <c r="AR398" i="17"/>
  <c r="AW398" i="17"/>
  <c r="M398" i="17"/>
  <c r="AQ398" i="17"/>
  <c r="Z398" i="17"/>
  <c r="T398" i="17"/>
  <c r="F398" i="17"/>
  <c r="O398" i="17"/>
  <c r="J398" i="17"/>
  <c r="AV398" i="17"/>
  <c r="V398" i="17"/>
  <c r="AY398" i="17"/>
  <c r="Y398" i="17"/>
  <c r="AK398" i="17"/>
  <c r="R398" i="17"/>
  <c r="P398" i="17"/>
  <c r="D398" i="17"/>
  <c r="AB398" i="17"/>
  <c r="AO398" i="17"/>
  <c r="K398" i="17"/>
  <c r="AL398" i="17"/>
  <c r="AE398" i="17"/>
  <c r="Q398" i="17"/>
  <c r="C400" i="17" l="1"/>
  <c r="AK399" i="17"/>
  <c r="AF399" i="17"/>
  <c r="AU399" i="17"/>
  <c r="BA399" i="17"/>
  <c r="AZ399" i="17"/>
  <c r="S399" i="17"/>
  <c r="H399" i="17"/>
  <c r="F399" i="17"/>
  <c r="AB399" i="17"/>
  <c r="J399" i="17"/>
  <c r="D399" i="17"/>
  <c r="V399" i="17"/>
  <c r="K399" i="17"/>
  <c r="U399" i="17"/>
  <c r="AT399" i="17"/>
  <c r="Y399" i="17"/>
  <c r="AA399" i="17"/>
  <c r="AL399" i="17"/>
  <c r="R399" i="17"/>
  <c r="W399" i="17"/>
  <c r="AJ399" i="17"/>
  <c r="AR399" i="17"/>
  <c r="AV399" i="17"/>
  <c r="T399" i="17"/>
  <c r="AI399" i="17"/>
  <c r="O399" i="17"/>
  <c r="AM399" i="17"/>
  <c r="Z399" i="17"/>
  <c r="AW399" i="17"/>
  <c r="I399" i="17"/>
  <c r="E399" i="17"/>
  <c r="AX399" i="17"/>
  <c r="Q399" i="17"/>
  <c r="AS399" i="17"/>
  <c r="AP399" i="17"/>
  <c r="G399" i="17"/>
  <c r="AY399" i="17"/>
  <c r="X399" i="17"/>
  <c r="AC399" i="17"/>
  <c r="AQ399" i="17"/>
  <c r="M399" i="17"/>
  <c r="AE399" i="17"/>
  <c r="N399" i="17"/>
  <c r="AH399" i="17"/>
  <c r="AO399" i="17"/>
  <c r="AN399" i="17"/>
  <c r="L399" i="17"/>
  <c r="AD399" i="17"/>
  <c r="AG399" i="17"/>
  <c r="P399" i="17"/>
  <c r="C401" i="17" l="1"/>
  <c r="AP400" i="17"/>
  <c r="AI400" i="17"/>
  <c r="AU400" i="17"/>
  <c r="W400" i="17"/>
  <c r="K400" i="17"/>
  <c r="AG400" i="17"/>
  <c r="AS400" i="17"/>
  <c r="AH400" i="17"/>
  <c r="AT400" i="17"/>
  <c r="AN400" i="17"/>
  <c r="V400" i="17"/>
  <c r="AL400" i="17"/>
  <c r="R400" i="17"/>
  <c r="AQ400" i="17"/>
  <c r="AA400" i="17"/>
  <c r="AK400" i="17"/>
  <c r="O400" i="17"/>
  <c r="AV400" i="17"/>
  <c r="G400" i="17"/>
  <c r="Q400" i="17"/>
  <c r="Y400" i="17"/>
  <c r="AW400" i="17"/>
  <c r="AD400" i="17"/>
  <c r="I400" i="17"/>
  <c r="AY400" i="17"/>
  <c r="T400" i="17"/>
  <c r="AM400" i="17"/>
  <c r="J400" i="17"/>
  <c r="E400" i="17"/>
  <c r="AO400" i="17"/>
  <c r="X400" i="17"/>
  <c r="F400" i="17"/>
  <c r="AX400" i="17"/>
  <c r="L400" i="17"/>
  <c r="AJ400" i="17"/>
  <c r="U400" i="17"/>
  <c r="AB400" i="17"/>
  <c r="M400" i="17"/>
  <c r="Z400" i="17"/>
  <c r="P400" i="17"/>
  <c r="S400" i="17"/>
  <c r="AE400" i="17"/>
  <c r="AZ400" i="17"/>
  <c r="AC400" i="17"/>
  <c r="H400" i="17"/>
  <c r="AR400" i="17"/>
  <c r="AF400" i="17"/>
  <c r="BA400" i="17"/>
  <c r="N400" i="17"/>
  <c r="D400" i="17"/>
  <c r="C402" i="17" l="1"/>
  <c r="P401" i="17"/>
  <c r="R401" i="17"/>
  <c r="T401" i="17"/>
  <c r="AX401" i="17"/>
  <c r="AB401" i="17"/>
  <c r="U401" i="17"/>
  <c r="AD401" i="17"/>
  <c r="M401" i="17"/>
  <c r="X401" i="17"/>
  <c r="AO401" i="17"/>
  <c r="D401" i="17"/>
  <c r="AE401" i="17"/>
  <c r="E401" i="17"/>
  <c r="Z401" i="17"/>
  <c r="AM401" i="17"/>
  <c r="AN401" i="17"/>
  <c r="F401" i="17"/>
  <c r="AI401" i="17"/>
  <c r="AV401" i="17"/>
  <c r="AA401" i="17"/>
  <c r="AY401" i="17"/>
  <c r="K401" i="17"/>
  <c r="AP401" i="17"/>
  <c r="AQ401" i="17"/>
  <c r="AL401" i="17"/>
  <c r="V401" i="17"/>
  <c r="AH401" i="17"/>
  <c r="AW401" i="17"/>
  <c r="AS401" i="17"/>
  <c r="I401" i="17"/>
  <c r="L401" i="17"/>
  <c r="AK401" i="17"/>
  <c r="AR401" i="17"/>
  <c r="BA401" i="17"/>
  <c r="AG401" i="17"/>
  <c r="AT401" i="17"/>
  <c r="J401" i="17"/>
  <c r="AC401" i="17"/>
  <c r="AZ401" i="17"/>
  <c r="S401" i="17"/>
  <c r="O401" i="17"/>
  <c r="W401" i="17"/>
  <c r="Q401" i="17"/>
  <c r="AU401" i="17"/>
  <c r="N401" i="17"/>
  <c r="Y401" i="17"/>
  <c r="G401" i="17"/>
  <c r="AJ401" i="17"/>
  <c r="H401" i="17"/>
  <c r="AF401" i="17"/>
  <c r="C403" i="17" l="1"/>
  <c r="AS402" i="17"/>
  <c r="AV402" i="17"/>
  <c r="AI402" i="17"/>
  <c r="AN402" i="17"/>
  <c r="E402" i="17"/>
  <c r="AP402" i="17"/>
  <c r="K402" i="17"/>
  <c r="AO402" i="17"/>
  <c r="L402" i="17"/>
  <c r="AE402" i="17"/>
  <c r="AJ402" i="17"/>
  <c r="G402" i="17"/>
  <c r="AY402" i="17"/>
  <c r="AA402" i="17"/>
  <c r="Q402" i="17"/>
  <c r="AM402" i="17"/>
  <c r="AU402" i="17"/>
  <c r="I402" i="17"/>
  <c r="AL402" i="17"/>
  <c r="O402" i="17"/>
  <c r="N402" i="17"/>
  <c r="Y402" i="17"/>
  <c r="D402" i="17"/>
  <c r="M402" i="17"/>
  <c r="AR402" i="17"/>
  <c r="BA402" i="17"/>
  <c r="W402" i="17"/>
  <c r="H402" i="17"/>
  <c r="S402" i="17"/>
  <c r="AQ402" i="17"/>
  <c r="X402" i="17"/>
  <c r="T402" i="17"/>
  <c r="U402" i="17"/>
  <c r="Z402" i="17"/>
  <c r="AG402" i="17"/>
  <c r="AT402" i="17"/>
  <c r="AW402" i="17"/>
  <c r="AX402" i="17"/>
  <c r="J402" i="17"/>
  <c r="AK402" i="17"/>
  <c r="R402" i="17"/>
  <c r="AD402" i="17"/>
  <c r="P402" i="17"/>
  <c r="AH402" i="17"/>
  <c r="F402" i="17"/>
  <c r="AF402" i="17"/>
  <c r="AB402" i="17"/>
  <c r="AC402" i="17"/>
  <c r="V402" i="17"/>
  <c r="AZ402" i="17"/>
  <c r="C404" i="17" l="1"/>
  <c r="I403" i="17"/>
  <c r="Y403" i="17"/>
  <c r="AZ403" i="17"/>
  <c r="AC403" i="17"/>
  <c r="E403" i="17"/>
  <c r="AQ403" i="17"/>
  <c r="P403" i="17"/>
  <c r="K403" i="17"/>
  <c r="AO403" i="17"/>
  <c r="X403" i="17"/>
  <c r="O403" i="17"/>
  <c r="AR403" i="17"/>
  <c r="AI403" i="17"/>
  <c r="AK403" i="17"/>
  <c r="AP403" i="17"/>
  <c r="AA403" i="17"/>
  <c r="BA403" i="17"/>
  <c r="S403" i="17"/>
  <c r="J403" i="17"/>
  <c r="AT403" i="17"/>
  <c r="F403" i="17"/>
  <c r="R403" i="17"/>
  <c r="AJ403" i="17"/>
  <c r="AV403" i="17"/>
  <c r="AG403" i="17"/>
  <c r="AL403" i="17"/>
  <c r="AM403" i="17"/>
  <c r="G403" i="17"/>
  <c r="AN403" i="17"/>
  <c r="M403" i="17"/>
  <c r="AY403" i="17"/>
  <c r="T403" i="17"/>
  <c r="V403" i="17"/>
  <c r="L403" i="17"/>
  <c r="AH403" i="17"/>
  <c r="U403" i="17"/>
  <c r="AF403" i="17"/>
  <c r="AE403" i="17"/>
  <c r="D403" i="17"/>
  <c r="AD403" i="17"/>
  <c r="Q403" i="17"/>
  <c r="H403" i="17"/>
  <c r="AB403" i="17"/>
  <c r="W403" i="17"/>
  <c r="Z403" i="17"/>
  <c r="N403" i="17"/>
  <c r="AX403" i="17"/>
  <c r="AW403" i="17"/>
  <c r="AU403" i="17"/>
  <c r="AS403" i="17"/>
  <c r="C405" i="17" l="1"/>
  <c r="O404" i="17"/>
  <c r="AP404" i="17"/>
  <c r="AT404" i="17"/>
  <c r="Q404" i="17"/>
  <c r="AL404" i="17"/>
  <c r="I404" i="17"/>
  <c r="W404" i="17"/>
  <c r="J404" i="17"/>
  <c r="AI404" i="17"/>
  <c r="D404" i="17"/>
  <c r="AH404" i="17"/>
  <c r="AS404" i="17"/>
  <c r="AJ404" i="17"/>
  <c r="M404" i="17"/>
  <c r="AD404" i="17"/>
  <c r="AK404" i="17"/>
  <c r="E404" i="17"/>
  <c r="BA404" i="17"/>
  <c r="Y404" i="17"/>
  <c r="AU404" i="17"/>
  <c r="K404" i="17"/>
  <c r="AG404" i="17"/>
  <c r="AY404" i="17"/>
  <c r="AN404" i="17"/>
  <c r="AE404" i="17"/>
  <c r="AX404" i="17"/>
  <c r="AF404" i="17"/>
  <c r="N404" i="17"/>
  <c r="AZ404" i="17"/>
  <c r="AV404" i="17"/>
  <c r="AR404" i="17"/>
  <c r="AB404" i="17"/>
  <c r="G404" i="17"/>
  <c r="AM404" i="17"/>
  <c r="H404" i="17"/>
  <c r="L404" i="17"/>
  <c r="AC404" i="17"/>
  <c r="AW404" i="17"/>
  <c r="V404" i="17"/>
  <c r="R404" i="17"/>
  <c r="AO404" i="17"/>
  <c r="AA404" i="17"/>
  <c r="U404" i="17"/>
  <c r="Z404" i="17"/>
  <c r="X404" i="17"/>
  <c r="AQ404" i="17"/>
  <c r="F404" i="17"/>
  <c r="P404" i="17"/>
  <c r="T404" i="17"/>
  <c r="S404" i="17"/>
  <c r="C406" i="17" l="1"/>
  <c r="D405" i="17"/>
  <c r="AY405" i="17"/>
  <c r="AI405" i="17"/>
  <c r="AJ405" i="17"/>
  <c r="AC405" i="17"/>
  <c r="AL405" i="17"/>
  <c r="T405" i="17"/>
  <c r="J405" i="17"/>
  <c r="AB405" i="17"/>
  <c r="AU405" i="17"/>
  <c r="AW405" i="17"/>
  <c r="X405" i="17"/>
  <c r="I405" i="17"/>
  <c r="AN405" i="17"/>
  <c r="AS405" i="17"/>
  <c r="V405" i="17"/>
  <c r="AO405" i="17"/>
  <c r="AD405" i="17"/>
  <c r="E405" i="17"/>
  <c r="AP405" i="17"/>
  <c r="L405" i="17"/>
  <c r="AR405" i="17"/>
  <c r="P405" i="17"/>
  <c r="K405" i="17"/>
  <c r="AF405" i="17"/>
  <c r="G405" i="17"/>
  <c r="Y405" i="17"/>
  <c r="Z405" i="17"/>
  <c r="Q405" i="17"/>
  <c r="H405" i="17"/>
  <c r="U405" i="17"/>
  <c r="AM405" i="17"/>
  <c r="AG405" i="17"/>
  <c r="AQ405" i="17"/>
  <c r="S405" i="17"/>
  <c r="AZ405" i="17"/>
  <c r="AK405" i="17"/>
  <c r="AX405" i="17"/>
  <c r="M405" i="17"/>
  <c r="AT405" i="17"/>
  <c r="BA405" i="17"/>
  <c r="AE405" i="17"/>
  <c r="R405" i="17"/>
  <c r="N405" i="17"/>
  <c r="AA405" i="17"/>
  <c r="W405" i="17"/>
  <c r="F405" i="17"/>
  <c r="O405" i="17"/>
  <c r="AH405" i="17"/>
  <c r="AV405" i="17"/>
  <c r="C407" i="17" l="1"/>
  <c r="W406" i="17"/>
  <c r="S406" i="17"/>
  <c r="I406" i="17"/>
  <c r="AV406" i="17"/>
  <c r="E406" i="17"/>
  <c r="AZ406" i="17"/>
  <c r="AM406" i="17"/>
  <c r="AU406" i="17"/>
  <c r="AY406" i="17"/>
  <c r="AF406" i="17"/>
  <c r="BA406" i="17"/>
  <c r="AH406" i="17"/>
  <c r="Q406" i="17"/>
  <c r="R406" i="17"/>
  <c r="AT406" i="17"/>
  <c r="AB406" i="17"/>
  <c r="AJ406" i="17"/>
  <c r="AS406" i="17"/>
  <c r="AK406" i="17"/>
  <c r="G406" i="17"/>
  <c r="V406" i="17"/>
  <c r="AC406" i="17"/>
  <c r="P406" i="17"/>
  <c r="AW406" i="17"/>
  <c r="D406" i="17"/>
  <c r="X406" i="17"/>
  <c r="AG406" i="17"/>
  <c r="H406" i="17"/>
  <c r="L406" i="17"/>
  <c r="Z406" i="17"/>
  <c r="N406" i="17"/>
  <c r="AD406" i="17"/>
  <c r="T406" i="17"/>
  <c r="Y406" i="17"/>
  <c r="J406" i="17"/>
  <c r="AL406" i="17"/>
  <c r="AP406" i="17"/>
  <c r="AO406" i="17"/>
  <c r="AX406" i="17"/>
  <c r="F406" i="17"/>
  <c r="AA406" i="17"/>
  <c r="AR406" i="17"/>
  <c r="AN406" i="17"/>
  <c r="AQ406" i="17"/>
  <c r="K406" i="17"/>
  <c r="AI406" i="17"/>
  <c r="AE406" i="17"/>
  <c r="M406" i="17"/>
  <c r="U406" i="17"/>
  <c r="O406" i="17"/>
  <c r="C408" i="17" l="1"/>
  <c r="H407" i="17"/>
  <c r="T407" i="17"/>
  <c r="AE407" i="17"/>
  <c r="AP407" i="17"/>
  <c r="R407" i="17"/>
  <c r="F407" i="17"/>
  <c r="AD407" i="17"/>
  <c r="AV407" i="17"/>
  <c r="G407" i="17"/>
  <c r="P407" i="17"/>
  <c r="AT407" i="17"/>
  <c r="AQ407" i="17"/>
  <c r="AL407" i="17"/>
  <c r="Z407" i="17"/>
  <c r="AO407" i="17"/>
  <c r="V407" i="17"/>
  <c r="AG407" i="17"/>
  <c r="AU407" i="17"/>
  <c r="AN407" i="17"/>
  <c r="E407" i="17"/>
  <c r="J407" i="17"/>
  <c r="AI407" i="17"/>
  <c r="AM407" i="17"/>
  <c r="AY407" i="17"/>
  <c r="N407" i="17"/>
  <c r="O407" i="17"/>
  <c r="L407" i="17"/>
  <c r="S407" i="17"/>
  <c r="AA407" i="17"/>
  <c r="AK407" i="17"/>
  <c r="I407" i="17"/>
  <c r="AS407" i="17"/>
  <c r="AH407" i="17"/>
  <c r="U407" i="17"/>
  <c r="AF407" i="17"/>
  <c r="AX407" i="17"/>
  <c r="Y407" i="17"/>
  <c r="AB407" i="17"/>
  <c r="M407" i="17"/>
  <c r="K407" i="17"/>
  <c r="X407" i="17"/>
  <c r="AJ407" i="17"/>
  <c r="W407" i="17"/>
  <c r="D407" i="17"/>
  <c r="AW407" i="17"/>
  <c r="Q407" i="17"/>
  <c r="AR407" i="17"/>
  <c r="BA407" i="17"/>
  <c r="AZ407" i="17"/>
  <c r="AC407" i="17"/>
  <c r="C409" i="17" l="1"/>
  <c r="AZ408" i="17"/>
  <c r="AG408" i="17"/>
  <c r="BA408" i="17"/>
  <c r="H408" i="17"/>
  <c r="P408" i="17"/>
  <c r="AL408" i="17"/>
  <c r="U408" i="17"/>
  <c r="M408" i="17"/>
  <c r="R408" i="17"/>
  <c r="AT408" i="17"/>
  <c r="AC408" i="17"/>
  <c r="AO408" i="17"/>
  <c r="K408" i="17"/>
  <c r="L408" i="17"/>
  <c r="J408" i="17"/>
  <c r="F408" i="17"/>
  <c r="AB408" i="17"/>
  <c r="AP408" i="17"/>
  <c r="O408" i="17"/>
  <c r="D408" i="17"/>
  <c r="AK408" i="17"/>
  <c r="AH408" i="17"/>
  <c r="AY408" i="17"/>
  <c r="V408" i="17"/>
  <c r="AJ408" i="17"/>
  <c r="AE408" i="17"/>
  <c r="Q408" i="17"/>
  <c r="S408" i="17"/>
  <c r="AI408" i="17"/>
  <c r="AR408" i="17"/>
  <c r="I408" i="17"/>
  <c r="AQ408" i="17"/>
  <c r="Y408" i="17"/>
  <c r="AM408" i="17"/>
  <c r="AD408" i="17"/>
  <c r="W408" i="17"/>
  <c r="AU408" i="17"/>
  <c r="AF408" i="17"/>
  <c r="AA408" i="17"/>
  <c r="AS408" i="17"/>
  <c r="X408" i="17"/>
  <c r="T408" i="17"/>
  <c r="AW408" i="17"/>
  <c r="Z408" i="17"/>
  <c r="AV408" i="17"/>
  <c r="AN408" i="17"/>
  <c r="E408" i="17"/>
  <c r="AX408" i="17"/>
  <c r="N408" i="17"/>
  <c r="G408" i="17"/>
  <c r="C410" i="17" l="1"/>
  <c r="AW409" i="17"/>
  <c r="AB409" i="17"/>
  <c r="N409" i="17"/>
  <c r="AM409" i="17"/>
  <c r="W409" i="17"/>
  <c r="D409" i="17"/>
  <c r="AT409" i="17"/>
  <c r="AE409" i="17"/>
  <c r="AN409" i="17"/>
  <c r="Q409" i="17"/>
  <c r="AP409" i="17"/>
  <c r="E409" i="17"/>
  <c r="AV409" i="17"/>
  <c r="AC409" i="17"/>
  <c r="AL409" i="17"/>
  <c r="G409" i="17"/>
  <c r="AU409" i="17"/>
  <c r="Y409" i="17"/>
  <c r="AA409" i="17"/>
  <c r="L409" i="17"/>
  <c r="P409" i="17"/>
  <c r="AK409" i="17"/>
  <c r="AQ409" i="17"/>
  <c r="AR409" i="17"/>
  <c r="AZ409" i="17"/>
  <c r="H409" i="17"/>
  <c r="O409" i="17"/>
  <c r="S409" i="17"/>
  <c r="F409" i="17"/>
  <c r="J409" i="17"/>
  <c r="U409" i="17"/>
  <c r="AO409" i="17"/>
  <c r="M409" i="17"/>
  <c r="AF409" i="17"/>
  <c r="V409" i="17"/>
  <c r="I409" i="17"/>
  <c r="AI409" i="17"/>
  <c r="AG409" i="17"/>
  <c r="R409" i="17"/>
  <c r="AH409" i="17"/>
  <c r="AY409" i="17"/>
  <c r="K409" i="17"/>
  <c r="T409" i="17"/>
  <c r="X409" i="17"/>
  <c r="AD409" i="17"/>
  <c r="Z409" i="17"/>
  <c r="AJ409" i="17"/>
  <c r="AX409" i="17"/>
  <c r="AS409" i="17"/>
  <c r="BA409" i="17"/>
  <c r="C411" i="17" l="1"/>
  <c r="AI410" i="17"/>
  <c r="AV410" i="17"/>
  <c r="AS410" i="17"/>
  <c r="F410" i="17"/>
  <c r="J410" i="17"/>
  <c r="K410" i="17"/>
  <c r="V410" i="17"/>
  <c r="AA410" i="17"/>
  <c r="AP410" i="17"/>
  <c r="T410" i="17"/>
  <c r="AF410" i="17"/>
  <c r="R410" i="17"/>
  <c r="AM410" i="17"/>
  <c r="AQ410" i="17"/>
  <c r="AW410" i="17"/>
  <c r="H410" i="17"/>
  <c r="Y410" i="17"/>
  <c r="S410" i="17"/>
  <c r="AR410" i="17"/>
  <c r="AH410" i="17"/>
  <c r="L410" i="17"/>
  <c r="AO410" i="17"/>
  <c r="U410" i="17"/>
  <c r="AX410" i="17"/>
  <c r="AL410" i="17"/>
  <c r="P410" i="17"/>
  <c r="Z410" i="17"/>
  <c r="AN410" i="17"/>
  <c r="X410" i="17"/>
  <c r="N410" i="17"/>
  <c r="AK410" i="17"/>
  <c r="AD410" i="17"/>
  <c r="AY410" i="17"/>
  <c r="O410" i="17"/>
  <c r="BA410" i="17"/>
  <c r="W410" i="17"/>
  <c r="AU410" i="17"/>
  <c r="AT410" i="17"/>
  <c r="G410" i="17"/>
  <c r="AB410" i="17"/>
  <c r="AE410" i="17"/>
  <c r="E410" i="17"/>
  <c r="Q410" i="17"/>
  <c r="AZ410" i="17"/>
  <c r="D410" i="17"/>
  <c r="AC410" i="17"/>
  <c r="AG410" i="17"/>
  <c r="M410" i="17"/>
  <c r="AJ410" i="17"/>
  <c r="I410" i="17"/>
  <c r="C412" i="17" l="1"/>
  <c r="F411" i="17"/>
  <c r="AU411" i="17"/>
  <c r="AS411" i="17"/>
  <c r="AF411" i="17"/>
  <c r="H411" i="17"/>
  <c r="S411" i="17"/>
  <c r="L411" i="17"/>
  <c r="Q411" i="17"/>
  <c r="AA411" i="17"/>
  <c r="AV411" i="17"/>
  <c r="P411" i="17"/>
  <c r="N411" i="17"/>
  <c r="AY411" i="17"/>
  <c r="AD411" i="17"/>
  <c r="BA411" i="17"/>
  <c r="AK411" i="17"/>
  <c r="AQ411" i="17"/>
  <c r="AL411" i="17"/>
  <c r="AO411" i="17"/>
  <c r="AE411" i="17"/>
  <c r="AT411" i="17"/>
  <c r="R411" i="17"/>
  <c r="O411" i="17"/>
  <c r="AG411" i="17"/>
  <c r="AI411" i="17"/>
  <c r="J411" i="17"/>
  <c r="Y411" i="17"/>
  <c r="T411" i="17"/>
  <c r="AC411" i="17"/>
  <c r="G411" i="17"/>
  <c r="AW411" i="17"/>
  <c r="I411" i="17"/>
  <c r="D411" i="17"/>
  <c r="Z411" i="17"/>
  <c r="AB411" i="17"/>
  <c r="U411" i="17"/>
  <c r="AH411" i="17"/>
  <c r="K411" i="17"/>
  <c r="E411" i="17"/>
  <c r="X411" i="17"/>
  <c r="AZ411" i="17"/>
  <c r="V411" i="17"/>
  <c r="W411" i="17"/>
  <c r="AR411" i="17"/>
  <c r="AJ411" i="17"/>
  <c r="AP411" i="17"/>
  <c r="AX411" i="17"/>
  <c r="AN411" i="17"/>
  <c r="AM411" i="17"/>
  <c r="M411" i="17"/>
  <c r="C413" i="17" l="1"/>
  <c r="AZ412" i="17"/>
  <c r="F412" i="17"/>
  <c r="W412" i="17"/>
  <c r="AY412" i="17"/>
  <c r="E412" i="17"/>
  <c r="O412" i="17"/>
  <c r="AS412" i="17"/>
  <c r="V412" i="17"/>
  <c r="AP412" i="17"/>
  <c r="G412" i="17"/>
  <c r="D412" i="17"/>
  <c r="AK412" i="17"/>
  <c r="M412" i="17"/>
  <c r="AB412" i="17"/>
  <c r="AM412" i="17"/>
  <c r="AW412" i="17"/>
  <c r="AN412" i="17"/>
  <c r="AG412" i="17"/>
  <c r="K412" i="17"/>
  <c r="AX412" i="17"/>
  <c r="AC412" i="17"/>
  <c r="AT412" i="17"/>
  <c r="AH412" i="17"/>
  <c r="Y412" i="17"/>
  <c r="T412" i="17"/>
  <c r="I412" i="17"/>
  <c r="J412" i="17"/>
  <c r="AJ412" i="17"/>
  <c r="AD412" i="17"/>
  <c r="N412" i="17"/>
  <c r="L412" i="17"/>
  <c r="AL412" i="17"/>
  <c r="BA412" i="17"/>
  <c r="AA412" i="17"/>
  <c r="H412" i="17"/>
  <c r="U412" i="17"/>
  <c r="AV412" i="17"/>
  <c r="X412" i="17"/>
  <c r="Q412" i="17"/>
  <c r="Z412" i="17"/>
  <c r="AR412" i="17"/>
  <c r="P412" i="17"/>
  <c r="S412" i="17"/>
  <c r="AQ412" i="17"/>
  <c r="AU412" i="17"/>
  <c r="R412" i="17"/>
  <c r="AO412" i="17"/>
  <c r="AF412" i="17"/>
  <c r="AI412" i="17"/>
  <c r="AE412" i="17"/>
  <c r="C414" i="17" l="1"/>
  <c r="AJ413" i="17"/>
  <c r="AZ413" i="17"/>
  <c r="AP413" i="17"/>
  <c r="E413" i="17"/>
  <c r="O413" i="17"/>
  <c r="AK413" i="17"/>
  <c r="AR413" i="17"/>
  <c r="F413" i="17"/>
  <c r="AD413" i="17"/>
  <c r="AV413" i="17"/>
  <c r="K413" i="17"/>
  <c r="AW413" i="17"/>
  <c r="BA413" i="17"/>
  <c r="AM413" i="17"/>
  <c r="L413" i="17"/>
  <c r="AO413" i="17"/>
  <c r="S413" i="17"/>
  <c r="D413" i="17"/>
  <c r="AE413" i="17"/>
  <c r="AQ413" i="17"/>
  <c r="W413" i="17"/>
  <c r="Z413" i="17"/>
  <c r="AA413" i="17"/>
  <c r="I413" i="17"/>
  <c r="J413" i="17"/>
  <c r="AN413" i="17"/>
  <c r="G413" i="17"/>
  <c r="AI413" i="17"/>
  <c r="AH413" i="17"/>
  <c r="AL413" i="17"/>
  <c r="AS413" i="17"/>
  <c r="T413" i="17"/>
  <c r="M413" i="17"/>
  <c r="AC413" i="17"/>
  <c r="AF413" i="17"/>
  <c r="Q413" i="17"/>
  <c r="U413" i="17"/>
  <c r="Y413" i="17"/>
  <c r="P413" i="17"/>
  <c r="N413" i="17"/>
  <c r="AT413" i="17"/>
  <c r="AY413" i="17"/>
  <c r="AU413" i="17"/>
  <c r="AX413" i="17"/>
  <c r="AG413" i="17"/>
  <c r="AB413" i="17"/>
  <c r="H413" i="17"/>
  <c r="R413" i="17"/>
  <c r="X413" i="17"/>
  <c r="V413" i="17"/>
  <c r="C415" i="17" l="1"/>
  <c r="AZ414" i="17"/>
  <c r="AJ414" i="17"/>
  <c r="S414" i="17"/>
  <c r="AR414" i="17"/>
  <c r="N414" i="17"/>
  <c r="AB414" i="17"/>
  <c r="AS414" i="17"/>
  <c r="D414" i="17"/>
  <c r="AM414" i="17"/>
  <c r="H414" i="17"/>
  <c r="Y414" i="17"/>
  <c r="Q414" i="17"/>
  <c r="AN414" i="17"/>
  <c r="AK414" i="17"/>
  <c r="E414" i="17"/>
  <c r="T414" i="17"/>
  <c r="BA414" i="17"/>
  <c r="W414" i="17"/>
  <c r="M414" i="17"/>
  <c r="AA414" i="17"/>
  <c r="AX414" i="17"/>
  <c r="AT414" i="17"/>
  <c r="I414" i="17"/>
  <c r="F414" i="17"/>
  <c r="AC414" i="17"/>
  <c r="AE414" i="17"/>
  <c r="AY414" i="17"/>
  <c r="AO414" i="17"/>
  <c r="L414" i="17"/>
  <c r="U414" i="17"/>
  <c r="AD414" i="17"/>
  <c r="AF414" i="17"/>
  <c r="AP414" i="17"/>
  <c r="P414" i="17"/>
  <c r="G414" i="17"/>
  <c r="AV414" i="17"/>
  <c r="Z414" i="17"/>
  <c r="X414" i="17"/>
  <c r="R414" i="17"/>
  <c r="O414" i="17"/>
  <c r="V414" i="17"/>
  <c r="AW414" i="17"/>
  <c r="AQ414" i="17"/>
  <c r="J414" i="17"/>
  <c r="K414" i="17"/>
  <c r="AL414" i="17"/>
  <c r="AI414" i="17"/>
  <c r="AU414" i="17"/>
  <c r="AH414" i="17"/>
  <c r="AG414" i="17"/>
  <c r="C416" i="17" l="1"/>
  <c r="AG415" i="17"/>
  <c r="G415" i="17"/>
  <c r="AE415" i="17"/>
  <c r="Y415" i="17"/>
  <c r="AD415" i="17"/>
  <c r="AJ415" i="17"/>
  <c r="AN415" i="17"/>
  <c r="J415" i="17"/>
  <c r="AX415" i="17"/>
  <c r="AA415" i="17"/>
  <c r="AT415" i="17"/>
  <c r="AU415" i="17"/>
  <c r="AF415" i="17"/>
  <c r="Z415" i="17"/>
  <c r="AR415" i="17"/>
  <c r="U415" i="17"/>
  <c r="V415" i="17"/>
  <c r="Q415" i="17"/>
  <c r="K415" i="17"/>
  <c r="AI415" i="17"/>
  <c r="AZ415" i="17"/>
  <c r="O415" i="17"/>
  <c r="AK415" i="17"/>
  <c r="D415" i="17"/>
  <c r="AL415" i="17"/>
  <c r="E415" i="17"/>
  <c r="AV415" i="17"/>
  <c r="S415" i="17"/>
  <c r="P415" i="17"/>
  <c r="AH415" i="17"/>
  <c r="BA415" i="17"/>
  <c r="AP415" i="17"/>
  <c r="AS415" i="17"/>
  <c r="N415" i="17"/>
  <c r="AM415" i="17"/>
  <c r="AQ415" i="17"/>
  <c r="AW415" i="17"/>
  <c r="AY415" i="17"/>
  <c r="M415" i="17"/>
  <c r="H415" i="17"/>
  <c r="L415" i="17"/>
  <c r="T415" i="17"/>
  <c r="AB415" i="17"/>
  <c r="R415" i="17"/>
  <c r="AC415" i="17"/>
  <c r="F415" i="17"/>
  <c r="AO415" i="17"/>
  <c r="I415" i="17"/>
  <c r="W415" i="17"/>
  <c r="X415" i="17"/>
  <c r="C417" i="17" l="1"/>
  <c r="V416" i="17"/>
  <c r="AC416" i="17"/>
  <c r="AW416" i="17"/>
  <c r="AL416" i="17"/>
  <c r="U416" i="17"/>
  <c r="AY416" i="17"/>
  <c r="H416" i="17"/>
  <c r="AF416" i="17"/>
  <c r="AZ416" i="17"/>
  <c r="AB416" i="17"/>
  <c r="F416" i="17"/>
  <c r="AT416" i="17"/>
  <c r="AM416" i="17"/>
  <c r="D416" i="17"/>
  <c r="AJ416" i="17"/>
  <c r="AN416" i="17"/>
  <c r="AU416" i="17"/>
  <c r="AP416" i="17"/>
  <c r="AQ416" i="17"/>
  <c r="AG416" i="17"/>
  <c r="N416" i="17"/>
  <c r="E416" i="17"/>
  <c r="J416" i="17"/>
  <c r="Y416" i="17"/>
  <c r="T416" i="17"/>
  <c r="BA416" i="17"/>
  <c r="AA416" i="17"/>
  <c r="AE416" i="17"/>
  <c r="AV416" i="17"/>
  <c r="K416" i="17"/>
  <c r="AX416" i="17"/>
  <c r="Z416" i="17"/>
  <c r="I416" i="17"/>
  <c r="AD416" i="17"/>
  <c r="AO416" i="17"/>
  <c r="AH416" i="17"/>
  <c r="M416" i="17"/>
  <c r="AS416" i="17"/>
  <c r="AR416" i="17"/>
  <c r="S416" i="17"/>
  <c r="X416" i="17"/>
  <c r="O416" i="17"/>
  <c r="L416" i="17"/>
  <c r="R416" i="17"/>
  <c r="AK416" i="17"/>
  <c r="P416" i="17"/>
  <c r="W416" i="17"/>
  <c r="G416" i="17"/>
  <c r="Q416" i="17"/>
  <c r="AI416" i="17"/>
  <c r="C418" i="17" l="1"/>
  <c r="AQ417" i="17"/>
  <c r="H417" i="17"/>
  <c r="AL417" i="17"/>
  <c r="AR417" i="17"/>
  <c r="AU417" i="17"/>
  <c r="AE417" i="17"/>
  <c r="AY417" i="17"/>
  <c r="E417" i="17"/>
  <c r="F417" i="17"/>
  <c r="T417" i="17"/>
  <c r="AV417" i="17"/>
  <c r="AG417" i="17"/>
  <c r="AH417" i="17"/>
  <c r="AT417" i="17"/>
  <c r="AS417" i="17"/>
  <c r="AD417" i="17"/>
  <c r="G417" i="17"/>
  <c r="D417" i="17"/>
  <c r="AF417" i="17"/>
  <c r="M417" i="17"/>
  <c r="AC417" i="17"/>
  <c r="AI417" i="17"/>
  <c r="Z417" i="17"/>
  <c r="O417" i="17"/>
  <c r="X417" i="17"/>
  <c r="U417" i="17"/>
  <c r="Y417" i="17"/>
  <c r="K417" i="17"/>
  <c r="AW417" i="17"/>
  <c r="S417" i="17"/>
  <c r="Q417" i="17"/>
  <c r="AP417" i="17"/>
  <c r="AK417" i="17"/>
  <c r="AJ417" i="17"/>
  <c r="BA417" i="17"/>
  <c r="AN417" i="17"/>
  <c r="R417" i="17"/>
  <c r="L417" i="17"/>
  <c r="I417" i="17"/>
  <c r="AZ417" i="17"/>
  <c r="N417" i="17"/>
  <c r="V417" i="17"/>
  <c r="W417" i="17"/>
  <c r="AX417" i="17"/>
  <c r="AB417" i="17"/>
  <c r="AM417" i="17"/>
  <c r="AO417" i="17"/>
  <c r="P417" i="17"/>
  <c r="AA417" i="17"/>
  <c r="J417" i="17"/>
  <c r="C419" i="17" l="1"/>
  <c r="AV418" i="17"/>
  <c r="AT418" i="17"/>
  <c r="AQ418" i="17"/>
  <c r="G418" i="17"/>
  <c r="AW418" i="17"/>
  <c r="AB418" i="17"/>
  <c r="R418" i="17"/>
  <c r="AD418" i="17"/>
  <c r="AX418" i="17"/>
  <c r="AJ418" i="17"/>
  <c r="S418" i="17"/>
  <c r="L418" i="17"/>
  <c r="AA418" i="17"/>
  <c r="P418" i="17"/>
  <c r="AC418" i="17"/>
  <c r="D418" i="17"/>
  <c r="X418" i="17"/>
  <c r="V418" i="17"/>
  <c r="Q418" i="17"/>
  <c r="AZ418" i="17"/>
  <c r="AH418" i="17"/>
  <c r="N418" i="17"/>
  <c r="AR418" i="17"/>
  <c r="AN418" i="17"/>
  <c r="Y418" i="17"/>
  <c r="AU418" i="17"/>
  <c r="AG418" i="17"/>
  <c r="E418" i="17"/>
  <c r="AE418" i="17"/>
  <c r="Z418" i="17"/>
  <c r="AF418" i="17"/>
  <c r="I418" i="17"/>
  <c r="AK418" i="17"/>
  <c r="J418" i="17"/>
  <c r="AM418" i="17"/>
  <c r="O418" i="17"/>
  <c r="AY418" i="17"/>
  <c r="AI418" i="17"/>
  <c r="T418" i="17"/>
  <c r="AS418" i="17"/>
  <c r="F418" i="17"/>
  <c r="U418" i="17"/>
  <c r="H418" i="17"/>
  <c r="M418" i="17"/>
  <c r="AO418" i="17"/>
  <c r="K418" i="17"/>
  <c r="W418" i="17"/>
  <c r="BA418" i="17"/>
  <c r="AP418" i="17"/>
  <c r="AL418" i="17"/>
  <c r="C420" i="17" l="1"/>
  <c r="AE419" i="17"/>
  <c r="AA419" i="17"/>
  <c r="AJ419" i="17"/>
  <c r="AH419" i="17"/>
  <c r="AV419" i="17"/>
  <c r="J419" i="17"/>
  <c r="W419" i="17"/>
  <c r="AI419" i="17"/>
  <c r="U419" i="17"/>
  <c r="H419" i="17"/>
  <c r="S419" i="17"/>
  <c r="AX419" i="17"/>
  <c r="Q419" i="17"/>
  <c r="AR419" i="17"/>
  <c r="P419" i="17"/>
  <c r="AU419" i="17"/>
  <c r="AP419" i="17"/>
  <c r="O419" i="17"/>
  <c r="N419" i="17"/>
  <c r="AZ419" i="17"/>
  <c r="AN419" i="17"/>
  <c r="AF419" i="17"/>
  <c r="AQ419" i="17"/>
  <c r="AL419" i="17"/>
  <c r="AW419" i="17"/>
  <c r="K419" i="17"/>
  <c r="D419" i="17"/>
  <c r="AD419" i="17"/>
  <c r="X419" i="17"/>
  <c r="E419" i="17"/>
  <c r="AY419" i="17"/>
  <c r="R419" i="17"/>
  <c r="T419" i="17"/>
  <c r="AS419" i="17"/>
  <c r="AT419" i="17"/>
  <c r="AO419" i="17"/>
  <c r="M419" i="17"/>
  <c r="V419" i="17"/>
  <c r="AG419" i="17"/>
  <c r="BA419" i="17"/>
  <c r="Z419" i="17"/>
  <c r="AM419" i="17"/>
  <c r="L419" i="17"/>
  <c r="G419" i="17"/>
  <c r="F419" i="17"/>
  <c r="I419" i="17"/>
  <c r="AC419" i="17"/>
  <c r="AK419" i="17"/>
  <c r="AB419" i="17"/>
  <c r="Y419" i="17"/>
  <c r="C421" i="17" l="1"/>
  <c r="AI420" i="17"/>
  <c r="K420" i="17"/>
  <c r="O420" i="17"/>
  <c r="T420" i="17"/>
  <c r="Z420" i="17"/>
  <c r="AB420" i="17"/>
  <c r="AJ420" i="17"/>
  <c r="AZ420" i="17"/>
  <c r="I420" i="17"/>
  <c r="R420" i="17"/>
  <c r="M420" i="17"/>
  <c r="E420" i="17"/>
  <c r="G420" i="17"/>
  <c r="X420" i="17"/>
  <c r="Y420" i="17"/>
  <c r="AA420" i="17"/>
  <c r="AM420" i="17"/>
  <c r="V420" i="17"/>
  <c r="U420" i="17"/>
  <c r="D420" i="17"/>
  <c r="H420" i="17"/>
  <c r="AH420" i="17"/>
  <c r="AG420" i="17"/>
  <c r="AY420" i="17"/>
  <c r="AK420" i="17"/>
  <c r="AT420" i="17"/>
  <c r="AU420" i="17"/>
  <c r="AD420" i="17"/>
  <c r="AO420" i="17"/>
  <c r="N420" i="17"/>
  <c r="S420" i="17"/>
  <c r="Q420" i="17"/>
  <c r="F420" i="17"/>
  <c r="AP420" i="17"/>
  <c r="AC420" i="17"/>
  <c r="W420" i="17"/>
  <c r="AR420" i="17"/>
  <c r="BA420" i="17"/>
  <c r="P420" i="17"/>
  <c r="AN420" i="17"/>
  <c r="AW420" i="17"/>
  <c r="L420" i="17"/>
  <c r="AL420" i="17"/>
  <c r="AE420" i="17"/>
  <c r="J420" i="17"/>
  <c r="AV420" i="17"/>
  <c r="AX420" i="17"/>
  <c r="AS420" i="17"/>
  <c r="AQ420" i="17"/>
  <c r="AF420" i="17"/>
  <c r="C422" i="17" l="1"/>
  <c r="X421" i="17"/>
  <c r="S421" i="17"/>
  <c r="AU421" i="17"/>
  <c r="Y421" i="17"/>
  <c r="AN421" i="17"/>
  <c r="AA421" i="17"/>
  <c r="U421" i="17"/>
  <c r="Z421" i="17"/>
  <c r="AL421" i="17"/>
  <c r="AX421" i="17"/>
  <c r="AC421" i="17"/>
  <c r="AV421" i="17"/>
  <c r="AJ421" i="17"/>
  <c r="AP421" i="17"/>
  <c r="R421" i="17"/>
  <c r="D421" i="17"/>
  <c r="V421" i="17"/>
  <c r="AZ421" i="17"/>
  <c r="H421" i="17"/>
  <c r="AT421" i="17"/>
  <c r="T421" i="17"/>
  <c r="AD421" i="17"/>
  <c r="N421" i="17"/>
  <c r="AH421" i="17"/>
  <c r="W421" i="17"/>
  <c r="AF421" i="17"/>
  <c r="O421" i="17"/>
  <c r="AM421" i="17"/>
  <c r="I421" i="17"/>
  <c r="AE421" i="17"/>
  <c r="Q421" i="17"/>
  <c r="P421" i="17"/>
  <c r="L421" i="17"/>
  <c r="AK421" i="17"/>
  <c r="AI421" i="17"/>
  <c r="AS421" i="17"/>
  <c r="K421" i="17"/>
  <c r="E421" i="17"/>
  <c r="AW421" i="17"/>
  <c r="BA421" i="17"/>
  <c r="G421" i="17"/>
  <c r="AR421" i="17"/>
  <c r="AY421" i="17"/>
  <c r="M421" i="17"/>
  <c r="AQ421" i="17"/>
  <c r="AG421" i="17"/>
  <c r="AO421" i="17"/>
  <c r="J421" i="17"/>
  <c r="AB421" i="17"/>
  <c r="F421" i="17"/>
  <c r="C423" i="17" l="1"/>
  <c r="Z422" i="17"/>
  <c r="AI422" i="17"/>
  <c r="AE422" i="17"/>
  <c r="Y422" i="17"/>
  <c r="AB422" i="17"/>
  <c r="D422" i="17"/>
  <c r="AO422" i="17"/>
  <c r="AY422" i="17"/>
  <c r="AR422" i="17"/>
  <c r="X422" i="17"/>
  <c r="AV422" i="17"/>
  <c r="M422" i="17"/>
  <c r="AZ422" i="17"/>
  <c r="O422" i="17"/>
  <c r="J422" i="17"/>
  <c r="K422" i="17"/>
  <c r="R422" i="17"/>
  <c r="BA422" i="17"/>
  <c r="AM422" i="17"/>
  <c r="AJ422" i="17"/>
  <c r="E422" i="17"/>
  <c r="I422" i="17"/>
  <c r="L422" i="17"/>
  <c r="AG422" i="17"/>
  <c r="AK422" i="17"/>
  <c r="AN422" i="17"/>
  <c r="AU422" i="17"/>
  <c r="F422" i="17"/>
  <c r="AC422" i="17"/>
  <c r="U422" i="17"/>
  <c r="H422" i="17"/>
  <c r="T422" i="17"/>
  <c r="AD422" i="17"/>
  <c r="AA422" i="17"/>
  <c r="V422" i="17"/>
  <c r="AF422" i="17"/>
  <c r="G422" i="17"/>
  <c r="AP422" i="17"/>
  <c r="AT422" i="17"/>
  <c r="W422" i="17"/>
  <c r="N422" i="17"/>
  <c r="P422" i="17"/>
  <c r="AH422" i="17"/>
  <c r="AS422" i="17"/>
  <c r="AW422" i="17"/>
  <c r="AL422" i="17"/>
  <c r="Q422" i="17"/>
  <c r="AQ422" i="17"/>
  <c r="AX422" i="17"/>
  <c r="S422" i="17"/>
  <c r="C424" i="17" l="1"/>
  <c r="AS423" i="17"/>
  <c r="T423" i="17"/>
  <c r="I423" i="17"/>
  <c r="K423" i="17"/>
  <c r="AL423" i="17"/>
  <c r="AN423" i="17"/>
  <c r="L423" i="17"/>
  <c r="J423" i="17"/>
  <c r="AV423" i="17"/>
  <c r="AY423" i="17"/>
  <c r="AK423" i="17"/>
  <c r="AA423" i="17"/>
  <c r="AJ423" i="17"/>
  <c r="G423" i="17"/>
  <c r="AX423" i="17"/>
  <c r="AC423" i="17"/>
  <c r="AZ423" i="17"/>
  <c r="S423" i="17"/>
  <c r="BA423" i="17"/>
  <c r="X423" i="17"/>
  <c r="AO423" i="17"/>
  <c r="W423" i="17"/>
  <c r="AI423" i="17"/>
  <c r="U423" i="17"/>
  <c r="AQ423" i="17"/>
  <c r="Z423" i="17"/>
  <c r="D423" i="17"/>
  <c r="AP423" i="17"/>
  <c r="AU423" i="17"/>
  <c r="AW423" i="17"/>
  <c r="N423" i="17"/>
  <c r="AG423" i="17"/>
  <c r="F423" i="17"/>
  <c r="AF423" i="17"/>
  <c r="Y423" i="17"/>
  <c r="O423" i="17"/>
  <c r="AM423" i="17"/>
  <c r="H423" i="17"/>
  <c r="E423" i="17"/>
  <c r="AH423" i="17"/>
  <c r="R423" i="17"/>
  <c r="Q423" i="17"/>
  <c r="V423" i="17"/>
  <c r="P423" i="17"/>
  <c r="AE423" i="17"/>
  <c r="AR423" i="17"/>
  <c r="AD423" i="17"/>
  <c r="M423" i="17"/>
  <c r="AT423" i="17"/>
  <c r="AB423" i="17"/>
  <c r="C425" i="17" l="1"/>
  <c r="Z424" i="17"/>
  <c r="L424" i="17"/>
  <c r="AE424" i="17"/>
  <c r="U424" i="17"/>
  <c r="AS424" i="17"/>
  <c r="G424" i="17"/>
  <c r="W424" i="17"/>
  <c r="AD424" i="17"/>
  <c r="AF424" i="17"/>
  <c r="Y424" i="17"/>
  <c r="AO424" i="17"/>
  <c r="BA424" i="17"/>
  <c r="AX424" i="17"/>
  <c r="AI424" i="17"/>
  <c r="J424" i="17"/>
  <c r="Q424" i="17"/>
  <c r="AT424" i="17"/>
  <c r="K424" i="17"/>
  <c r="D424" i="17"/>
  <c r="AM424" i="17"/>
  <c r="AA424" i="17"/>
  <c r="AB424" i="17"/>
  <c r="AY424" i="17"/>
  <c r="N424" i="17"/>
  <c r="R424" i="17"/>
  <c r="AN424" i="17"/>
  <c r="AJ424" i="17"/>
  <c r="AH424" i="17"/>
  <c r="H424" i="17"/>
  <c r="AP424" i="17"/>
  <c r="M424" i="17"/>
  <c r="E424" i="17"/>
  <c r="O424" i="17"/>
  <c r="AW424" i="17"/>
  <c r="X424" i="17"/>
  <c r="AR424" i="17"/>
  <c r="V424" i="17"/>
  <c r="AZ424" i="17"/>
  <c r="AG424" i="17"/>
  <c r="F424" i="17"/>
  <c r="AC424" i="17"/>
  <c r="AQ424" i="17"/>
  <c r="P424" i="17"/>
  <c r="AV424" i="17"/>
  <c r="AL424" i="17"/>
  <c r="AK424" i="17"/>
  <c r="S424" i="17"/>
  <c r="I424" i="17"/>
  <c r="AU424" i="17"/>
  <c r="T424" i="17"/>
  <c r="C426" i="17" l="1"/>
  <c r="Y425" i="17"/>
  <c r="AY425" i="17"/>
  <c r="AM425" i="17"/>
  <c r="AU425" i="17"/>
  <c r="AR425" i="17"/>
  <c r="D425" i="17"/>
  <c r="AZ425" i="17"/>
  <c r="X425" i="17"/>
  <c r="S425" i="17"/>
  <c r="AT425" i="17"/>
  <c r="AP425" i="17"/>
  <c r="AQ425" i="17"/>
  <c r="AD425" i="17"/>
  <c r="AJ425" i="17"/>
  <c r="AX425" i="17"/>
  <c r="T425" i="17"/>
  <c r="AV425" i="17"/>
  <c r="AF425" i="17"/>
  <c r="I425" i="17"/>
  <c r="Q425" i="17"/>
  <c r="AI425" i="17"/>
  <c r="N425" i="17"/>
  <c r="V425" i="17"/>
  <c r="K425" i="17"/>
  <c r="O425" i="17"/>
  <c r="W425" i="17"/>
  <c r="AO425" i="17"/>
  <c r="AA425" i="17"/>
  <c r="AK425" i="17"/>
  <c r="M425" i="17"/>
  <c r="AG425" i="17"/>
  <c r="Z425" i="17"/>
  <c r="F425" i="17"/>
  <c r="AE425" i="17"/>
  <c r="H425" i="17"/>
  <c r="R425" i="17"/>
  <c r="P425" i="17"/>
  <c r="AW425" i="17"/>
  <c r="AS425" i="17"/>
  <c r="U425" i="17"/>
  <c r="AC425" i="17"/>
  <c r="AL425" i="17"/>
  <c r="L425" i="17"/>
  <c r="G425" i="17"/>
  <c r="AN425" i="17"/>
  <c r="AB425" i="17"/>
  <c r="E425" i="17"/>
  <c r="BA425" i="17"/>
  <c r="AH425" i="17"/>
  <c r="J425" i="17"/>
  <c r="C427" i="17" l="1"/>
  <c r="AN426" i="17"/>
  <c r="W426" i="17"/>
  <c r="T426" i="17"/>
  <c r="P426" i="17"/>
  <c r="AY426" i="17"/>
  <c r="AU426" i="17"/>
  <c r="AW426" i="17"/>
  <c r="AC426" i="17"/>
  <c r="AB426" i="17"/>
  <c r="G426" i="17"/>
  <c r="AT426" i="17"/>
  <c r="AE426" i="17"/>
  <c r="AH426" i="17"/>
  <c r="AK426" i="17"/>
  <c r="M426" i="17"/>
  <c r="V426" i="17"/>
  <c r="X426" i="17"/>
  <c r="AL426" i="17"/>
  <c r="O426" i="17"/>
  <c r="AG426" i="17"/>
  <c r="AQ426" i="17"/>
  <c r="AS426" i="17"/>
  <c r="Q426" i="17"/>
  <c r="AV426" i="17"/>
  <c r="S426" i="17"/>
  <c r="AX426" i="17"/>
  <c r="D426" i="17"/>
  <c r="E426" i="17"/>
  <c r="I426" i="17"/>
  <c r="Z426" i="17"/>
  <c r="AM426" i="17"/>
  <c r="N426" i="17"/>
  <c r="BA426" i="17"/>
  <c r="L426" i="17"/>
  <c r="AZ426" i="17"/>
  <c r="Y426" i="17"/>
  <c r="AD426" i="17"/>
  <c r="F426" i="17"/>
  <c r="U426" i="17"/>
  <c r="AP426" i="17"/>
  <c r="AA426" i="17"/>
  <c r="H426" i="17"/>
  <c r="AJ426" i="17"/>
  <c r="AR426" i="17"/>
  <c r="K426" i="17"/>
  <c r="AF426" i="17"/>
  <c r="AI426" i="17"/>
  <c r="J426" i="17"/>
  <c r="AO426" i="17"/>
  <c r="R426" i="17"/>
  <c r="C428" i="17" l="1"/>
  <c r="AV427" i="17"/>
  <c r="D427" i="17"/>
  <c r="AA427" i="17"/>
  <c r="G427" i="17"/>
  <c r="Y427" i="17"/>
  <c r="AB427" i="17"/>
  <c r="AL427" i="17"/>
  <c r="T427" i="17"/>
  <c r="O427" i="17"/>
  <c r="AY427" i="17"/>
  <c r="N427" i="17"/>
  <c r="Z427" i="17"/>
  <c r="AW427" i="17"/>
  <c r="Q427" i="17"/>
  <c r="AI427" i="17"/>
  <c r="AZ427" i="17"/>
  <c r="AC427" i="17"/>
  <c r="AM427" i="17"/>
  <c r="H427" i="17"/>
  <c r="E427" i="17"/>
  <c r="F427" i="17"/>
  <c r="AT427" i="17"/>
  <c r="I427" i="17"/>
  <c r="R427" i="17"/>
  <c r="AJ427" i="17"/>
  <c r="U427" i="17"/>
  <c r="AD427" i="17"/>
  <c r="AK427" i="17"/>
  <c r="AH427" i="17"/>
  <c r="V427" i="17"/>
  <c r="M427" i="17"/>
  <c r="AX427" i="17"/>
  <c r="AO427" i="17"/>
  <c r="AP427" i="17"/>
  <c r="AN427" i="17"/>
  <c r="J427" i="17"/>
  <c r="AE427" i="17"/>
  <c r="AG427" i="17"/>
  <c r="X427" i="17"/>
  <c r="S427" i="17"/>
  <c r="L427" i="17"/>
  <c r="W427" i="17"/>
  <c r="BA427" i="17"/>
  <c r="AR427" i="17"/>
  <c r="AQ427" i="17"/>
  <c r="AS427" i="17"/>
  <c r="K427" i="17"/>
  <c r="AF427" i="17"/>
  <c r="AU427" i="17"/>
  <c r="P427" i="17"/>
  <c r="C429" i="17" l="1"/>
  <c r="Y428" i="17"/>
  <c r="AQ428" i="17"/>
  <c r="M428" i="17"/>
  <c r="E428" i="17"/>
  <c r="O428" i="17"/>
  <c r="H428" i="17"/>
  <c r="AP428" i="17"/>
  <c r="AW428" i="17"/>
  <c r="P428" i="17"/>
  <c r="S428" i="17"/>
  <c r="AV428" i="17"/>
  <c r="Z428" i="17"/>
  <c r="F428" i="17"/>
  <c r="AI428" i="17"/>
  <c r="V428" i="17"/>
  <c r="AJ428" i="17"/>
  <c r="AH428" i="17"/>
  <c r="T428" i="17"/>
  <c r="AU428" i="17"/>
  <c r="AM428" i="17"/>
  <c r="AD428" i="17"/>
  <c r="AR428" i="17"/>
  <c r="G428" i="17"/>
  <c r="AL428" i="17"/>
  <c r="J428" i="17"/>
  <c r="AA428" i="17"/>
  <c r="AG428" i="17"/>
  <c r="AF428" i="17"/>
  <c r="BA428" i="17"/>
  <c r="D428" i="17"/>
  <c r="AX428" i="17"/>
  <c r="AY428" i="17"/>
  <c r="AB428" i="17"/>
  <c r="AS428" i="17"/>
  <c r="AZ428" i="17"/>
  <c r="X428" i="17"/>
  <c r="AK428" i="17"/>
  <c r="I428" i="17"/>
  <c r="L428" i="17"/>
  <c r="Q428" i="17"/>
  <c r="AO428" i="17"/>
  <c r="AC428" i="17"/>
  <c r="AN428" i="17"/>
  <c r="W428" i="17"/>
  <c r="U428" i="17"/>
  <c r="R428" i="17"/>
  <c r="N428" i="17"/>
  <c r="K428" i="17"/>
  <c r="AE428" i="17"/>
  <c r="AT428" i="17"/>
  <c r="C430" i="17" l="1"/>
  <c r="I429" i="17"/>
  <c r="Y429" i="17"/>
  <c r="AD429" i="17"/>
  <c r="D429" i="17"/>
  <c r="K429" i="17"/>
  <c r="Q429" i="17"/>
  <c r="AZ429" i="17"/>
  <c r="S429" i="17"/>
  <c r="N429" i="17"/>
  <c r="G429" i="17"/>
  <c r="BA429" i="17"/>
  <c r="Z429" i="17"/>
  <c r="AL429" i="17"/>
  <c r="W429" i="17"/>
  <c r="U429" i="17"/>
  <c r="T429" i="17"/>
  <c r="AK429" i="17"/>
  <c r="F429" i="17"/>
  <c r="AI429" i="17"/>
  <c r="L429" i="17"/>
  <c r="AB429" i="17"/>
  <c r="AF429" i="17"/>
  <c r="J429" i="17"/>
  <c r="P429" i="17"/>
  <c r="AX429" i="17"/>
  <c r="H429" i="17"/>
  <c r="AT429" i="17"/>
  <c r="AC429" i="17"/>
  <c r="V429" i="17"/>
  <c r="R429" i="17"/>
  <c r="AY429" i="17"/>
  <c r="AM429" i="17"/>
  <c r="AQ429" i="17"/>
  <c r="AN429" i="17"/>
  <c r="AS429" i="17"/>
  <c r="AO429" i="17"/>
  <c r="O429" i="17"/>
  <c r="AV429" i="17"/>
  <c r="AW429" i="17"/>
  <c r="M429" i="17"/>
  <c r="AA429" i="17"/>
  <c r="AH429" i="17"/>
  <c r="X429" i="17"/>
  <c r="AE429" i="17"/>
  <c r="AU429" i="17"/>
  <c r="AR429" i="17"/>
  <c r="E429" i="17"/>
  <c r="AJ429" i="17"/>
  <c r="AP429" i="17"/>
  <c r="AG429" i="17"/>
  <c r="C431" i="17" l="1"/>
  <c r="R430" i="17"/>
  <c r="Z430" i="17"/>
  <c r="L430" i="17"/>
  <c r="AP430" i="17"/>
  <c r="AL430" i="17"/>
  <c r="U430" i="17"/>
  <c r="Q430" i="17"/>
  <c r="W430" i="17"/>
  <c r="AE430" i="17"/>
  <c r="K430" i="17"/>
  <c r="T430" i="17"/>
  <c r="Y430" i="17"/>
  <c r="AN430" i="17"/>
  <c r="D430" i="17"/>
  <c r="AY430" i="17"/>
  <c r="AS430" i="17"/>
  <c r="AX430" i="17"/>
  <c r="F430" i="17"/>
  <c r="H430" i="17"/>
  <c r="AW430" i="17"/>
  <c r="AH430" i="17"/>
  <c r="AF430" i="17"/>
  <c r="J430" i="17"/>
  <c r="N430" i="17"/>
  <c r="AO430" i="17"/>
  <c r="AR430" i="17"/>
  <c r="AB430" i="17"/>
  <c r="AG430" i="17"/>
  <c r="P430" i="17"/>
  <c r="AZ430" i="17"/>
  <c r="AC430" i="17"/>
  <c r="V430" i="17"/>
  <c r="AI430" i="17"/>
  <c r="AU430" i="17"/>
  <c r="AT430" i="17"/>
  <c r="S430" i="17"/>
  <c r="X430" i="17"/>
  <c r="M430" i="17"/>
  <c r="AJ430" i="17"/>
  <c r="G430" i="17"/>
  <c r="AV430" i="17"/>
  <c r="AA430" i="17"/>
  <c r="AM430" i="17"/>
  <c r="BA430" i="17"/>
  <c r="AK430" i="17"/>
  <c r="AQ430" i="17"/>
  <c r="AD430" i="17"/>
  <c r="I430" i="17"/>
  <c r="O430" i="17"/>
  <c r="E430" i="17"/>
  <c r="C432" i="17" l="1"/>
  <c r="AE431" i="17"/>
  <c r="F431" i="17"/>
  <c r="L431" i="17"/>
  <c r="AP431" i="17"/>
  <c r="Y431" i="17"/>
  <c r="AN431" i="17"/>
  <c r="BA431" i="17"/>
  <c r="AC431" i="17"/>
  <c r="AH431" i="17"/>
  <c r="AM431" i="17"/>
  <c r="J431" i="17"/>
  <c r="V431" i="17"/>
  <c r="D431" i="17"/>
  <c r="AZ431" i="17"/>
  <c r="AG431" i="17"/>
  <c r="AQ431" i="17"/>
  <c r="K431" i="17"/>
  <c r="AA431" i="17"/>
  <c r="P431" i="17"/>
  <c r="AD431" i="17"/>
  <c r="AW431" i="17"/>
  <c r="N431" i="17"/>
  <c r="AS431" i="17"/>
  <c r="W431" i="17"/>
  <c r="M431" i="17"/>
  <c r="AF431" i="17"/>
  <c r="AJ431" i="17"/>
  <c r="Z431" i="17"/>
  <c r="T431" i="17"/>
  <c r="E431" i="17"/>
  <c r="X431" i="17"/>
  <c r="U431" i="17"/>
  <c r="R431" i="17"/>
  <c r="I431" i="17"/>
  <c r="Q431" i="17"/>
  <c r="AV431" i="17"/>
  <c r="S431" i="17"/>
  <c r="AL431" i="17"/>
  <c r="AI431" i="17"/>
  <c r="AY431" i="17"/>
  <c r="G431" i="17"/>
  <c r="AK431" i="17"/>
  <c r="AB431" i="17"/>
  <c r="O431" i="17"/>
  <c r="AU431" i="17"/>
  <c r="AR431" i="17"/>
  <c r="AX431" i="17"/>
  <c r="AT431" i="17"/>
  <c r="AO431" i="17"/>
  <c r="H431" i="17"/>
  <c r="C433" i="17" l="1"/>
  <c r="E432" i="17"/>
  <c r="AF432" i="17"/>
  <c r="H432" i="17"/>
  <c r="T432" i="17"/>
  <c r="AJ432" i="17"/>
  <c r="U432" i="17"/>
  <c r="Q432" i="17"/>
  <c r="AS432" i="17"/>
  <c r="AO432" i="17"/>
  <c r="Y432" i="17"/>
  <c r="Z432" i="17"/>
  <c r="BA432" i="17"/>
  <c r="AK432" i="17"/>
  <c r="R432" i="17"/>
  <c r="N432" i="17"/>
  <c r="AV432" i="17"/>
  <c r="AG432" i="17"/>
  <c r="AY432" i="17"/>
  <c r="O432" i="17"/>
  <c r="D432" i="17"/>
  <c r="AZ432" i="17"/>
  <c r="AP432" i="17"/>
  <c r="AU432" i="17"/>
  <c r="G432" i="17"/>
  <c r="J432" i="17"/>
  <c r="AL432" i="17"/>
  <c r="AI432" i="17"/>
  <c r="AR432" i="17"/>
  <c r="AE432" i="17"/>
  <c r="AQ432" i="17"/>
  <c r="X432" i="17"/>
  <c r="AB432" i="17"/>
  <c r="AM432" i="17"/>
  <c r="M432" i="17"/>
  <c r="L432" i="17"/>
  <c r="F432" i="17"/>
  <c r="AH432" i="17"/>
  <c r="S432" i="17"/>
  <c r="K432" i="17"/>
  <c r="AA432" i="17"/>
  <c r="W432" i="17"/>
  <c r="AT432" i="17"/>
  <c r="P432" i="17"/>
  <c r="AC432" i="17"/>
  <c r="AN432" i="17"/>
  <c r="AW432" i="17"/>
  <c r="AD432" i="17"/>
  <c r="AX432" i="17"/>
  <c r="I432" i="17"/>
  <c r="V432" i="17"/>
  <c r="C434" i="17" l="1"/>
  <c r="AN433" i="17"/>
  <c r="AW433" i="17"/>
  <c r="S433" i="17"/>
  <c r="BA433" i="17"/>
  <c r="I433" i="17"/>
  <c r="AZ433" i="17"/>
  <c r="AR433" i="17"/>
  <c r="AD433" i="17"/>
  <c r="AP433" i="17"/>
  <c r="V433" i="17"/>
  <c r="AY433" i="17"/>
  <c r="T433" i="17"/>
  <c r="M433" i="17"/>
  <c r="AM433" i="17"/>
  <c r="AH433" i="17"/>
  <c r="W433" i="17"/>
  <c r="F433" i="17"/>
  <c r="AU433" i="17"/>
  <c r="N433" i="17"/>
  <c r="AS433" i="17"/>
  <c r="AF433" i="17"/>
  <c r="AT433" i="17"/>
  <c r="D433" i="17"/>
  <c r="Y433" i="17"/>
  <c r="AL433" i="17"/>
  <c r="AQ433" i="17"/>
  <c r="U433" i="17"/>
  <c r="AC433" i="17"/>
  <c r="AG433" i="17"/>
  <c r="AE433" i="17"/>
  <c r="AV433" i="17"/>
  <c r="R433" i="17"/>
  <c r="AI433" i="17"/>
  <c r="G433" i="17"/>
  <c r="AB433" i="17"/>
  <c r="AK433" i="17"/>
  <c r="Q433" i="17"/>
  <c r="J433" i="17"/>
  <c r="L433" i="17"/>
  <c r="H433" i="17"/>
  <c r="AJ433" i="17"/>
  <c r="O433" i="17"/>
  <c r="P433" i="17"/>
  <c r="X433" i="17"/>
  <c r="AX433" i="17"/>
  <c r="AO433" i="17"/>
  <c r="E433" i="17"/>
  <c r="Z433" i="17"/>
  <c r="AA433" i="17"/>
  <c r="K433" i="17"/>
  <c r="C435" i="17" l="1"/>
  <c r="K434" i="17"/>
  <c r="I434" i="17"/>
  <c r="X434" i="17"/>
  <c r="E434" i="17"/>
  <c r="AT434" i="17"/>
  <c r="AJ434" i="17"/>
  <c r="L434" i="17"/>
  <c r="AB434" i="17"/>
  <c r="AQ434" i="17"/>
  <c r="BA434" i="17"/>
  <c r="U434" i="17"/>
  <c r="AF434" i="17"/>
  <c r="AN434" i="17"/>
  <c r="AZ434" i="17"/>
  <c r="AK434" i="17"/>
  <c r="N434" i="17"/>
  <c r="T434" i="17"/>
  <c r="V434" i="17"/>
  <c r="F434" i="17"/>
  <c r="AU434" i="17"/>
  <c r="AX434" i="17"/>
  <c r="AL434" i="17"/>
  <c r="W434" i="17"/>
  <c r="G434" i="17"/>
  <c r="AW434" i="17"/>
  <c r="Q434" i="17"/>
  <c r="AO434" i="17"/>
  <c r="H434" i="17"/>
  <c r="M434" i="17"/>
  <c r="AY434" i="17"/>
  <c r="AS434" i="17"/>
  <c r="Y434" i="17"/>
  <c r="P434" i="17"/>
  <c r="R434" i="17"/>
  <c r="AC434" i="17"/>
  <c r="J434" i="17"/>
  <c r="AG434" i="17"/>
  <c r="D434" i="17"/>
  <c r="AA434" i="17"/>
  <c r="AV434" i="17"/>
  <c r="AM434" i="17"/>
  <c r="AE434" i="17"/>
  <c r="AD434" i="17"/>
  <c r="AR434" i="17"/>
  <c r="AP434" i="17"/>
  <c r="AH434" i="17"/>
  <c r="AI434" i="17"/>
  <c r="S434" i="17"/>
  <c r="O434" i="17"/>
  <c r="Z434" i="17"/>
  <c r="C436" i="17" l="1"/>
  <c r="AG435" i="17"/>
  <c r="J435" i="17"/>
  <c r="AE435" i="17"/>
  <c r="W435" i="17"/>
  <c r="AC435" i="17"/>
  <c r="X435" i="17"/>
  <c r="AK435" i="17"/>
  <c r="AU435" i="17"/>
  <c r="Q435" i="17"/>
  <c r="AA435" i="17"/>
  <c r="AP435" i="17"/>
  <c r="AM435" i="17"/>
  <c r="AS435" i="17"/>
  <c r="S435" i="17"/>
  <c r="AO435" i="17"/>
  <c r="AD435" i="17"/>
  <c r="Z435" i="17"/>
  <c r="AF435" i="17"/>
  <c r="M435" i="17"/>
  <c r="I435" i="17"/>
  <c r="D435" i="17"/>
  <c r="AY435" i="17"/>
  <c r="G435" i="17"/>
  <c r="AZ435" i="17"/>
  <c r="AX435" i="17"/>
  <c r="K435" i="17"/>
  <c r="P435" i="17"/>
  <c r="Y435" i="17"/>
  <c r="E435" i="17"/>
  <c r="AV435" i="17"/>
  <c r="AL435" i="17"/>
  <c r="R435" i="17"/>
  <c r="U435" i="17"/>
  <c r="AI435" i="17"/>
  <c r="AW435" i="17"/>
  <c r="BA435" i="17"/>
  <c r="L435" i="17"/>
  <c r="AT435" i="17"/>
  <c r="AR435" i="17"/>
  <c r="AJ435" i="17"/>
  <c r="AH435" i="17"/>
  <c r="AB435" i="17"/>
  <c r="V435" i="17"/>
  <c r="N435" i="17"/>
  <c r="F435" i="17"/>
  <c r="AN435" i="17"/>
  <c r="T435" i="17"/>
  <c r="H435" i="17"/>
  <c r="AQ435" i="17"/>
  <c r="O435" i="17"/>
  <c r="C437" i="17" l="1"/>
  <c r="P436" i="17"/>
  <c r="AH436" i="17"/>
  <c r="L436" i="17"/>
  <c r="K436" i="17"/>
  <c r="R436" i="17"/>
  <c r="AA436" i="17"/>
  <c r="M436" i="17"/>
  <c r="W436" i="17"/>
  <c r="AC436" i="17"/>
  <c r="S436" i="17"/>
  <c r="AE436" i="17"/>
  <c r="AW436" i="17"/>
  <c r="F436" i="17"/>
  <c r="H436" i="17"/>
  <c r="AR436" i="17"/>
  <c r="AM436" i="17"/>
  <c r="G436" i="17"/>
  <c r="BA436" i="17"/>
  <c r="AB436" i="17"/>
  <c r="T436" i="17"/>
  <c r="V436" i="17"/>
  <c r="AG436" i="17"/>
  <c r="AO436" i="17"/>
  <c r="AS436" i="17"/>
  <c r="AJ436" i="17"/>
  <c r="Z436" i="17"/>
  <c r="Q436" i="17"/>
  <c r="AQ436" i="17"/>
  <c r="D436" i="17"/>
  <c r="O436" i="17"/>
  <c r="AU436" i="17"/>
  <c r="AV436" i="17"/>
  <c r="AK436" i="17"/>
  <c r="I436" i="17"/>
  <c r="X436" i="17"/>
  <c r="J436" i="17"/>
  <c r="AY436" i="17"/>
  <c r="E436" i="17"/>
  <c r="AZ436" i="17"/>
  <c r="U436" i="17"/>
  <c r="AT436" i="17"/>
  <c r="AP436" i="17"/>
  <c r="AD436" i="17"/>
  <c r="AL436" i="17"/>
  <c r="AX436" i="17"/>
  <c r="AN436" i="17"/>
  <c r="AF436" i="17"/>
  <c r="Y436" i="17"/>
  <c r="N436" i="17"/>
  <c r="AI436" i="17"/>
  <c r="C438" i="17" l="1"/>
  <c r="AG437" i="17"/>
  <c r="AM437" i="17"/>
  <c r="O437" i="17"/>
  <c r="AF437" i="17"/>
  <c r="N437" i="17"/>
  <c r="M437" i="17"/>
  <c r="AY437" i="17"/>
  <c r="W437" i="17"/>
  <c r="L437" i="17"/>
  <c r="AD437" i="17"/>
  <c r="AS437" i="17"/>
  <c r="AN437" i="17"/>
  <c r="AR437" i="17"/>
  <c r="AI437" i="17"/>
  <c r="R437" i="17"/>
  <c r="AP437" i="17"/>
  <c r="AB437" i="17"/>
  <c r="Q437" i="17"/>
  <c r="P437" i="17"/>
  <c r="AL437" i="17"/>
  <c r="AT437" i="17"/>
  <c r="G437" i="17"/>
  <c r="AX437" i="17"/>
  <c r="Y437" i="17"/>
  <c r="AE437" i="17"/>
  <c r="T437" i="17"/>
  <c r="I437" i="17"/>
  <c r="AW437" i="17"/>
  <c r="AQ437" i="17"/>
  <c r="E437" i="17"/>
  <c r="U437" i="17"/>
  <c r="S437" i="17"/>
  <c r="H437" i="17"/>
  <c r="V437" i="17"/>
  <c r="AV437" i="17"/>
  <c r="AK437" i="17"/>
  <c r="AC437" i="17"/>
  <c r="AU437" i="17"/>
  <c r="X437" i="17"/>
  <c r="Z437" i="17"/>
  <c r="BA437" i="17"/>
  <c r="AA437" i="17"/>
  <c r="AH437" i="17"/>
  <c r="AJ437" i="17"/>
  <c r="AZ437" i="17"/>
  <c r="J437" i="17"/>
  <c r="D437" i="17"/>
  <c r="F437" i="17"/>
  <c r="AO437" i="17"/>
  <c r="K437" i="17"/>
  <c r="C439" i="17" l="1"/>
  <c r="G438" i="17"/>
  <c r="D438" i="17"/>
  <c r="AU438" i="17"/>
  <c r="AW438" i="17"/>
  <c r="Z438" i="17"/>
  <c r="AH438" i="17"/>
  <c r="F438" i="17"/>
  <c r="AK438" i="17"/>
  <c r="AP438" i="17"/>
  <c r="AN438" i="17"/>
  <c r="BA438" i="17"/>
  <c r="AA438" i="17"/>
  <c r="AX438" i="17"/>
  <c r="AG438" i="17"/>
  <c r="N438" i="17"/>
  <c r="S438" i="17"/>
  <c r="P438" i="17"/>
  <c r="AY438" i="17"/>
  <c r="W438" i="17"/>
  <c r="AI438" i="17"/>
  <c r="AB438" i="17"/>
  <c r="AT438" i="17"/>
  <c r="Y438" i="17"/>
  <c r="R438" i="17"/>
  <c r="Q438" i="17"/>
  <c r="T438" i="17"/>
  <c r="M438" i="17"/>
  <c r="AF438" i="17"/>
  <c r="AR438" i="17"/>
  <c r="AM438" i="17"/>
  <c r="AE438" i="17"/>
  <c r="AS438" i="17"/>
  <c r="AQ438" i="17"/>
  <c r="E438" i="17"/>
  <c r="AJ438" i="17"/>
  <c r="AC438" i="17"/>
  <c r="AD438" i="17"/>
  <c r="AZ438" i="17"/>
  <c r="V438" i="17"/>
  <c r="J438" i="17"/>
  <c r="X438" i="17"/>
  <c r="AL438" i="17"/>
  <c r="K438" i="17"/>
  <c r="I438" i="17"/>
  <c r="H438" i="17"/>
  <c r="AO438" i="17"/>
  <c r="U438" i="17"/>
  <c r="AV438" i="17"/>
  <c r="L438" i="17"/>
  <c r="O438" i="17"/>
  <c r="C440" i="17" l="1"/>
  <c r="H439" i="17"/>
  <c r="P439" i="17"/>
  <c r="AS439" i="17"/>
  <c r="L439" i="17"/>
  <c r="Y439" i="17"/>
  <c r="U439" i="17"/>
  <c r="AA439" i="17"/>
  <c r="AR439" i="17"/>
  <c r="AF439" i="17"/>
  <c r="AC439" i="17"/>
  <c r="AJ439" i="17"/>
  <c r="AI439" i="17"/>
  <c r="AH439" i="17"/>
  <c r="AD439" i="17"/>
  <c r="AX439" i="17"/>
  <c r="W439" i="17"/>
  <c r="S439" i="17"/>
  <c r="T439" i="17"/>
  <c r="O439" i="17"/>
  <c r="AB439" i="17"/>
  <c r="J439" i="17"/>
  <c r="AO439" i="17"/>
  <c r="AM439" i="17"/>
  <c r="BA439" i="17"/>
  <c r="AK439" i="17"/>
  <c r="Q439" i="17"/>
  <c r="G439" i="17"/>
  <c r="AG439" i="17"/>
  <c r="E439" i="17"/>
  <c r="R439" i="17"/>
  <c r="AE439" i="17"/>
  <c r="Z439" i="17"/>
  <c r="AN439" i="17"/>
  <c r="K439" i="17"/>
  <c r="AU439" i="17"/>
  <c r="F439" i="17"/>
  <c r="AW439" i="17"/>
  <c r="AY439" i="17"/>
  <c r="AZ439" i="17"/>
  <c r="AP439" i="17"/>
  <c r="D439" i="17"/>
  <c r="AV439" i="17"/>
  <c r="X439" i="17"/>
  <c r="I439" i="17"/>
  <c r="M439" i="17"/>
  <c r="AL439" i="17"/>
  <c r="AQ439" i="17"/>
  <c r="N439" i="17"/>
  <c r="AT439" i="17"/>
  <c r="V439" i="17"/>
  <c r="C441" i="17" l="1"/>
  <c r="Y440" i="17"/>
  <c r="AZ440" i="17"/>
  <c r="AH440" i="17"/>
  <c r="AU440" i="17"/>
  <c r="J440" i="17"/>
  <c r="AF440" i="17"/>
  <c r="H440" i="17"/>
  <c r="I440" i="17"/>
  <c r="X440" i="17"/>
  <c r="D440" i="17"/>
  <c r="AG440" i="17"/>
  <c r="M440" i="17"/>
  <c r="AY440" i="17"/>
  <c r="AJ440" i="17"/>
  <c r="O440" i="17"/>
  <c r="Z440" i="17"/>
  <c r="AT440" i="17"/>
  <c r="AK440" i="17"/>
  <c r="AR440" i="17"/>
  <c r="L440" i="17"/>
  <c r="F440" i="17"/>
  <c r="E440" i="17"/>
  <c r="U440" i="17"/>
  <c r="AE440" i="17"/>
  <c r="AP440" i="17"/>
  <c r="BA440" i="17"/>
  <c r="V440" i="17"/>
  <c r="G440" i="17"/>
  <c r="T440" i="17"/>
  <c r="AO440" i="17"/>
  <c r="AC440" i="17"/>
  <c r="AI440" i="17"/>
  <c r="AV440" i="17"/>
  <c r="AS440" i="17"/>
  <c r="AM440" i="17"/>
  <c r="K440" i="17"/>
  <c r="AN440" i="17"/>
  <c r="R440" i="17"/>
  <c r="AD440" i="17"/>
  <c r="AA440" i="17"/>
  <c r="AX440" i="17"/>
  <c r="AW440" i="17"/>
  <c r="AQ440" i="17"/>
  <c r="P440" i="17"/>
  <c r="AL440" i="17"/>
  <c r="W440" i="17"/>
  <c r="AB440" i="17"/>
  <c r="S440" i="17"/>
  <c r="Q440" i="17"/>
  <c r="N440" i="17"/>
  <c r="C442" i="17" l="1"/>
  <c r="AA441" i="17"/>
  <c r="AQ441" i="17"/>
  <c r="S441" i="17"/>
  <c r="AP441" i="17"/>
  <c r="AK441" i="17"/>
  <c r="Q441" i="17"/>
  <c r="AB441" i="17"/>
  <c r="Z441" i="17"/>
  <c r="BA441" i="17"/>
  <c r="AT441" i="17"/>
  <c r="W441" i="17"/>
  <c r="AZ441" i="17"/>
  <c r="AM441" i="17"/>
  <c r="E441" i="17"/>
  <c r="AJ441" i="17"/>
  <c r="AO441" i="17"/>
  <c r="AY441" i="17"/>
  <c r="AS441" i="17"/>
  <c r="AG441" i="17"/>
  <c r="F441" i="17"/>
  <c r="AL441" i="17"/>
  <c r="AE441" i="17"/>
  <c r="I441" i="17"/>
  <c r="AU441" i="17"/>
  <c r="U441" i="17"/>
  <c r="R441" i="17"/>
  <c r="J441" i="17"/>
  <c r="AH441" i="17"/>
  <c r="P441" i="17"/>
  <c r="G441" i="17"/>
  <c r="AD441" i="17"/>
  <c r="V441" i="17"/>
  <c r="K441" i="17"/>
  <c r="N441" i="17"/>
  <c r="H441" i="17"/>
  <c r="AF441" i="17"/>
  <c r="T441" i="17"/>
  <c r="AC441" i="17"/>
  <c r="X441" i="17"/>
  <c r="AI441" i="17"/>
  <c r="AR441" i="17"/>
  <c r="AX441" i="17"/>
  <c r="M441" i="17"/>
  <c r="AW441" i="17"/>
  <c r="D441" i="17"/>
  <c r="O441" i="17"/>
  <c r="AV441" i="17"/>
  <c r="AN441" i="17"/>
  <c r="Y441" i="17"/>
  <c r="L441" i="17"/>
  <c r="C443" i="17" l="1"/>
  <c r="V442" i="17"/>
  <c r="AU442" i="17"/>
  <c r="K442" i="17"/>
  <c r="AF442" i="17"/>
  <c r="AV442" i="17"/>
  <c r="T442" i="17"/>
  <c r="AH442" i="17"/>
  <c r="AS442" i="17"/>
  <c r="AQ442" i="17"/>
  <c r="AR442" i="17"/>
  <c r="X442" i="17"/>
  <c r="AE442" i="17"/>
  <c r="AL442" i="17"/>
  <c r="BA442" i="17"/>
  <c r="M442" i="17"/>
  <c r="AG442" i="17"/>
  <c r="AZ442" i="17"/>
  <c r="AJ442" i="17"/>
  <c r="AB442" i="17"/>
  <c r="AD442" i="17"/>
  <c r="AT442" i="17"/>
  <c r="O442" i="17"/>
  <c r="AW442" i="17"/>
  <c r="AX442" i="17"/>
  <c r="D442" i="17"/>
  <c r="P442" i="17"/>
  <c r="Q442" i="17"/>
  <c r="R442" i="17"/>
  <c r="AM442" i="17"/>
  <c r="J442" i="17"/>
  <c r="Z442" i="17"/>
  <c r="U442" i="17"/>
  <c r="AN442" i="17"/>
  <c r="W442" i="17"/>
  <c r="L442" i="17"/>
  <c r="AO442" i="17"/>
  <c r="I442" i="17"/>
  <c r="AC442" i="17"/>
  <c r="F442" i="17"/>
  <c r="AP442" i="17"/>
  <c r="AI442" i="17"/>
  <c r="N442" i="17"/>
  <c r="G442" i="17"/>
  <c r="AK442" i="17"/>
  <c r="AA442" i="17"/>
  <c r="S442" i="17"/>
  <c r="AY442" i="17"/>
  <c r="Y442" i="17"/>
  <c r="H442" i="17"/>
  <c r="E442" i="17"/>
  <c r="C444" i="17" l="1"/>
  <c r="AI443" i="17"/>
  <c r="R443" i="17"/>
  <c r="AM443" i="17"/>
  <c r="AE443" i="17"/>
  <c r="L443" i="17"/>
  <c r="I443" i="17"/>
  <c r="O443" i="17"/>
  <c r="J443" i="17"/>
  <c r="AG443" i="17"/>
  <c r="AW443" i="17"/>
  <c r="F443" i="17"/>
  <c r="Z443" i="17"/>
  <c r="AC443" i="17"/>
  <c r="X443" i="17"/>
  <c r="AA443" i="17"/>
  <c r="H443" i="17"/>
  <c r="N443" i="17"/>
  <c r="T443" i="17"/>
  <c r="AX443" i="17"/>
  <c r="AV443" i="17"/>
  <c r="AN443" i="17"/>
  <c r="AU443" i="17"/>
  <c r="AO443" i="17"/>
  <c r="P443" i="17"/>
  <c r="AH443" i="17"/>
  <c r="D443" i="17"/>
  <c r="BA443" i="17"/>
  <c r="M443" i="17"/>
  <c r="AL443" i="17"/>
  <c r="AQ443" i="17"/>
  <c r="Y443" i="17"/>
  <c r="S443" i="17"/>
  <c r="Q443" i="17"/>
  <c r="AT443" i="17"/>
  <c r="K443" i="17"/>
  <c r="AZ443" i="17"/>
  <c r="G443" i="17"/>
  <c r="AD443" i="17"/>
  <c r="V443" i="17"/>
  <c r="W443" i="17"/>
  <c r="AK443" i="17"/>
  <c r="E443" i="17"/>
  <c r="AS443" i="17"/>
  <c r="U443" i="17"/>
  <c r="AJ443" i="17"/>
  <c r="AB443" i="17"/>
  <c r="AP443" i="17"/>
  <c r="AR443" i="17"/>
  <c r="AY443" i="17"/>
  <c r="AF443" i="17"/>
  <c r="C445" i="17" l="1"/>
  <c r="AP444" i="17"/>
  <c r="Z444" i="17"/>
  <c r="AR444" i="17"/>
  <c r="AF444" i="17"/>
  <c r="K444" i="17"/>
  <c r="G444" i="17"/>
  <c r="AY444" i="17"/>
  <c r="AQ444" i="17"/>
  <c r="Y444" i="17"/>
  <c r="AM444" i="17"/>
  <c r="AX444" i="17"/>
  <c r="AV444" i="17"/>
  <c r="AD444" i="17"/>
  <c r="F444" i="17"/>
  <c r="O444" i="17"/>
  <c r="R444" i="17"/>
  <c r="AA444" i="17"/>
  <c r="AS444" i="17"/>
  <c r="V444" i="17"/>
  <c r="D444" i="17"/>
  <c r="Q444" i="17"/>
  <c r="AG444" i="17"/>
  <c r="BA444" i="17"/>
  <c r="J444" i="17"/>
  <c r="AE444" i="17"/>
  <c r="AZ444" i="17"/>
  <c r="I444" i="17"/>
  <c r="W444" i="17"/>
  <c r="L444" i="17"/>
  <c r="E444" i="17"/>
  <c r="AB444" i="17"/>
  <c r="H444" i="17"/>
  <c r="AC444" i="17"/>
  <c r="P444" i="17"/>
  <c r="AN444" i="17"/>
  <c r="AT444" i="17"/>
  <c r="X444" i="17"/>
  <c r="N444" i="17"/>
  <c r="AK444" i="17"/>
  <c r="U444" i="17"/>
  <c r="AI444" i="17"/>
  <c r="M444" i="17"/>
  <c r="AJ444" i="17"/>
  <c r="AO444" i="17"/>
  <c r="AH444" i="17"/>
  <c r="AU444" i="17"/>
  <c r="AL444" i="17"/>
  <c r="T444" i="17"/>
  <c r="S444" i="17"/>
  <c r="AW444" i="17"/>
  <c r="C446" i="17" l="1"/>
  <c r="AV445" i="17"/>
  <c r="T445" i="17"/>
  <c r="AJ445" i="17"/>
  <c r="AS445" i="17"/>
  <c r="AF445" i="17"/>
  <c r="AN445" i="17"/>
  <c r="AZ445" i="17"/>
  <c r="G445" i="17"/>
  <c r="Q445" i="17"/>
  <c r="F445" i="17"/>
  <c r="J445" i="17"/>
  <c r="N445" i="17"/>
  <c r="AT445" i="17"/>
  <c r="AQ445" i="17"/>
  <c r="Z445" i="17"/>
  <c r="L445" i="17"/>
  <c r="AH445" i="17"/>
  <c r="R445" i="17"/>
  <c r="M445" i="17"/>
  <c r="AL445" i="17"/>
  <c r="AW445" i="17"/>
  <c r="AM445" i="17"/>
  <c r="X445" i="17"/>
  <c r="P445" i="17"/>
  <c r="AU445" i="17"/>
  <c r="W445" i="17"/>
  <c r="E445" i="17"/>
  <c r="AI445" i="17"/>
  <c r="AD445" i="17"/>
  <c r="AP445" i="17"/>
  <c r="O445" i="17"/>
  <c r="AO445" i="17"/>
  <c r="AY445" i="17"/>
  <c r="AK445" i="17"/>
  <c r="U445" i="17"/>
  <c r="S445" i="17"/>
  <c r="Y445" i="17"/>
  <c r="AA445" i="17"/>
  <c r="AC445" i="17"/>
  <c r="AE445" i="17"/>
  <c r="K445" i="17"/>
  <c r="AX445" i="17"/>
  <c r="V445" i="17"/>
  <c r="H445" i="17"/>
  <c r="AR445" i="17"/>
  <c r="AB445" i="17"/>
  <c r="D445" i="17"/>
  <c r="I445" i="17"/>
  <c r="BA445" i="17"/>
  <c r="AG445" i="17"/>
  <c r="C447" i="17" l="1"/>
  <c r="AQ446" i="17"/>
  <c r="AO446" i="17"/>
  <c r="AS446" i="17"/>
  <c r="Z446" i="17"/>
  <c r="AI446" i="17"/>
  <c r="AV446" i="17"/>
  <c r="AJ446" i="17"/>
  <c r="AK446" i="17"/>
  <c r="AN446" i="17"/>
  <c r="AH446" i="17"/>
  <c r="AL446" i="17"/>
  <c r="AW446" i="17"/>
  <c r="AY446" i="17"/>
  <c r="AX446" i="17"/>
  <c r="AP446" i="17"/>
  <c r="G446" i="17"/>
  <c r="BA446" i="17"/>
  <c r="AB446" i="17"/>
  <c r="AG446" i="17"/>
  <c r="N446" i="17"/>
  <c r="U446" i="17"/>
  <c r="AM446" i="17"/>
  <c r="M446" i="17"/>
  <c r="O446" i="17"/>
  <c r="P446" i="17"/>
  <c r="AU446" i="17"/>
  <c r="E446" i="17"/>
  <c r="W446" i="17"/>
  <c r="Y446" i="17"/>
  <c r="F446" i="17"/>
  <c r="AE446" i="17"/>
  <c r="S446" i="17"/>
  <c r="R446" i="17"/>
  <c r="AR446" i="17"/>
  <c r="I446" i="17"/>
  <c r="AF446" i="17"/>
  <c r="AD446" i="17"/>
  <c r="K446" i="17"/>
  <c r="T446" i="17"/>
  <c r="J446" i="17"/>
  <c r="H446" i="17"/>
  <c r="AA446" i="17"/>
  <c r="X446" i="17"/>
  <c r="AC446" i="17"/>
  <c r="D446" i="17"/>
  <c r="Q446" i="17"/>
  <c r="AZ446" i="17"/>
  <c r="AT446" i="17"/>
  <c r="L446" i="17"/>
  <c r="V446" i="17"/>
  <c r="C448" i="17" l="1"/>
  <c r="AZ447" i="17"/>
  <c r="AS447" i="17"/>
  <c r="AH447" i="17"/>
  <c r="E447" i="17"/>
  <c r="L447" i="17"/>
  <c r="AV447" i="17"/>
  <c r="AA447" i="17"/>
  <c r="S447" i="17"/>
  <c r="AC447" i="17"/>
  <c r="AI447" i="17"/>
  <c r="Z447" i="17"/>
  <c r="O447" i="17"/>
  <c r="AR447" i="17"/>
  <c r="P447" i="17"/>
  <c r="I447" i="17"/>
  <c r="X447" i="17"/>
  <c r="Y447" i="17"/>
  <c r="W447" i="17"/>
  <c r="AB447" i="17"/>
  <c r="AF447" i="17"/>
  <c r="T447" i="17"/>
  <c r="AU447" i="17"/>
  <c r="AG447" i="17"/>
  <c r="BA447" i="17"/>
  <c r="AP447" i="17"/>
  <c r="AN447" i="17"/>
  <c r="U447" i="17"/>
  <c r="N447" i="17"/>
  <c r="V447" i="17"/>
  <c r="AE447" i="17"/>
  <c r="AY447" i="17"/>
  <c r="AO447" i="17"/>
  <c r="D447" i="17"/>
  <c r="AL447" i="17"/>
  <c r="AW447" i="17"/>
  <c r="G447" i="17"/>
  <c r="K447" i="17"/>
  <c r="H447" i="17"/>
  <c r="AJ447" i="17"/>
  <c r="AD447" i="17"/>
  <c r="M447" i="17"/>
  <c r="J447" i="17"/>
  <c r="AX447" i="17"/>
  <c r="AQ447" i="17"/>
  <c r="R447" i="17"/>
  <c r="F447" i="17"/>
  <c r="Q447" i="17"/>
  <c r="AT447" i="17"/>
  <c r="AK447" i="17"/>
  <c r="AM447" i="17"/>
  <c r="C449" i="17" l="1"/>
  <c r="U448" i="17"/>
  <c r="BA448" i="17"/>
  <c r="N448" i="17"/>
  <c r="AS448" i="17"/>
  <c r="AY448" i="17"/>
  <c r="Y448" i="17"/>
  <c r="K448" i="17"/>
  <c r="D448" i="17"/>
  <c r="AP448" i="17"/>
  <c r="AC448" i="17"/>
  <c r="E448" i="17"/>
  <c r="L448" i="17"/>
  <c r="V448" i="17"/>
  <c r="AV448" i="17"/>
  <c r="M448" i="17"/>
  <c r="AR448" i="17"/>
  <c r="P448" i="17"/>
  <c r="T448" i="17"/>
  <c r="Q448" i="17"/>
  <c r="AA448" i="17"/>
  <c r="AD448" i="17"/>
  <c r="AB448" i="17"/>
  <c r="AL448" i="17"/>
  <c r="AJ448" i="17"/>
  <c r="AX448" i="17"/>
  <c r="AG448" i="17"/>
  <c r="F448" i="17"/>
  <c r="AU448" i="17"/>
  <c r="AM448" i="17"/>
  <c r="J448" i="17"/>
  <c r="AF448" i="17"/>
  <c r="AE448" i="17"/>
  <c r="AO448" i="17"/>
  <c r="AT448" i="17"/>
  <c r="O448" i="17"/>
  <c r="H448" i="17"/>
  <c r="G448" i="17"/>
  <c r="Z448" i="17"/>
  <c r="X448" i="17"/>
  <c r="AN448" i="17"/>
  <c r="AQ448" i="17"/>
  <c r="W448" i="17"/>
  <c r="AI448" i="17"/>
  <c r="AW448" i="17"/>
  <c r="R448" i="17"/>
  <c r="AK448" i="17"/>
  <c r="I448" i="17"/>
  <c r="AZ448" i="17"/>
  <c r="AH448" i="17"/>
  <c r="S448" i="17"/>
  <c r="C450" i="17" l="1"/>
  <c r="AV449" i="17"/>
  <c r="K449" i="17"/>
  <c r="AW449" i="17"/>
  <c r="AS449" i="17"/>
  <c r="Q449" i="17"/>
  <c r="AM449" i="17"/>
  <c r="Z449" i="17"/>
  <c r="AZ449" i="17"/>
  <c r="AD449" i="17"/>
  <c r="AE449" i="17"/>
  <c r="AR449" i="17"/>
  <c r="U449" i="17"/>
  <c r="N449" i="17"/>
  <c r="AJ449" i="17"/>
  <c r="AX449" i="17"/>
  <c r="M449" i="17"/>
  <c r="D449" i="17"/>
  <c r="AG449" i="17"/>
  <c r="I449" i="17"/>
  <c r="BA449" i="17"/>
  <c r="AI449" i="17"/>
  <c r="T449" i="17"/>
  <c r="AH449" i="17"/>
  <c r="W449" i="17"/>
  <c r="E449" i="17"/>
  <c r="AY449" i="17"/>
  <c r="L449" i="17"/>
  <c r="AL449" i="17"/>
  <c r="AU449" i="17"/>
  <c r="O449" i="17"/>
  <c r="F449" i="17"/>
  <c r="AQ449" i="17"/>
  <c r="AO449" i="17"/>
  <c r="J449" i="17"/>
  <c r="AT449" i="17"/>
  <c r="P449" i="17"/>
  <c r="S449" i="17"/>
  <c r="V449" i="17"/>
  <c r="AA449" i="17"/>
  <c r="G449" i="17"/>
  <c r="AN449" i="17"/>
  <c r="R449" i="17"/>
  <c r="H449" i="17"/>
  <c r="AB449" i="17"/>
  <c r="AF449" i="17"/>
  <c r="Y449" i="17"/>
  <c r="X449" i="17"/>
  <c r="AC449" i="17"/>
  <c r="AK449" i="17"/>
  <c r="AP449" i="17"/>
  <c r="C451" i="17" l="1"/>
  <c r="BA450" i="17"/>
  <c r="K450" i="17"/>
  <c r="S450" i="17"/>
  <c r="W450" i="17"/>
  <c r="AQ450" i="17"/>
  <c r="AA450" i="17"/>
  <c r="AL450" i="17"/>
  <c r="AB450" i="17"/>
  <c r="AP450" i="17"/>
  <c r="L450" i="17"/>
  <c r="X450" i="17"/>
  <c r="AE450" i="17"/>
  <c r="V450" i="17"/>
  <c r="AC450" i="17"/>
  <c r="M450" i="17"/>
  <c r="I450" i="17"/>
  <c r="F450" i="17"/>
  <c r="AT450" i="17"/>
  <c r="AU450" i="17"/>
  <c r="AS450" i="17"/>
  <c r="H450" i="17"/>
  <c r="D450" i="17"/>
  <c r="J450" i="17"/>
  <c r="AF450" i="17"/>
  <c r="AD450" i="17"/>
  <c r="R450" i="17"/>
  <c r="AN450" i="17"/>
  <c r="AJ450" i="17"/>
  <c r="T450" i="17"/>
  <c r="AV450" i="17"/>
  <c r="AW450" i="17"/>
  <c r="AH450" i="17"/>
  <c r="AZ450" i="17"/>
  <c r="AR450" i="17"/>
  <c r="G450" i="17"/>
  <c r="N450" i="17"/>
  <c r="U450" i="17"/>
  <c r="Q450" i="17"/>
  <c r="AI450" i="17"/>
  <c r="AK450" i="17"/>
  <c r="Z450" i="17"/>
  <c r="AO450" i="17"/>
  <c r="AY450" i="17"/>
  <c r="E450" i="17"/>
  <c r="AG450" i="17"/>
  <c r="O450" i="17"/>
  <c r="AM450" i="17"/>
  <c r="P450" i="17"/>
  <c r="Y450" i="17"/>
  <c r="AX450" i="17"/>
  <c r="C452" i="17" l="1"/>
  <c r="N451" i="17"/>
  <c r="AL451" i="17"/>
  <c r="K451" i="17"/>
  <c r="E451" i="17"/>
  <c r="AS451" i="17"/>
  <c r="Z451" i="17"/>
  <c r="F451" i="17"/>
  <c r="AI451" i="17"/>
  <c r="AU451" i="17"/>
  <c r="AK451" i="17"/>
  <c r="AC451" i="17"/>
  <c r="AV451" i="17"/>
  <c r="AO451" i="17"/>
  <c r="Y451" i="17"/>
  <c r="AY451" i="17"/>
  <c r="AN451" i="17"/>
  <c r="AZ451" i="17"/>
  <c r="AM451" i="17"/>
  <c r="AB451" i="17"/>
  <c r="AD451" i="17"/>
  <c r="BA451" i="17"/>
  <c r="P451" i="17"/>
  <c r="R451" i="17"/>
  <c r="AG451" i="17"/>
  <c r="V451" i="17"/>
  <c r="I451" i="17"/>
  <c r="U451" i="17"/>
  <c r="D451" i="17"/>
  <c r="Q451" i="17"/>
  <c r="AX451" i="17"/>
  <c r="AT451" i="17"/>
  <c r="S451" i="17"/>
  <c r="AE451" i="17"/>
  <c r="J451" i="17"/>
  <c r="M451" i="17"/>
  <c r="W451" i="17"/>
  <c r="AQ451" i="17"/>
  <c r="AA451" i="17"/>
  <c r="AR451" i="17"/>
  <c r="AP451" i="17"/>
  <c r="H451" i="17"/>
  <c r="AJ451" i="17"/>
  <c r="O451" i="17"/>
  <c r="AW451" i="17"/>
  <c r="G451" i="17"/>
  <c r="AF451" i="17"/>
  <c r="AH451" i="17"/>
  <c r="T451" i="17"/>
  <c r="X451" i="17"/>
  <c r="L451" i="17"/>
  <c r="C453" i="17" l="1"/>
  <c r="V452" i="17"/>
  <c r="BA452" i="17"/>
  <c r="AH452" i="17"/>
  <c r="AR452" i="17"/>
  <c r="M452" i="17"/>
  <c r="Z452" i="17"/>
  <c r="T452" i="17"/>
  <c r="AB452" i="17"/>
  <c r="F452" i="17"/>
  <c r="J452" i="17"/>
  <c r="AS452" i="17"/>
  <c r="N452" i="17"/>
  <c r="G452" i="17"/>
  <c r="AI452" i="17"/>
  <c r="L452" i="17"/>
  <c r="AG452" i="17"/>
  <c r="AC452" i="17"/>
  <c r="S452" i="17"/>
  <c r="AD452" i="17"/>
  <c r="AE452" i="17"/>
  <c r="AL452" i="17"/>
  <c r="AP452" i="17"/>
  <c r="AJ452" i="17"/>
  <c r="P452" i="17"/>
  <c r="I452" i="17"/>
  <c r="W452" i="17"/>
  <c r="AU452" i="17"/>
  <c r="Q452" i="17"/>
  <c r="AX452" i="17"/>
  <c r="AZ452" i="17"/>
  <c r="AK452" i="17"/>
  <c r="AN452" i="17"/>
  <c r="E452" i="17"/>
  <c r="AT452" i="17"/>
  <c r="U452" i="17"/>
  <c r="D452" i="17"/>
  <c r="AW452" i="17"/>
  <c r="X452" i="17"/>
  <c r="AM452" i="17"/>
  <c r="AA452" i="17"/>
  <c r="AV452" i="17"/>
  <c r="H452" i="17"/>
  <c r="R452" i="17"/>
  <c r="K452" i="17"/>
  <c r="AY452" i="17"/>
  <c r="AF452" i="17"/>
  <c r="AQ452" i="17"/>
  <c r="AO452" i="17"/>
  <c r="Y452" i="17"/>
  <c r="O452" i="17"/>
  <c r="C454" i="17" l="1"/>
  <c r="AW453" i="17"/>
  <c r="AZ453" i="17"/>
  <c r="AQ453" i="17"/>
  <c r="L453" i="17"/>
  <c r="Z453" i="17"/>
  <c r="AU453" i="17"/>
  <c r="AT453" i="17"/>
  <c r="T453" i="17"/>
  <c r="N453" i="17"/>
  <c r="F453" i="17"/>
  <c r="E453" i="17"/>
  <c r="AL453" i="17"/>
  <c r="AP453" i="17"/>
  <c r="K453" i="17"/>
  <c r="H453" i="17"/>
  <c r="AH453" i="17"/>
  <c r="AN453" i="17"/>
  <c r="AD453" i="17"/>
  <c r="Q453" i="17"/>
  <c r="G453" i="17"/>
  <c r="W453" i="17"/>
  <c r="AB453" i="17"/>
  <c r="R453" i="17"/>
  <c r="AM453" i="17"/>
  <c r="AG453" i="17"/>
  <c r="AR453" i="17"/>
  <c r="AA453" i="17"/>
  <c r="P453" i="17"/>
  <c r="M453" i="17"/>
  <c r="Y453" i="17"/>
  <c r="U453" i="17"/>
  <c r="AK453" i="17"/>
  <c r="AY453" i="17"/>
  <c r="J453" i="17"/>
  <c r="D453" i="17"/>
  <c r="AC453" i="17"/>
  <c r="AO453" i="17"/>
  <c r="BA453" i="17"/>
  <c r="I453" i="17"/>
  <c r="S453" i="17"/>
  <c r="AX453" i="17"/>
  <c r="AJ453" i="17"/>
  <c r="AS453" i="17"/>
  <c r="V453" i="17"/>
  <c r="AI453" i="17"/>
  <c r="O453" i="17"/>
  <c r="AE453" i="17"/>
  <c r="X453" i="17"/>
  <c r="AV453" i="17"/>
  <c r="AF453" i="17"/>
  <c r="C455" i="17" l="1"/>
  <c r="P454" i="17"/>
  <c r="AB454" i="17"/>
  <c r="AQ454" i="17"/>
  <c r="Q454" i="17"/>
  <c r="J454" i="17"/>
  <c r="V454" i="17"/>
  <c r="N454" i="17"/>
  <c r="AS454" i="17"/>
  <c r="BA454" i="17"/>
  <c r="I454" i="17"/>
  <c r="AJ454" i="17"/>
  <c r="AO454" i="17"/>
  <c r="AH454" i="17"/>
  <c r="H454" i="17"/>
  <c r="AY454" i="17"/>
  <c r="AN454" i="17"/>
  <c r="S454" i="17"/>
  <c r="G454" i="17"/>
  <c r="AC454" i="17"/>
  <c r="X454" i="17"/>
  <c r="O454" i="17"/>
  <c r="U454" i="17"/>
  <c r="E454" i="17"/>
  <c r="AF454" i="17"/>
  <c r="AI454" i="17"/>
  <c r="AG454" i="17"/>
  <c r="Z454" i="17"/>
  <c r="AP454" i="17"/>
  <c r="W454" i="17"/>
  <c r="AE454" i="17"/>
  <c r="M454" i="17"/>
  <c r="F454" i="17"/>
  <c r="AD454" i="17"/>
  <c r="AR454" i="17"/>
  <c r="AV454" i="17"/>
  <c r="L454" i="17"/>
  <c r="Y454" i="17"/>
  <c r="R454" i="17"/>
  <c r="AT454" i="17"/>
  <c r="AZ454" i="17"/>
  <c r="AK454" i="17"/>
  <c r="AM454" i="17"/>
  <c r="T454" i="17"/>
  <c r="AU454" i="17"/>
  <c r="AX454" i="17"/>
  <c r="AL454" i="17"/>
  <c r="AW454" i="17"/>
  <c r="AA454" i="17"/>
  <c r="D454" i="17"/>
  <c r="K454" i="17"/>
  <c r="C456" i="17" l="1"/>
  <c r="AR455" i="17"/>
  <c r="S455" i="17"/>
  <c r="AC455" i="17"/>
  <c r="O455" i="17"/>
  <c r="T455" i="17"/>
  <c r="D455" i="17"/>
  <c r="Y455" i="17"/>
  <c r="AN455" i="17"/>
  <c r="AA455" i="17"/>
  <c r="AW455" i="17"/>
  <c r="U455" i="17"/>
  <c r="AD455" i="17"/>
  <c r="E455" i="17"/>
  <c r="AI455" i="17"/>
  <c r="L455" i="17"/>
  <c r="R455" i="17"/>
  <c r="AX455" i="17"/>
  <c r="AV455" i="17"/>
  <c r="AJ455" i="17"/>
  <c r="AT455" i="17"/>
  <c r="AY455" i="17"/>
  <c r="AK455" i="17"/>
  <c r="X455" i="17"/>
  <c r="Z455" i="17"/>
  <c r="W455" i="17"/>
  <c r="M455" i="17"/>
  <c r="AF455" i="17"/>
  <c r="V455" i="17"/>
  <c r="G455" i="17"/>
  <c r="AL455" i="17"/>
  <c r="H455" i="17"/>
  <c r="AZ455" i="17"/>
  <c r="AM455" i="17"/>
  <c r="AE455" i="17"/>
  <c r="AB455" i="17"/>
  <c r="AU455" i="17"/>
  <c r="AS455" i="17"/>
  <c r="AH455" i="17"/>
  <c r="AG455" i="17"/>
  <c r="K455" i="17"/>
  <c r="AQ455" i="17"/>
  <c r="AO455" i="17"/>
  <c r="BA455" i="17"/>
  <c r="I455" i="17"/>
  <c r="F455" i="17"/>
  <c r="Q455" i="17"/>
  <c r="J455" i="17"/>
  <c r="N455" i="17"/>
  <c r="P455" i="17"/>
  <c r="AP455" i="17"/>
  <c r="C457" i="17" l="1"/>
  <c r="AB456" i="17"/>
  <c r="G456" i="17"/>
  <c r="I456" i="17"/>
  <c r="BA456" i="17"/>
  <c r="V456" i="17"/>
  <c r="X456" i="17"/>
  <c r="F456" i="17"/>
  <c r="AM456" i="17"/>
  <c r="AA456" i="17"/>
  <c r="AO456" i="17"/>
  <c r="AV456" i="17"/>
  <c r="AR456" i="17"/>
  <c r="Q456" i="17"/>
  <c r="H456" i="17"/>
  <c r="R456" i="17"/>
  <c r="AD456" i="17"/>
  <c r="S456" i="17"/>
  <c r="AE456" i="17"/>
  <c r="O456" i="17"/>
  <c r="AJ456" i="17"/>
  <c r="K456" i="17"/>
  <c r="N456" i="17"/>
  <c r="AX456" i="17"/>
  <c r="AS456" i="17"/>
  <c r="Y456" i="17"/>
  <c r="P456" i="17"/>
  <c r="W456" i="17"/>
  <c r="AT456" i="17"/>
  <c r="AG456" i="17"/>
  <c r="D456" i="17"/>
  <c r="AI456" i="17"/>
  <c r="AH456" i="17"/>
  <c r="E456" i="17"/>
  <c r="AW456" i="17"/>
  <c r="AK456" i="17"/>
  <c r="AY456" i="17"/>
  <c r="AL456" i="17"/>
  <c r="U456" i="17"/>
  <c r="AZ456" i="17"/>
  <c r="Z456" i="17"/>
  <c r="L456" i="17"/>
  <c r="AQ456" i="17"/>
  <c r="AP456" i="17"/>
  <c r="T456" i="17"/>
  <c r="J456" i="17"/>
  <c r="AC456" i="17"/>
  <c r="M456" i="17"/>
  <c r="AN456" i="17"/>
  <c r="AF456" i="17"/>
  <c r="AU456" i="17"/>
  <c r="C458" i="17" l="1"/>
  <c r="AH457" i="17"/>
  <c r="E457" i="17"/>
  <c r="O457" i="17"/>
  <c r="W457" i="17"/>
  <c r="AI457" i="17"/>
  <c r="I457" i="17"/>
  <c r="AN457" i="17"/>
  <c r="AL457" i="17"/>
  <c r="AC457" i="17"/>
  <c r="T457" i="17"/>
  <c r="AV457" i="17"/>
  <c r="L457" i="17"/>
  <c r="D457" i="17"/>
  <c r="S457" i="17"/>
  <c r="AB457" i="17"/>
  <c r="H457" i="17"/>
  <c r="AW457" i="17"/>
  <c r="V457" i="17"/>
  <c r="AS457" i="17"/>
  <c r="AR457" i="17"/>
  <c r="AZ457" i="17"/>
  <c r="AO457" i="17"/>
  <c r="AQ457" i="17"/>
  <c r="AP457" i="17"/>
  <c r="AA457" i="17"/>
  <c r="Y457" i="17"/>
  <c r="K457" i="17"/>
  <c r="P457" i="17"/>
  <c r="AF457" i="17"/>
  <c r="M457" i="17"/>
  <c r="R457" i="17"/>
  <c r="AE457" i="17"/>
  <c r="AD457" i="17"/>
  <c r="AT457" i="17"/>
  <c r="BA457" i="17"/>
  <c r="AM457" i="17"/>
  <c r="G457" i="17"/>
  <c r="AJ457" i="17"/>
  <c r="AU457" i="17"/>
  <c r="Z457" i="17"/>
  <c r="AK457" i="17"/>
  <c r="X457" i="17"/>
  <c r="AY457" i="17"/>
  <c r="AX457" i="17"/>
  <c r="J457" i="17"/>
  <c r="U457" i="17"/>
  <c r="N457" i="17"/>
  <c r="F457" i="17"/>
  <c r="AG457" i="17"/>
  <c r="Q457" i="17"/>
  <c r="C459" i="17" l="1"/>
  <c r="AD458" i="17"/>
  <c r="AM458" i="17"/>
  <c r="AS458" i="17"/>
  <c r="I458" i="17"/>
  <c r="AG458" i="17"/>
  <c r="AT458" i="17"/>
  <c r="U458" i="17"/>
  <c r="J458" i="17"/>
  <c r="O458" i="17"/>
  <c r="AJ458" i="17"/>
  <c r="N458" i="17"/>
  <c r="F458" i="17"/>
  <c r="AE458" i="17"/>
  <c r="AL458" i="17"/>
  <c r="AQ458" i="17"/>
  <c r="L458" i="17"/>
  <c r="AK458" i="17"/>
  <c r="S458" i="17"/>
  <c r="BA458" i="17"/>
  <c r="H458" i="17"/>
  <c r="V458" i="17"/>
  <c r="G458" i="17"/>
  <c r="X458" i="17"/>
  <c r="Y458" i="17"/>
  <c r="AY458" i="17"/>
  <c r="AB458" i="17"/>
  <c r="D458" i="17"/>
  <c r="AO458" i="17"/>
  <c r="AA458" i="17"/>
  <c r="P458" i="17"/>
  <c r="AR458" i="17"/>
  <c r="AV458" i="17"/>
  <c r="AC458" i="17"/>
  <c r="M458" i="17"/>
  <c r="AF458" i="17"/>
  <c r="AN458" i="17"/>
  <c r="R458" i="17"/>
  <c r="AI458" i="17"/>
  <c r="AW458" i="17"/>
  <c r="W458" i="17"/>
  <c r="AU458" i="17"/>
  <c r="AX458" i="17"/>
  <c r="T458" i="17"/>
  <c r="AH458" i="17"/>
  <c r="AZ458" i="17"/>
  <c r="E458" i="17"/>
  <c r="Q458" i="17"/>
  <c r="Z458" i="17"/>
  <c r="K458" i="17"/>
  <c r="AP458" i="17"/>
  <c r="C460" i="17" l="1"/>
  <c r="AH459" i="17"/>
  <c r="AZ459" i="17"/>
  <c r="W459" i="17"/>
  <c r="AL459" i="17"/>
  <c r="D459" i="17"/>
  <c r="H459" i="17"/>
  <c r="AB459" i="17"/>
  <c r="R459" i="17"/>
  <c r="Y459" i="17"/>
  <c r="BA459" i="17"/>
  <c r="S459" i="17"/>
  <c r="T459" i="17"/>
  <c r="Q459" i="17"/>
  <c r="AV459" i="17"/>
  <c r="AN459" i="17"/>
  <c r="AX459" i="17"/>
  <c r="K459" i="17"/>
  <c r="AO459" i="17"/>
  <c r="AF459" i="17"/>
  <c r="M459" i="17"/>
  <c r="N459" i="17"/>
  <c r="I459" i="17"/>
  <c r="X459" i="17"/>
  <c r="AW459" i="17"/>
  <c r="AD459" i="17"/>
  <c r="AR459" i="17"/>
  <c r="J459" i="17"/>
  <c r="AM459" i="17"/>
  <c r="L459" i="17"/>
  <c r="P459" i="17"/>
  <c r="AP459" i="17"/>
  <c r="U459" i="17"/>
  <c r="AQ459" i="17"/>
  <c r="AT459" i="17"/>
  <c r="F459" i="17"/>
  <c r="O459" i="17"/>
  <c r="E459" i="17"/>
  <c r="AI459" i="17"/>
  <c r="AE459" i="17"/>
  <c r="AG459" i="17"/>
  <c r="AC459" i="17"/>
  <c r="G459" i="17"/>
  <c r="AU459" i="17"/>
  <c r="AK459" i="17"/>
  <c r="V459" i="17"/>
  <c r="AJ459" i="17"/>
  <c r="AS459" i="17"/>
  <c r="Z459" i="17"/>
  <c r="AA459" i="17"/>
  <c r="AY459" i="17"/>
  <c r="C461" i="17" l="1"/>
  <c r="AU460" i="17"/>
  <c r="L460" i="17"/>
  <c r="V460" i="17"/>
  <c r="AO460" i="17"/>
  <c r="AZ460" i="17"/>
  <c r="W460" i="17"/>
  <c r="O460" i="17"/>
  <c r="H460" i="17"/>
  <c r="AA460" i="17"/>
  <c r="AQ460" i="17"/>
  <c r="AI460" i="17"/>
  <c r="AL460" i="17"/>
  <c r="AB460" i="17"/>
  <c r="G460" i="17"/>
  <c r="AV460" i="17"/>
  <c r="AT460" i="17"/>
  <c r="AK460" i="17"/>
  <c r="R460" i="17"/>
  <c r="AD460" i="17"/>
  <c r="X460" i="17"/>
  <c r="U460" i="17"/>
  <c r="AP460" i="17"/>
  <c r="AY460" i="17"/>
  <c r="BA460" i="17"/>
  <c r="J460" i="17"/>
  <c r="AR460" i="17"/>
  <c r="AG460" i="17"/>
  <c r="Z460" i="17"/>
  <c r="AC460" i="17"/>
  <c r="D460" i="17"/>
  <c r="F460" i="17"/>
  <c r="AW460" i="17"/>
  <c r="AH460" i="17"/>
  <c r="P460" i="17"/>
  <c r="AF460" i="17"/>
  <c r="K460" i="17"/>
  <c r="AN460" i="17"/>
  <c r="E460" i="17"/>
  <c r="M460" i="17"/>
  <c r="S460" i="17"/>
  <c r="AS460" i="17"/>
  <c r="AJ460" i="17"/>
  <c r="Y460" i="17"/>
  <c r="Q460" i="17"/>
  <c r="AM460" i="17"/>
  <c r="AE460" i="17"/>
  <c r="AX460" i="17"/>
  <c r="T460" i="17"/>
  <c r="N460" i="17"/>
  <c r="I460" i="17"/>
  <c r="C462" i="17" l="1"/>
  <c r="AO461" i="17"/>
  <c r="AB461" i="17"/>
  <c r="AG461" i="17"/>
  <c r="AK461" i="17"/>
  <c r="AC461" i="17"/>
  <c r="U461" i="17"/>
  <c r="AL461" i="17"/>
  <c r="AV461" i="17"/>
  <c r="V461" i="17"/>
  <c r="H461" i="17"/>
  <c r="AZ461" i="17"/>
  <c r="L461" i="17"/>
  <c r="D461" i="17"/>
  <c r="AT461" i="17"/>
  <c r="E461" i="17"/>
  <c r="AX461" i="17"/>
  <c r="P461" i="17"/>
  <c r="AR461" i="17"/>
  <c r="AE461" i="17"/>
  <c r="J461" i="17"/>
  <c r="M461" i="17"/>
  <c r="W461" i="17"/>
  <c r="O461" i="17"/>
  <c r="AN461" i="17"/>
  <c r="G461" i="17"/>
  <c r="Z461" i="17"/>
  <c r="AY461" i="17"/>
  <c r="N461" i="17"/>
  <c r="X461" i="17"/>
  <c r="AJ461" i="17"/>
  <c r="AA461" i="17"/>
  <c r="F461" i="17"/>
  <c r="AQ461" i="17"/>
  <c r="BA461" i="17"/>
  <c r="AU461" i="17"/>
  <c r="T461" i="17"/>
  <c r="I461" i="17"/>
  <c r="AI461" i="17"/>
  <c r="AH461" i="17"/>
  <c r="K461" i="17"/>
  <c r="AW461" i="17"/>
  <c r="AP461" i="17"/>
  <c r="R461" i="17"/>
  <c r="AF461" i="17"/>
  <c r="AM461" i="17"/>
  <c r="Q461" i="17"/>
  <c r="S461" i="17"/>
  <c r="AD461" i="17"/>
  <c r="AS461" i="17"/>
  <c r="Y461" i="17"/>
  <c r="C463" i="17" l="1"/>
  <c r="AA462" i="17"/>
  <c r="AD462" i="17"/>
  <c r="T462" i="17"/>
  <c r="W462" i="17"/>
  <c r="X462" i="17"/>
  <c r="D462" i="17"/>
  <c r="BA462" i="17"/>
  <c r="AX462" i="17"/>
  <c r="N462" i="17"/>
  <c r="AQ462" i="17"/>
  <c r="Z462" i="17"/>
  <c r="AR462" i="17"/>
  <c r="AH462" i="17"/>
  <c r="AN462" i="17"/>
  <c r="K462" i="17"/>
  <c r="AE462" i="17"/>
  <c r="AM462" i="17"/>
  <c r="H462" i="17"/>
  <c r="U462" i="17"/>
  <c r="AU462" i="17"/>
  <c r="M462" i="17"/>
  <c r="AF462" i="17"/>
  <c r="J462" i="17"/>
  <c r="L462" i="17"/>
  <c r="AK462" i="17"/>
  <c r="AC462" i="17"/>
  <c r="AP462" i="17"/>
  <c r="I462" i="17"/>
  <c r="Y462" i="17"/>
  <c r="AB462" i="17"/>
  <c r="S462" i="17"/>
  <c r="AI462" i="17"/>
  <c r="P462" i="17"/>
  <c r="F462" i="17"/>
  <c r="AW462" i="17"/>
  <c r="E462" i="17"/>
  <c r="AV462" i="17"/>
  <c r="R462" i="17"/>
  <c r="AT462" i="17"/>
  <c r="V462" i="17"/>
  <c r="AS462" i="17"/>
  <c r="AO462" i="17"/>
  <c r="G462" i="17"/>
  <c r="AY462" i="17"/>
  <c r="O462" i="17"/>
  <c r="AZ462" i="17"/>
  <c r="Q462" i="17"/>
  <c r="AG462" i="17"/>
  <c r="AL462" i="17"/>
  <c r="AJ462" i="17"/>
  <c r="C464" i="17" l="1"/>
  <c r="K463" i="17"/>
  <c r="H463" i="17"/>
  <c r="AR463" i="17"/>
  <c r="X463" i="17"/>
  <c r="AF463" i="17"/>
  <c r="O463" i="17"/>
  <c r="AP463" i="17"/>
  <c r="AG463" i="17"/>
  <c r="AU463" i="17"/>
  <c r="AN463" i="17"/>
  <c r="AH463" i="17"/>
  <c r="AS463" i="17"/>
  <c r="AA463" i="17"/>
  <c r="V463" i="17"/>
  <c r="R463" i="17"/>
  <c r="AL463" i="17"/>
  <c r="AJ463" i="17"/>
  <c r="E463" i="17"/>
  <c r="AM463" i="17"/>
  <c r="M463" i="17"/>
  <c r="AT463" i="17"/>
  <c r="AO463" i="17"/>
  <c r="W463" i="17"/>
  <c r="AZ463" i="17"/>
  <c r="AD463" i="17"/>
  <c r="AE463" i="17"/>
  <c r="J463" i="17"/>
  <c r="N463" i="17"/>
  <c r="F463" i="17"/>
  <c r="T463" i="17"/>
  <c r="AB463" i="17"/>
  <c r="Y463" i="17"/>
  <c r="AQ463" i="17"/>
  <c r="BA463" i="17"/>
  <c r="U463" i="17"/>
  <c r="AC463" i="17"/>
  <c r="D463" i="17"/>
  <c r="Z463" i="17"/>
  <c r="AV463" i="17"/>
  <c r="AY463" i="17"/>
  <c r="P463" i="17"/>
  <c r="AX463" i="17"/>
  <c r="AW463" i="17"/>
  <c r="Q463" i="17"/>
  <c r="AI463" i="17"/>
  <c r="G463" i="17"/>
  <c r="L463" i="17"/>
  <c r="S463" i="17"/>
  <c r="AK463" i="17"/>
  <c r="I463" i="17"/>
  <c r="C465" i="17" l="1"/>
  <c r="AP464" i="17"/>
  <c r="N464" i="17"/>
  <c r="AV464" i="17"/>
  <c r="AQ464" i="17"/>
  <c r="K464" i="17"/>
  <c r="Y464" i="17"/>
  <c r="AM464" i="17"/>
  <c r="AC464" i="17"/>
  <c r="M464" i="17"/>
  <c r="AI464" i="17"/>
  <c r="AR464" i="17"/>
  <c r="AN464" i="17"/>
  <c r="P464" i="17"/>
  <c r="AL464" i="17"/>
  <c r="AW464" i="17"/>
  <c r="G464" i="17"/>
  <c r="I464" i="17"/>
  <c r="E464" i="17"/>
  <c r="AG464" i="17"/>
  <c r="D464" i="17"/>
  <c r="X464" i="17"/>
  <c r="AT464" i="17"/>
  <c r="AA464" i="17"/>
  <c r="AY464" i="17"/>
  <c r="AO464" i="17"/>
  <c r="R464" i="17"/>
  <c r="AS464" i="17"/>
  <c r="H464" i="17"/>
  <c r="AH464" i="17"/>
  <c r="V464" i="17"/>
  <c r="AU464" i="17"/>
  <c r="T464" i="17"/>
  <c r="F464" i="17"/>
  <c r="O464" i="17"/>
  <c r="AB464" i="17"/>
  <c r="L464" i="17"/>
  <c r="AJ464" i="17"/>
  <c r="U464" i="17"/>
  <c r="AZ464" i="17"/>
  <c r="W464" i="17"/>
  <c r="AE464" i="17"/>
  <c r="AX464" i="17"/>
  <c r="Q464" i="17"/>
  <c r="J464" i="17"/>
  <c r="S464" i="17"/>
  <c r="Z464" i="17"/>
  <c r="AK464" i="17"/>
  <c r="AD464" i="17"/>
  <c r="AF464" i="17"/>
  <c r="BA464" i="17"/>
  <c r="C466" i="17" l="1"/>
  <c r="AT465" i="17"/>
  <c r="AO465" i="17"/>
  <c r="AH465" i="17"/>
  <c r="W465" i="17"/>
  <c r="K465" i="17"/>
  <c r="J465" i="17"/>
  <c r="I465" i="17"/>
  <c r="Q465" i="17"/>
  <c r="T465" i="17"/>
  <c r="M465" i="17"/>
  <c r="AA465" i="17"/>
  <c r="AY465" i="17"/>
  <c r="AU465" i="17"/>
  <c r="AL465" i="17"/>
  <c r="AB465" i="17"/>
  <c r="BA465" i="17"/>
  <c r="U465" i="17"/>
  <c r="N465" i="17"/>
  <c r="AK465" i="17"/>
  <c r="AD465" i="17"/>
  <c r="AE465" i="17"/>
  <c r="S465" i="17"/>
  <c r="AZ465" i="17"/>
  <c r="AW465" i="17"/>
  <c r="R465" i="17"/>
  <c r="AP465" i="17"/>
  <c r="AG465" i="17"/>
  <c r="P465" i="17"/>
  <c r="O465" i="17"/>
  <c r="AN465" i="17"/>
  <c r="AS465" i="17"/>
  <c r="E465" i="17"/>
  <c r="H465" i="17"/>
  <c r="AC465" i="17"/>
  <c r="AV465" i="17"/>
  <c r="D465" i="17"/>
  <c r="AR465" i="17"/>
  <c r="AQ465" i="17"/>
  <c r="X465" i="17"/>
  <c r="Z465" i="17"/>
  <c r="Y465" i="17"/>
  <c r="AI465" i="17"/>
  <c r="AJ465" i="17"/>
  <c r="L465" i="17"/>
  <c r="AX465" i="17"/>
  <c r="V465" i="17"/>
  <c r="AM465" i="17"/>
  <c r="AF465" i="17"/>
  <c r="F465" i="17"/>
  <c r="G465" i="17"/>
  <c r="C467" i="17" l="1"/>
  <c r="Q466" i="17"/>
  <c r="AS466" i="17"/>
  <c r="AC466" i="17"/>
  <c r="AO466" i="17"/>
  <c r="AP466" i="17"/>
  <c r="AN466" i="17"/>
  <c r="BA466" i="17"/>
  <c r="L466" i="17"/>
  <c r="J466" i="17"/>
  <c r="D466" i="17"/>
  <c r="W466" i="17"/>
  <c r="P466" i="17"/>
  <c r="AF466" i="17"/>
  <c r="E466" i="17"/>
  <c r="K466" i="17"/>
  <c r="Y466" i="17"/>
  <c r="S466" i="17"/>
  <c r="AJ466" i="17"/>
  <c r="V466" i="17"/>
  <c r="I466" i="17"/>
  <c r="AM466" i="17"/>
  <c r="AZ466" i="17"/>
  <c r="H466" i="17"/>
  <c r="X466" i="17"/>
  <c r="U466" i="17"/>
  <c r="AA466" i="17"/>
  <c r="AB466" i="17"/>
  <c r="AG466" i="17"/>
  <c r="N466" i="17"/>
  <c r="Z466" i="17"/>
  <c r="AX466" i="17"/>
  <c r="T466" i="17"/>
  <c r="AI466" i="17"/>
  <c r="AE466" i="17"/>
  <c r="AH466" i="17"/>
  <c r="R466" i="17"/>
  <c r="AU466" i="17"/>
  <c r="AK466" i="17"/>
  <c r="AL466" i="17"/>
  <c r="AD466" i="17"/>
  <c r="AY466" i="17"/>
  <c r="AT466" i="17"/>
  <c r="AW466" i="17"/>
  <c r="O466" i="17"/>
  <c r="AQ466" i="17"/>
  <c r="AR466" i="17"/>
  <c r="AV466" i="17"/>
  <c r="M466" i="17"/>
  <c r="F466" i="17"/>
  <c r="G466" i="17"/>
  <c r="C468" i="17" l="1"/>
  <c r="AI467" i="17"/>
  <c r="S467" i="17"/>
  <c r="AB467" i="17"/>
  <c r="AC467" i="17"/>
  <c r="Y467" i="17"/>
  <c r="P467" i="17"/>
  <c r="K467" i="17"/>
  <c r="X467" i="17"/>
  <c r="L467" i="17"/>
  <c r="AS467" i="17"/>
  <c r="AQ467" i="17"/>
  <c r="AK467" i="17"/>
  <c r="E467" i="17"/>
  <c r="J467" i="17"/>
  <c r="AE467" i="17"/>
  <c r="Q467" i="17"/>
  <c r="AV467" i="17"/>
  <c r="AU467" i="17"/>
  <c r="AT467" i="17"/>
  <c r="AX467" i="17"/>
  <c r="O467" i="17"/>
  <c r="D467" i="17"/>
  <c r="AF467" i="17"/>
  <c r="F467" i="17"/>
  <c r="W467" i="17"/>
  <c r="BA467" i="17"/>
  <c r="AJ467" i="17"/>
  <c r="AY467" i="17"/>
  <c r="AZ467" i="17"/>
  <c r="AO467" i="17"/>
  <c r="AN467" i="17"/>
  <c r="U467" i="17"/>
  <c r="I467" i="17"/>
  <c r="AL467" i="17"/>
  <c r="AA467" i="17"/>
  <c r="AM467" i="17"/>
  <c r="AG467" i="17"/>
  <c r="G467" i="17"/>
  <c r="M467" i="17"/>
  <c r="AW467" i="17"/>
  <c r="AP467" i="17"/>
  <c r="V467" i="17"/>
  <c r="Z467" i="17"/>
  <c r="T467" i="17"/>
  <c r="AD467" i="17"/>
  <c r="H467" i="17"/>
  <c r="N467" i="17"/>
  <c r="AH467" i="17"/>
  <c r="AR467" i="17"/>
  <c r="R467" i="17"/>
  <c r="C469" i="17" l="1"/>
  <c r="AJ468" i="17"/>
  <c r="AD468" i="17"/>
  <c r="I468" i="17"/>
  <c r="AS468" i="17"/>
  <c r="AQ468" i="17"/>
  <c r="AF468" i="17"/>
  <c r="D468" i="17"/>
  <c r="AV468" i="17"/>
  <c r="BA468" i="17"/>
  <c r="AN468" i="17"/>
  <c r="V468" i="17"/>
  <c r="AI468" i="17"/>
  <c r="Q468" i="17"/>
  <c r="E468" i="17"/>
  <c r="AX468" i="17"/>
  <c r="R468" i="17"/>
  <c r="AC468" i="17"/>
  <c r="AZ468" i="17"/>
  <c r="AT468" i="17"/>
  <c r="K468" i="17"/>
  <c r="S468" i="17"/>
  <c r="AP468" i="17"/>
  <c r="T468" i="17"/>
  <c r="N468" i="17"/>
  <c r="J468" i="17"/>
  <c r="O468" i="17"/>
  <c r="AR468" i="17"/>
  <c r="H468" i="17"/>
  <c r="AO468" i="17"/>
  <c r="AY468" i="17"/>
  <c r="AK468" i="17"/>
  <c r="P468" i="17"/>
  <c r="AM468" i="17"/>
  <c r="X468" i="17"/>
  <c r="AL468" i="17"/>
  <c r="W468" i="17"/>
  <c r="AE468" i="17"/>
  <c r="Y468" i="17"/>
  <c r="AG468" i="17"/>
  <c r="AW468" i="17"/>
  <c r="F468" i="17"/>
  <c r="AU468" i="17"/>
  <c r="U468" i="17"/>
  <c r="G468" i="17"/>
  <c r="AB468" i="17"/>
  <c r="L468" i="17"/>
  <c r="AA468" i="17"/>
  <c r="Z468" i="17"/>
  <c r="AH468" i="17"/>
  <c r="M468" i="17"/>
  <c r="C470" i="17" l="1"/>
  <c r="U469" i="17"/>
  <c r="AX469" i="17"/>
  <c r="W469" i="17"/>
  <c r="AQ469" i="17"/>
  <c r="J469" i="17"/>
  <c r="M469" i="17"/>
  <c r="F469" i="17"/>
  <c r="AV469" i="17"/>
  <c r="G469" i="17"/>
  <c r="V469" i="17"/>
  <c r="H469" i="17"/>
  <c r="P469" i="17"/>
  <c r="AH469" i="17"/>
  <c r="L469" i="17"/>
  <c r="AA469" i="17"/>
  <c r="S469" i="17"/>
  <c r="Q469" i="17"/>
  <c r="E469" i="17"/>
  <c r="N469" i="17"/>
  <c r="AP469" i="17"/>
  <c r="AK469" i="17"/>
  <c r="O469" i="17"/>
  <c r="AT469" i="17"/>
  <c r="R469" i="17"/>
  <c r="AZ469" i="17"/>
  <c r="AY469" i="17"/>
  <c r="AB469" i="17"/>
  <c r="K469" i="17"/>
  <c r="T469" i="17"/>
  <c r="AM469" i="17"/>
  <c r="Y469" i="17"/>
  <c r="X469" i="17"/>
  <c r="AJ469" i="17"/>
  <c r="I469" i="17"/>
  <c r="AG469" i="17"/>
  <c r="AO469" i="17"/>
  <c r="AR469" i="17"/>
  <c r="AF469" i="17"/>
  <c r="D469" i="17"/>
  <c r="AU469" i="17"/>
  <c r="AS469" i="17"/>
  <c r="AN469" i="17"/>
  <c r="AC469" i="17"/>
  <c r="BA469" i="17"/>
  <c r="AW469" i="17"/>
  <c r="AD469" i="17"/>
  <c r="AI469" i="17"/>
  <c r="AL469" i="17"/>
  <c r="AE469" i="17"/>
  <c r="Z469" i="17"/>
  <c r="C471" i="17" l="1"/>
  <c r="N470" i="17"/>
  <c r="BA470" i="17"/>
  <c r="F470" i="17"/>
  <c r="AM470" i="17"/>
  <c r="D470" i="17"/>
  <c r="AL470" i="17"/>
  <c r="K470" i="17"/>
  <c r="AN470" i="17"/>
  <c r="AF470" i="17"/>
  <c r="AD470" i="17"/>
  <c r="L470" i="17"/>
  <c r="AU470" i="17"/>
  <c r="H470" i="17"/>
  <c r="T470" i="17"/>
  <c r="AV470" i="17"/>
  <c r="M470" i="17"/>
  <c r="J470" i="17"/>
  <c r="E470" i="17"/>
  <c r="AQ470" i="17"/>
  <c r="W470" i="17"/>
  <c r="AX470" i="17"/>
  <c r="AO470" i="17"/>
  <c r="AH470" i="17"/>
  <c r="I470" i="17"/>
  <c r="AA470" i="17"/>
  <c r="X470" i="17"/>
  <c r="O470" i="17"/>
  <c r="AW470" i="17"/>
  <c r="R470" i="17"/>
  <c r="AC470" i="17"/>
  <c r="AI470" i="17"/>
  <c r="P470" i="17"/>
  <c r="G470" i="17"/>
  <c r="AE470" i="17"/>
  <c r="Y470" i="17"/>
  <c r="Q470" i="17"/>
  <c r="Z470" i="17"/>
  <c r="AB470" i="17"/>
  <c r="AG470" i="17"/>
  <c r="AR470" i="17"/>
  <c r="U470" i="17"/>
  <c r="S470" i="17"/>
  <c r="AY470" i="17"/>
  <c r="AS470" i="17"/>
  <c r="AP470" i="17"/>
  <c r="AJ470" i="17"/>
  <c r="AK470" i="17"/>
  <c r="AZ470" i="17"/>
  <c r="AT470" i="17"/>
  <c r="V470" i="17"/>
  <c r="C472" i="17" l="1"/>
  <c r="AW471" i="17"/>
  <c r="AL471" i="17"/>
  <c r="AQ471" i="17"/>
  <c r="AA471" i="17"/>
  <c r="AR471" i="17"/>
  <c r="S471" i="17"/>
  <c r="N471" i="17"/>
  <c r="R471" i="17"/>
  <c r="G471" i="17"/>
  <c r="W471" i="17"/>
  <c r="U471" i="17"/>
  <c r="P471" i="17"/>
  <c r="AU471" i="17"/>
  <c r="AK471" i="17"/>
  <c r="AF471" i="17"/>
  <c r="Q471" i="17"/>
  <c r="M471" i="17"/>
  <c r="Z471" i="17"/>
  <c r="AV471" i="17"/>
  <c r="AC471" i="17"/>
  <c r="X471" i="17"/>
  <c r="AX471" i="17"/>
  <c r="Y471" i="17"/>
  <c r="V471" i="17"/>
  <c r="I471" i="17"/>
  <c r="AZ471" i="17"/>
  <c r="AN471" i="17"/>
  <c r="AS471" i="17"/>
  <c r="K471" i="17"/>
  <c r="H471" i="17"/>
  <c r="AG471" i="17"/>
  <c r="AM471" i="17"/>
  <c r="T471" i="17"/>
  <c r="AP471" i="17"/>
  <c r="AD471" i="17"/>
  <c r="BA471" i="17"/>
  <c r="AB471" i="17"/>
  <c r="E471" i="17"/>
  <c r="AI471" i="17"/>
  <c r="D471" i="17"/>
  <c r="AE471" i="17"/>
  <c r="O471" i="17"/>
  <c r="L471" i="17"/>
  <c r="AH471" i="17"/>
  <c r="AY471" i="17"/>
  <c r="AO471" i="17"/>
  <c r="AT471" i="17"/>
  <c r="F471" i="17"/>
  <c r="AJ471" i="17"/>
  <c r="J471" i="17"/>
  <c r="C473" i="17" l="1"/>
  <c r="J472" i="17"/>
  <c r="AD472" i="17"/>
  <c r="AZ472" i="17"/>
  <c r="V472" i="17"/>
  <c r="AB472" i="17"/>
  <c r="W472" i="17"/>
  <c r="N472" i="17"/>
  <c r="AJ472" i="17"/>
  <c r="AC472" i="17"/>
  <c r="R472" i="17"/>
  <c r="X472" i="17"/>
  <c r="AF472" i="17"/>
  <c r="AI472" i="17"/>
  <c r="Q472" i="17"/>
  <c r="AE472" i="17"/>
  <c r="Z472" i="17"/>
  <c r="AW472" i="17"/>
  <c r="K472" i="17"/>
  <c r="F472" i="17"/>
  <c r="AX472" i="17"/>
  <c r="AM472" i="17"/>
  <c r="P472" i="17"/>
  <c r="AP472" i="17"/>
  <c r="H472" i="17"/>
  <c r="AO472" i="17"/>
  <c r="I472" i="17"/>
  <c r="AU472" i="17"/>
  <c r="Y472" i="17"/>
  <c r="AH472" i="17"/>
  <c r="BA472" i="17"/>
  <c r="T472" i="17"/>
  <c r="AG472" i="17"/>
  <c r="G472" i="17"/>
  <c r="U472" i="17"/>
  <c r="AA472" i="17"/>
  <c r="AN472" i="17"/>
  <c r="AR472" i="17"/>
  <c r="AQ472" i="17"/>
  <c r="AL472" i="17"/>
  <c r="D472" i="17"/>
  <c r="S472" i="17"/>
  <c r="O472" i="17"/>
  <c r="AS472" i="17"/>
  <c r="AV472" i="17"/>
  <c r="AK472" i="17"/>
  <c r="L472" i="17"/>
  <c r="AT472" i="17"/>
  <c r="AY472" i="17"/>
  <c r="E472" i="17"/>
  <c r="M472" i="17"/>
  <c r="C474" i="17" l="1"/>
  <c r="P473" i="17"/>
  <c r="F473" i="17"/>
  <c r="D473" i="17"/>
  <c r="N473" i="17"/>
  <c r="AY473" i="17"/>
  <c r="AC473" i="17"/>
  <c r="J473" i="17"/>
  <c r="AL473" i="17"/>
  <c r="AG473" i="17"/>
  <c r="AW473" i="17"/>
  <c r="Y473" i="17"/>
  <c r="AT473" i="17"/>
  <c r="U473" i="17"/>
  <c r="AD473" i="17"/>
  <c r="T473" i="17"/>
  <c r="X473" i="17"/>
  <c r="BA473" i="17"/>
  <c r="V473" i="17"/>
  <c r="AV473" i="17"/>
  <c r="AX473" i="17"/>
  <c r="Q473" i="17"/>
  <c r="AO473" i="17"/>
  <c r="H473" i="17"/>
  <c r="S473" i="17"/>
  <c r="AB473" i="17"/>
  <c r="AR473" i="17"/>
  <c r="AS473" i="17"/>
  <c r="Z473" i="17"/>
  <c r="G473" i="17"/>
  <c r="K473" i="17"/>
  <c r="O473" i="17"/>
  <c r="E473" i="17"/>
  <c r="R473" i="17"/>
  <c r="I473" i="17"/>
  <c r="AN473" i="17"/>
  <c r="AF473" i="17"/>
  <c r="AE473" i="17"/>
  <c r="AU473" i="17"/>
  <c r="AP473" i="17"/>
  <c r="AK473" i="17"/>
  <c r="W473" i="17"/>
  <c r="AJ473" i="17"/>
  <c r="AM473" i="17"/>
  <c r="M473" i="17"/>
  <c r="AA473" i="17"/>
  <c r="AQ473" i="17"/>
  <c r="L473" i="17"/>
  <c r="AH473" i="17"/>
  <c r="AZ473" i="17"/>
  <c r="AI473" i="17"/>
  <c r="C475" i="17" l="1"/>
  <c r="K474" i="17"/>
  <c r="AZ474" i="17"/>
  <c r="AB474" i="17"/>
  <c r="AS474" i="17"/>
  <c r="H474" i="17"/>
  <c r="AX474" i="17"/>
  <c r="AT474" i="17"/>
  <c r="AC474" i="17"/>
  <c r="D474" i="17"/>
  <c r="AO474" i="17"/>
  <c r="AM474" i="17"/>
  <c r="AU474" i="17"/>
  <c r="AA474" i="17"/>
  <c r="AG474" i="17"/>
  <c r="AI474" i="17"/>
  <c r="N474" i="17"/>
  <c r="AN474" i="17"/>
  <c r="V474" i="17"/>
  <c r="M474" i="17"/>
  <c r="S474" i="17"/>
  <c r="Y474" i="17"/>
  <c r="Q474" i="17"/>
  <c r="AP474" i="17"/>
  <c r="U474" i="17"/>
  <c r="R474" i="17"/>
  <c r="O474" i="17"/>
  <c r="AQ474" i="17"/>
  <c r="I474" i="17"/>
  <c r="AR474" i="17"/>
  <c r="AE474" i="17"/>
  <c r="J474" i="17"/>
  <c r="E474" i="17"/>
  <c r="AF474" i="17"/>
  <c r="AY474" i="17"/>
  <c r="AD474" i="17"/>
  <c r="Z474" i="17"/>
  <c r="P474" i="17"/>
  <c r="W474" i="17"/>
  <c r="AV474" i="17"/>
  <c r="AL474" i="17"/>
  <c r="T474" i="17"/>
  <c r="G474" i="17"/>
  <c r="F474" i="17"/>
  <c r="L474" i="17"/>
  <c r="AJ474" i="17"/>
  <c r="X474" i="17"/>
  <c r="BA474" i="17"/>
  <c r="AW474" i="17"/>
  <c r="AH474" i="17"/>
  <c r="AK474" i="17"/>
  <c r="C476" i="17" l="1"/>
  <c r="F475" i="17"/>
  <c r="O475" i="17"/>
  <c r="AB475" i="17"/>
  <c r="AW475" i="17"/>
  <c r="AO475" i="17"/>
  <c r="D475" i="17"/>
  <c r="AN475" i="17"/>
  <c r="AV475" i="17"/>
  <c r="U475" i="17"/>
  <c r="AI475" i="17"/>
  <c r="G475" i="17"/>
  <c r="AP475" i="17"/>
  <c r="E475" i="17"/>
  <c r="Z475" i="17"/>
  <c r="AG475" i="17"/>
  <c r="W475" i="17"/>
  <c r="BA475" i="17"/>
  <c r="R475" i="17"/>
  <c r="L475" i="17"/>
  <c r="V475" i="17"/>
  <c r="AX475" i="17"/>
  <c r="N475" i="17"/>
  <c r="Q475" i="17"/>
  <c r="AD475" i="17"/>
  <c r="M475" i="17"/>
  <c r="AF475" i="17"/>
  <c r="T475" i="17"/>
  <c r="P475" i="17"/>
  <c r="J475" i="17"/>
  <c r="AQ475" i="17"/>
  <c r="I475" i="17"/>
  <c r="AR475" i="17"/>
  <c r="X475" i="17"/>
  <c r="AS475" i="17"/>
  <c r="AA475" i="17"/>
  <c r="AM475" i="17"/>
  <c r="K475" i="17"/>
  <c r="AZ475" i="17"/>
  <c r="AJ475" i="17"/>
  <c r="AC475" i="17"/>
  <c r="AY475" i="17"/>
  <c r="S475" i="17"/>
  <c r="AH475" i="17"/>
  <c r="AE475" i="17"/>
  <c r="H475" i="17"/>
  <c r="AK475" i="17"/>
  <c r="AU475" i="17"/>
  <c r="AT475" i="17"/>
  <c r="AL475" i="17"/>
  <c r="Y475" i="17"/>
  <c r="C477" i="17" l="1"/>
  <c r="M476" i="17"/>
  <c r="AW476" i="17"/>
  <c r="AX476" i="17"/>
  <c r="AM476" i="17"/>
  <c r="S476" i="17"/>
  <c r="AR476" i="17"/>
  <c r="AU476" i="17"/>
  <c r="F476" i="17"/>
  <c r="AT476" i="17"/>
  <c r="K476" i="17"/>
  <c r="AV476" i="17"/>
  <c r="Z476" i="17"/>
  <c r="AQ476" i="17"/>
  <c r="AL476" i="17"/>
  <c r="AG476" i="17"/>
  <c r="L476" i="17"/>
  <c r="AO476" i="17"/>
  <c r="O476" i="17"/>
  <c r="X476" i="17"/>
  <c r="AS476" i="17"/>
  <c r="AA476" i="17"/>
  <c r="R476" i="17"/>
  <c r="T476" i="17"/>
  <c r="BA476" i="17"/>
  <c r="AE476" i="17"/>
  <c r="W476" i="17"/>
  <c r="AJ476" i="17"/>
  <c r="AP476" i="17"/>
  <c r="I476" i="17"/>
  <c r="AC476" i="17"/>
  <c r="J476" i="17"/>
  <c r="AD476" i="17"/>
  <c r="AB476" i="17"/>
  <c r="G476" i="17"/>
  <c r="U476" i="17"/>
  <c r="Y476" i="17"/>
  <c r="D476" i="17"/>
  <c r="H476" i="17"/>
  <c r="E476" i="17"/>
  <c r="V476" i="17"/>
  <c r="AF476" i="17"/>
  <c r="AI476" i="17"/>
  <c r="AK476" i="17"/>
  <c r="AN476" i="17"/>
  <c r="N476" i="17"/>
  <c r="Q476" i="17"/>
  <c r="P476" i="17"/>
  <c r="AY476" i="17"/>
  <c r="AZ476" i="17"/>
  <c r="AH476" i="17"/>
  <c r="C478" i="17" l="1"/>
  <c r="R477" i="17"/>
  <c r="F477" i="17"/>
  <c r="Z477" i="17"/>
  <c r="AL477" i="17"/>
  <c r="AM477" i="17"/>
  <c r="AZ477" i="17"/>
  <c r="AD477" i="17"/>
  <c r="U477" i="17"/>
  <c r="L477" i="17"/>
  <c r="H477" i="17"/>
  <c r="AP477" i="17"/>
  <c r="AC477" i="17"/>
  <c r="M477" i="17"/>
  <c r="G477" i="17"/>
  <c r="AR477" i="17"/>
  <c r="AS477" i="17"/>
  <c r="P477" i="17"/>
  <c r="AE477" i="17"/>
  <c r="N477" i="17"/>
  <c r="I477" i="17"/>
  <c r="AA477" i="17"/>
  <c r="E477" i="17"/>
  <c r="AT477" i="17"/>
  <c r="AV477" i="17"/>
  <c r="T477" i="17"/>
  <c r="V477" i="17"/>
  <c r="J477" i="17"/>
  <c r="AG477" i="17"/>
  <c r="AJ477" i="17"/>
  <c r="AH477" i="17"/>
  <c r="AN477" i="17"/>
  <c r="Q477" i="17"/>
  <c r="AK477" i="17"/>
  <c r="O477" i="17"/>
  <c r="AX477" i="17"/>
  <c r="AI477" i="17"/>
  <c r="BA477" i="17"/>
  <c r="AO477" i="17"/>
  <c r="AW477" i="17"/>
  <c r="W477" i="17"/>
  <c r="X477" i="17"/>
  <c r="S477" i="17"/>
  <c r="Y477" i="17"/>
  <c r="AB477" i="17"/>
  <c r="K477" i="17"/>
  <c r="AQ477" i="17"/>
  <c r="AY477" i="17"/>
  <c r="AF477" i="17"/>
  <c r="AU477" i="17"/>
  <c r="D477" i="17"/>
  <c r="C479" i="17" l="1"/>
  <c r="V478" i="17"/>
  <c r="AE478" i="17"/>
  <c r="AJ478" i="17"/>
  <c r="N478" i="17"/>
  <c r="H478" i="17"/>
  <c r="F478" i="17"/>
  <c r="S478" i="17"/>
  <c r="AZ478" i="17"/>
  <c r="AH478" i="17"/>
  <c r="AT478" i="17"/>
  <c r="AQ478" i="17"/>
  <c r="AL478" i="17"/>
  <c r="AK478" i="17"/>
  <c r="AM478" i="17"/>
  <c r="AC478" i="17"/>
  <c r="AG478" i="17"/>
  <c r="R478" i="17"/>
  <c r="AY478" i="17"/>
  <c r="AI478" i="17"/>
  <c r="AR478" i="17"/>
  <c r="G478" i="17"/>
  <c r="Q478" i="17"/>
  <c r="AW478" i="17"/>
  <c r="D478" i="17"/>
  <c r="K478" i="17"/>
  <c r="L478" i="17"/>
  <c r="AF478" i="17"/>
  <c r="AX478" i="17"/>
  <c r="AP478" i="17"/>
  <c r="BA478" i="17"/>
  <c r="P478" i="17"/>
  <c r="W478" i="17"/>
  <c r="O478" i="17"/>
  <c r="I478" i="17"/>
  <c r="AS478" i="17"/>
  <c r="AA478" i="17"/>
  <c r="AO478" i="17"/>
  <c r="AB478" i="17"/>
  <c r="T478" i="17"/>
  <c r="E478" i="17"/>
  <c r="AU478" i="17"/>
  <c r="Y478" i="17"/>
  <c r="Z478" i="17"/>
  <c r="M478" i="17"/>
  <c r="AD478" i="17"/>
  <c r="AN478" i="17"/>
  <c r="J478" i="17"/>
  <c r="AV478" i="17"/>
  <c r="U478" i="17"/>
  <c r="X478" i="17"/>
  <c r="C480" i="17" l="1"/>
  <c r="AC479" i="17"/>
  <c r="AJ479" i="17"/>
  <c r="J479" i="17"/>
  <c r="P479" i="17"/>
  <c r="AK479" i="17"/>
  <c r="AS479" i="17"/>
  <c r="I479" i="17"/>
  <c r="AL479" i="17"/>
  <c r="AZ479" i="17"/>
  <c r="AP479" i="17"/>
  <c r="R479" i="17"/>
  <c r="AD479" i="17"/>
  <c r="AN479" i="17"/>
  <c r="AF479" i="17"/>
  <c r="BA479" i="17"/>
  <c r="U479" i="17"/>
  <c r="T479" i="17"/>
  <c r="AH479" i="17"/>
  <c r="L479" i="17"/>
  <c r="F479" i="17"/>
  <c r="Q479" i="17"/>
  <c r="AQ479" i="17"/>
  <c r="N479" i="17"/>
  <c r="AM479" i="17"/>
  <c r="E479" i="17"/>
  <c r="AR479" i="17"/>
  <c r="AY479" i="17"/>
  <c r="AU479" i="17"/>
  <c r="Z479" i="17"/>
  <c r="V479" i="17"/>
  <c r="AA479" i="17"/>
  <c r="W479" i="17"/>
  <c r="AI479" i="17"/>
  <c r="M479" i="17"/>
  <c r="AX479" i="17"/>
  <c r="AW479" i="17"/>
  <c r="AT479" i="17"/>
  <c r="O479" i="17"/>
  <c r="G479" i="17"/>
  <c r="H479" i="17"/>
  <c r="S479" i="17"/>
  <c r="D479" i="17"/>
  <c r="K479" i="17"/>
  <c r="Y479" i="17"/>
  <c r="X479" i="17"/>
  <c r="AB479" i="17"/>
  <c r="AO479" i="17"/>
  <c r="AG479" i="17"/>
  <c r="AV479" i="17"/>
  <c r="AE479" i="17"/>
  <c r="C481" i="17" l="1"/>
  <c r="AT480" i="17"/>
  <c r="AH480" i="17"/>
  <c r="AA480" i="17"/>
  <c r="AY480" i="17"/>
  <c r="K480" i="17"/>
  <c r="AV480" i="17"/>
  <c r="O480" i="17"/>
  <c r="AI480" i="17"/>
  <c r="P480" i="17"/>
  <c r="AJ480" i="17"/>
  <c r="AZ480" i="17"/>
  <c r="AS480" i="17"/>
  <c r="E480" i="17"/>
  <c r="AC480" i="17"/>
  <c r="T480" i="17"/>
  <c r="AL480" i="17"/>
  <c r="AQ480" i="17"/>
  <c r="W480" i="17"/>
  <c r="J480" i="17"/>
  <c r="AD480" i="17"/>
  <c r="I480" i="17"/>
  <c r="Q480" i="17"/>
  <c r="U480" i="17"/>
  <c r="AF480" i="17"/>
  <c r="AO480" i="17"/>
  <c r="H480" i="17"/>
  <c r="G480" i="17"/>
  <c r="BA480" i="17"/>
  <c r="L480" i="17"/>
  <c r="N480" i="17"/>
  <c r="Z480" i="17"/>
  <c r="AM480" i="17"/>
  <c r="V480" i="17"/>
  <c r="AW480" i="17"/>
  <c r="M480" i="17"/>
  <c r="AB480" i="17"/>
  <c r="AX480" i="17"/>
  <c r="AU480" i="17"/>
  <c r="AN480" i="17"/>
  <c r="AR480" i="17"/>
  <c r="D480" i="17"/>
  <c r="AK480" i="17"/>
  <c r="F480" i="17"/>
  <c r="AE480" i="17"/>
  <c r="R480" i="17"/>
  <c r="Y480" i="17"/>
  <c r="S480" i="17"/>
  <c r="AG480" i="17"/>
  <c r="X480" i="17"/>
  <c r="AP480" i="17"/>
  <c r="C482" i="17" l="1"/>
  <c r="F481" i="17"/>
  <c r="AV481" i="17"/>
  <c r="X481" i="17"/>
  <c r="AM481" i="17"/>
  <c r="AA481" i="17"/>
  <c r="I481" i="17"/>
  <c r="AB481" i="17"/>
  <c r="V481" i="17"/>
  <c r="AL481" i="17"/>
  <c r="G481" i="17"/>
  <c r="AO481" i="17"/>
  <c r="P481" i="17"/>
  <c r="AX481" i="17"/>
  <c r="AG481" i="17"/>
  <c r="Q481" i="17"/>
  <c r="J481" i="17"/>
  <c r="T481" i="17"/>
  <c r="AD481" i="17"/>
  <c r="AJ481" i="17"/>
  <c r="AH481" i="17"/>
  <c r="N481" i="17"/>
  <c r="Z481" i="17"/>
  <c r="L481" i="17"/>
  <c r="AC481" i="17"/>
  <c r="D481" i="17"/>
  <c r="U481" i="17"/>
  <c r="BA481" i="17"/>
  <c r="M481" i="17"/>
  <c r="AQ481" i="17"/>
  <c r="O481" i="17"/>
  <c r="K481" i="17"/>
  <c r="H481" i="17"/>
  <c r="AT481" i="17"/>
  <c r="S481" i="17"/>
  <c r="AI481" i="17"/>
  <c r="AZ481" i="17"/>
  <c r="AR481" i="17"/>
  <c r="AS481" i="17"/>
  <c r="W481" i="17"/>
  <c r="AE481" i="17"/>
  <c r="AK481" i="17"/>
  <c r="AU481" i="17"/>
  <c r="AF481" i="17"/>
  <c r="Y481" i="17"/>
  <c r="AN481" i="17"/>
  <c r="E481" i="17"/>
  <c r="AW481" i="17"/>
  <c r="R481" i="17"/>
  <c r="AP481" i="17"/>
  <c r="AY481" i="17"/>
  <c r="C483" i="17" l="1"/>
  <c r="AT482" i="17"/>
  <c r="E482" i="17"/>
  <c r="Z482" i="17"/>
  <c r="AY482" i="17"/>
  <c r="K482" i="17"/>
  <c r="F482" i="17"/>
  <c r="H482" i="17"/>
  <c r="AF482" i="17"/>
  <c r="BA482" i="17"/>
  <c r="D482" i="17"/>
  <c r="Q482" i="17"/>
  <c r="X482" i="17"/>
  <c r="AP482" i="17"/>
  <c r="AI482" i="17"/>
  <c r="AZ482" i="17"/>
  <c r="T482" i="17"/>
  <c r="Y482" i="17"/>
  <c r="AX482" i="17"/>
  <c r="AC482" i="17"/>
  <c r="W482" i="17"/>
  <c r="U482" i="17"/>
  <c r="G482" i="17"/>
  <c r="AS482" i="17"/>
  <c r="P482" i="17"/>
  <c r="AK482" i="17"/>
  <c r="V482" i="17"/>
  <c r="AL482" i="17"/>
  <c r="I482" i="17"/>
  <c r="AB482" i="17"/>
  <c r="AA482" i="17"/>
  <c r="O482" i="17"/>
  <c r="AR482" i="17"/>
  <c r="R482" i="17"/>
  <c r="AN482" i="17"/>
  <c r="AD482" i="17"/>
  <c r="M482" i="17"/>
  <c r="AH482" i="17"/>
  <c r="AE482" i="17"/>
  <c r="L482" i="17"/>
  <c r="N482" i="17"/>
  <c r="AQ482" i="17"/>
  <c r="AW482" i="17"/>
  <c r="AO482" i="17"/>
  <c r="AM482" i="17"/>
  <c r="S482" i="17"/>
  <c r="AU482" i="17"/>
  <c r="J482" i="17"/>
  <c r="AJ482" i="17"/>
  <c r="AG482" i="17"/>
  <c r="AV482" i="17"/>
  <c r="C484" i="17" l="1"/>
  <c r="N483" i="17"/>
  <c r="AD483" i="17"/>
  <c r="AW483" i="17"/>
  <c r="AU483" i="17"/>
  <c r="AO483" i="17"/>
  <c r="AK483" i="17"/>
  <c r="D483" i="17"/>
  <c r="K483" i="17"/>
  <c r="AL483" i="17"/>
  <c r="AI483" i="17"/>
  <c r="AQ483" i="17"/>
  <c r="AB483" i="17"/>
  <c r="H483" i="17"/>
  <c r="AF483" i="17"/>
  <c r="I483" i="17"/>
  <c r="X483" i="17"/>
  <c r="E483" i="17"/>
  <c r="R483" i="17"/>
  <c r="AG483" i="17"/>
  <c r="L483" i="17"/>
  <c r="AJ483" i="17"/>
  <c r="G483" i="17"/>
  <c r="BA483" i="17"/>
  <c r="AC483" i="17"/>
  <c r="AH483" i="17"/>
  <c r="AN483" i="17"/>
  <c r="U483" i="17"/>
  <c r="T483" i="17"/>
  <c r="M483" i="17"/>
  <c r="F483" i="17"/>
  <c r="AP483" i="17"/>
  <c r="AA483" i="17"/>
  <c r="AE483" i="17"/>
  <c r="AX483" i="17"/>
  <c r="O483" i="17"/>
  <c r="V483" i="17"/>
  <c r="W483" i="17"/>
  <c r="P483" i="17"/>
  <c r="AM483" i="17"/>
  <c r="AV483" i="17"/>
  <c r="Q483" i="17"/>
  <c r="Z483" i="17"/>
  <c r="S483" i="17"/>
  <c r="AS483" i="17"/>
  <c r="AR483" i="17"/>
  <c r="AZ483" i="17"/>
  <c r="AY483" i="17"/>
  <c r="J483" i="17"/>
  <c r="Y483" i="17"/>
  <c r="AT483" i="17"/>
  <c r="C485" i="17" l="1"/>
  <c r="D484" i="17"/>
  <c r="R484" i="17"/>
  <c r="M484" i="17"/>
  <c r="AV484" i="17"/>
  <c r="Q484" i="17"/>
  <c r="AA484" i="17"/>
  <c r="W484" i="17"/>
  <c r="E484" i="17"/>
  <c r="AT484" i="17"/>
  <c r="V484" i="17"/>
  <c r="AZ484" i="17"/>
  <c r="N484" i="17"/>
  <c r="AE484" i="17"/>
  <c r="AC484" i="17"/>
  <c r="AD484" i="17"/>
  <c r="S484" i="17"/>
  <c r="AI484" i="17"/>
  <c r="AN484" i="17"/>
  <c r="AQ484" i="17"/>
  <c r="L484" i="17"/>
  <c r="AP484" i="17"/>
  <c r="AL484" i="17"/>
  <c r="T484" i="17"/>
  <c r="O484" i="17"/>
  <c r="AG484" i="17"/>
  <c r="AK484" i="17"/>
  <c r="AS484" i="17"/>
  <c r="AB484" i="17"/>
  <c r="AM484" i="17"/>
  <c r="F484" i="17"/>
  <c r="Z484" i="17"/>
  <c r="AH484" i="17"/>
  <c r="U484" i="17"/>
  <c r="X484" i="17"/>
  <c r="J484" i="17"/>
  <c r="I484" i="17"/>
  <c r="H484" i="17"/>
  <c r="G484" i="17"/>
  <c r="AF484" i="17"/>
  <c r="AR484" i="17"/>
  <c r="AU484" i="17"/>
  <c r="K484" i="17"/>
  <c r="Y484" i="17"/>
  <c r="BA484" i="17"/>
  <c r="AJ484" i="17"/>
  <c r="P484" i="17"/>
  <c r="AX484" i="17"/>
  <c r="AO484" i="17"/>
  <c r="AY484" i="17"/>
  <c r="AW484" i="17"/>
  <c r="C486" i="17" l="1"/>
  <c r="N485" i="17"/>
  <c r="AC485" i="17"/>
  <c r="AD485" i="17"/>
  <c r="AV485" i="17"/>
  <c r="AW485" i="17"/>
  <c r="U485" i="17"/>
  <c r="AE485" i="17"/>
  <c r="AJ485" i="17"/>
  <c r="H485" i="17"/>
  <c r="Y485" i="17"/>
  <c r="I485" i="17"/>
  <c r="AU485" i="17"/>
  <c r="AS485" i="17"/>
  <c r="AA485" i="17"/>
  <c r="L485" i="17"/>
  <c r="X485" i="17"/>
  <c r="M485" i="17"/>
  <c r="AZ485" i="17"/>
  <c r="AT485" i="17"/>
  <c r="BA485" i="17"/>
  <c r="D485" i="17"/>
  <c r="P485" i="17"/>
  <c r="F485" i="17"/>
  <c r="AP485" i="17"/>
  <c r="AR485" i="17"/>
  <c r="G485" i="17"/>
  <c r="Q485" i="17"/>
  <c r="AM485" i="17"/>
  <c r="AG485" i="17"/>
  <c r="T485" i="17"/>
  <c r="J485" i="17"/>
  <c r="E485" i="17"/>
  <c r="AH485" i="17"/>
  <c r="O485" i="17"/>
  <c r="W485" i="17"/>
  <c r="R485" i="17"/>
  <c r="AI485" i="17"/>
  <c r="AX485" i="17"/>
  <c r="V485" i="17"/>
  <c r="S485" i="17"/>
  <c r="Z485" i="17"/>
  <c r="AN485" i="17"/>
  <c r="AL485" i="17"/>
  <c r="AF485" i="17"/>
  <c r="AO485" i="17"/>
  <c r="AQ485" i="17"/>
  <c r="K485" i="17"/>
  <c r="AY485" i="17"/>
  <c r="AK485" i="17"/>
  <c r="AB485" i="17"/>
  <c r="C487" i="17" l="1"/>
  <c r="Q486" i="17"/>
  <c r="K486" i="17"/>
  <c r="AI486" i="17"/>
  <c r="AQ486" i="17"/>
  <c r="AX486" i="17"/>
  <c r="AY486" i="17"/>
  <c r="BA486" i="17"/>
  <c r="J486" i="17"/>
  <c r="P486" i="17"/>
  <c r="M486" i="17"/>
  <c r="AM486" i="17"/>
  <c r="X486" i="17"/>
  <c r="AU486" i="17"/>
  <c r="AD486" i="17"/>
  <c r="Y486" i="17"/>
  <c r="AJ486" i="17"/>
  <c r="R486" i="17"/>
  <c r="AH486" i="17"/>
  <c r="AL486" i="17"/>
  <c r="AP486" i="17"/>
  <c r="W486" i="17"/>
  <c r="AG486" i="17"/>
  <c r="N486" i="17"/>
  <c r="AZ486" i="17"/>
  <c r="I486" i="17"/>
  <c r="T486" i="17"/>
  <c r="F486" i="17"/>
  <c r="E486" i="17"/>
  <c r="AO486" i="17"/>
  <c r="AC486" i="17"/>
  <c r="AV486" i="17"/>
  <c r="U486" i="17"/>
  <c r="AS486" i="17"/>
  <c r="AK486" i="17"/>
  <c r="AN486" i="17"/>
  <c r="AT486" i="17"/>
  <c r="S486" i="17"/>
  <c r="G486" i="17"/>
  <c r="Z486" i="17"/>
  <c r="D486" i="17"/>
  <c r="AE486" i="17"/>
  <c r="AA486" i="17"/>
  <c r="O486" i="17"/>
  <c r="H486" i="17"/>
  <c r="AF486" i="17"/>
  <c r="AB486" i="17"/>
  <c r="L486" i="17"/>
  <c r="V486" i="17"/>
  <c r="AW486" i="17"/>
  <c r="AR486" i="17"/>
  <c r="C488" i="17" l="1"/>
  <c r="F487" i="17"/>
  <c r="N487" i="17"/>
  <c r="T487" i="17"/>
  <c r="AO487" i="17"/>
  <c r="AV487" i="17"/>
  <c r="J487" i="17"/>
  <c r="AK487" i="17"/>
  <c r="AS487" i="17"/>
  <c r="U487" i="17"/>
  <c r="BA487" i="17"/>
  <c r="AN487" i="17"/>
  <c r="AR487" i="17"/>
  <c r="S487" i="17"/>
  <c r="AD487" i="17"/>
  <c r="AL487" i="17"/>
  <c r="AJ487" i="17"/>
  <c r="Q487" i="17"/>
  <c r="AI487" i="17"/>
  <c r="R487" i="17"/>
  <c r="AU487" i="17"/>
  <c r="AX487" i="17"/>
  <c r="AA487" i="17"/>
  <c r="V487" i="17"/>
  <c r="AC487" i="17"/>
  <c r="M487" i="17"/>
  <c r="AE487" i="17"/>
  <c r="E487" i="17"/>
  <c r="AZ487" i="17"/>
  <c r="X487" i="17"/>
  <c r="P487" i="17"/>
  <c r="D487" i="17"/>
  <c r="H487" i="17"/>
  <c r="AP487" i="17"/>
  <c r="AY487" i="17"/>
  <c r="AH487" i="17"/>
  <c r="AB487" i="17"/>
  <c r="L487" i="17"/>
  <c r="Z487" i="17"/>
  <c r="W487" i="17"/>
  <c r="AF487" i="17"/>
  <c r="G487" i="17"/>
  <c r="I487" i="17"/>
  <c r="Y487" i="17"/>
  <c r="AW487" i="17"/>
  <c r="AG487" i="17"/>
  <c r="AM487" i="17"/>
  <c r="K487" i="17"/>
  <c r="O487" i="17"/>
  <c r="AQ487" i="17"/>
  <c r="AT487" i="17"/>
  <c r="C489" i="17" l="1"/>
  <c r="AP488" i="17"/>
  <c r="BA488" i="17"/>
  <c r="AC488" i="17"/>
  <c r="AO488" i="17"/>
  <c r="N488" i="17"/>
  <c r="AA488" i="17"/>
  <c r="AM488" i="17"/>
  <c r="D488" i="17"/>
  <c r="S488" i="17"/>
  <c r="U488" i="17"/>
  <c r="AN488" i="17"/>
  <c r="Y488" i="17"/>
  <c r="AJ488" i="17"/>
  <c r="AY488" i="17"/>
  <c r="L488" i="17"/>
  <c r="V488" i="17"/>
  <c r="AH488" i="17"/>
  <c r="AD488" i="17"/>
  <c r="AR488" i="17"/>
  <c r="K488" i="17"/>
  <c r="AL488" i="17"/>
  <c r="X488" i="17"/>
  <c r="AV488" i="17"/>
  <c r="T488" i="17"/>
  <c r="H488" i="17"/>
  <c r="J488" i="17"/>
  <c r="AK488" i="17"/>
  <c r="AE488" i="17"/>
  <c r="P488" i="17"/>
  <c r="Z488" i="17"/>
  <c r="AT488" i="17"/>
  <c r="AG488" i="17"/>
  <c r="F488" i="17"/>
  <c r="M488" i="17"/>
  <c r="AF488" i="17"/>
  <c r="R488" i="17"/>
  <c r="Q488" i="17"/>
  <c r="AQ488" i="17"/>
  <c r="I488" i="17"/>
  <c r="G488" i="17"/>
  <c r="E488" i="17"/>
  <c r="AS488" i="17"/>
  <c r="AW488" i="17"/>
  <c r="W488" i="17"/>
  <c r="O488" i="17"/>
  <c r="AU488" i="17"/>
  <c r="AI488" i="17"/>
  <c r="AZ488" i="17"/>
  <c r="AX488" i="17"/>
  <c r="AB488" i="17"/>
  <c r="C490" i="17" l="1"/>
  <c r="AU489" i="17"/>
  <c r="R489" i="17"/>
  <c r="AD489" i="17"/>
  <c r="AL489" i="17"/>
  <c r="Z489" i="17"/>
  <c r="AI489" i="17"/>
  <c r="I489" i="17"/>
  <c r="U489" i="17"/>
  <c r="AR489" i="17"/>
  <c r="AY489" i="17"/>
  <c r="AV489" i="17"/>
  <c r="D489" i="17"/>
  <c r="AP489" i="17"/>
  <c r="AB489" i="17"/>
  <c r="AM489" i="17"/>
  <c r="AT489" i="17"/>
  <c r="L489" i="17"/>
  <c r="AE489" i="17"/>
  <c r="AS489" i="17"/>
  <c r="F489" i="17"/>
  <c r="H489" i="17"/>
  <c r="P489" i="17"/>
  <c r="O489" i="17"/>
  <c r="AC489" i="17"/>
  <c r="AF489" i="17"/>
  <c r="AQ489" i="17"/>
  <c r="J489" i="17"/>
  <c r="AK489" i="17"/>
  <c r="Y489" i="17"/>
  <c r="W489" i="17"/>
  <c r="X489" i="17"/>
  <c r="AZ489" i="17"/>
  <c r="AN489" i="17"/>
  <c r="Q489" i="17"/>
  <c r="AX489" i="17"/>
  <c r="G489" i="17"/>
  <c r="AA489" i="17"/>
  <c r="V489" i="17"/>
  <c r="N489" i="17"/>
  <c r="AH489" i="17"/>
  <c r="AG489" i="17"/>
  <c r="T489" i="17"/>
  <c r="E489" i="17"/>
  <c r="S489" i="17"/>
  <c r="M489" i="17"/>
  <c r="AJ489" i="17"/>
  <c r="K489" i="17"/>
  <c r="AO489" i="17"/>
  <c r="AW489" i="17"/>
  <c r="BA489" i="17"/>
  <c r="C491" i="17" l="1"/>
  <c r="AL490" i="17"/>
  <c r="P490" i="17"/>
  <c r="AT490" i="17"/>
  <c r="S490" i="17"/>
  <c r="M490" i="17"/>
  <c r="T490" i="17"/>
  <c r="H490" i="17"/>
  <c r="G490" i="17"/>
  <c r="AV490" i="17"/>
  <c r="AX490" i="17"/>
  <c r="I490" i="17"/>
  <c r="AZ490" i="17"/>
  <c r="AS490" i="17"/>
  <c r="AP490" i="17"/>
  <c r="AW490" i="17"/>
  <c r="AE490" i="17"/>
  <c r="O490" i="17"/>
  <c r="W490" i="17"/>
  <c r="AH490" i="17"/>
  <c r="K490" i="17"/>
  <c r="AF490" i="17"/>
  <c r="AY490" i="17"/>
  <c r="Z490" i="17"/>
  <c r="Y490" i="17"/>
  <c r="J490" i="17"/>
  <c r="AN490" i="17"/>
  <c r="X490" i="17"/>
  <c r="R490" i="17"/>
  <c r="U490" i="17"/>
  <c r="AI490" i="17"/>
  <c r="L490" i="17"/>
  <c r="AR490" i="17"/>
  <c r="AB490" i="17"/>
  <c r="N490" i="17"/>
  <c r="AC490" i="17"/>
  <c r="AM490" i="17"/>
  <c r="D490" i="17"/>
  <c r="AQ490" i="17"/>
  <c r="V490" i="17"/>
  <c r="AA490" i="17"/>
  <c r="AK490" i="17"/>
  <c r="Q490" i="17"/>
  <c r="AD490" i="17"/>
  <c r="AU490" i="17"/>
  <c r="AJ490" i="17"/>
  <c r="AG490" i="17"/>
  <c r="BA490" i="17"/>
  <c r="F490" i="17"/>
  <c r="E490" i="17"/>
  <c r="AO490" i="17"/>
  <c r="C492" i="17" l="1"/>
  <c r="AF491" i="17"/>
  <c r="P491" i="17"/>
  <c r="X491" i="17"/>
  <c r="J491" i="17"/>
  <c r="I491" i="17"/>
  <c r="BA491" i="17"/>
  <c r="T491" i="17"/>
  <c r="E491" i="17"/>
  <c r="AM491" i="17"/>
  <c r="AB491" i="17"/>
  <c r="D491" i="17"/>
  <c r="AW491" i="17"/>
  <c r="Y491" i="17"/>
  <c r="AQ491" i="17"/>
  <c r="L491" i="17"/>
  <c r="AK491" i="17"/>
  <c r="K491" i="17"/>
  <c r="AN491" i="17"/>
  <c r="AS491" i="17"/>
  <c r="AU491" i="17"/>
  <c r="AJ491" i="17"/>
  <c r="W491" i="17"/>
  <c r="S491" i="17"/>
  <c r="H491" i="17"/>
  <c r="F491" i="17"/>
  <c r="M491" i="17"/>
  <c r="AL491" i="17"/>
  <c r="AX491" i="17"/>
  <c r="AV491" i="17"/>
  <c r="Z491" i="17"/>
  <c r="U491" i="17"/>
  <c r="AA491" i="17"/>
  <c r="Q491" i="17"/>
  <c r="O491" i="17"/>
  <c r="AP491" i="17"/>
  <c r="AE491" i="17"/>
  <c r="N491" i="17"/>
  <c r="AI491" i="17"/>
  <c r="AG491" i="17"/>
  <c r="V491" i="17"/>
  <c r="AR491" i="17"/>
  <c r="AY491" i="17"/>
  <c r="AD491" i="17"/>
  <c r="G491" i="17"/>
  <c r="AC491" i="17"/>
  <c r="AH491" i="17"/>
  <c r="AT491" i="17"/>
  <c r="AO491" i="17"/>
  <c r="AZ491" i="17"/>
  <c r="R491" i="17"/>
  <c r="C493" i="17" l="1"/>
  <c r="M492" i="17"/>
  <c r="AL492" i="17"/>
  <c r="V492" i="17"/>
  <c r="F492" i="17"/>
  <c r="AZ492" i="17"/>
  <c r="P492" i="17"/>
  <c r="E492" i="17"/>
  <c r="AE492" i="17"/>
  <c r="AY492" i="17"/>
  <c r="H492" i="17"/>
  <c r="AV492" i="17"/>
  <c r="AS492" i="17"/>
  <c r="AI492" i="17"/>
  <c r="BA492" i="17"/>
  <c r="L492" i="17"/>
  <c r="AG492" i="17"/>
  <c r="AB492" i="17"/>
  <c r="AJ492" i="17"/>
  <c r="D492" i="17"/>
  <c r="Y492" i="17"/>
  <c r="AO492" i="17"/>
  <c r="AH492" i="17"/>
  <c r="U492" i="17"/>
  <c r="K492" i="17"/>
  <c r="AU492" i="17"/>
  <c r="N492" i="17"/>
  <c r="X492" i="17"/>
  <c r="I492" i="17"/>
  <c r="AD492" i="17"/>
  <c r="AQ492" i="17"/>
  <c r="AM492" i="17"/>
  <c r="AK492" i="17"/>
  <c r="AA492" i="17"/>
  <c r="AN492" i="17"/>
  <c r="Q492" i="17"/>
  <c r="AP492" i="17"/>
  <c r="Z492" i="17"/>
  <c r="W492" i="17"/>
  <c r="O492" i="17"/>
  <c r="T492" i="17"/>
  <c r="R492" i="17"/>
  <c r="AF492" i="17"/>
  <c r="AW492" i="17"/>
  <c r="AC492" i="17"/>
  <c r="J492" i="17"/>
  <c r="AT492" i="17"/>
  <c r="S492" i="17"/>
  <c r="AR492" i="17"/>
  <c r="AX492" i="17"/>
  <c r="G492" i="17"/>
  <c r="C494" i="17" l="1"/>
  <c r="AM493" i="17"/>
  <c r="T493" i="17"/>
  <c r="AH493" i="17"/>
  <c r="R493" i="17"/>
  <c r="N493" i="17"/>
  <c r="M493" i="17"/>
  <c r="AY493" i="17"/>
  <c r="AJ493" i="17"/>
  <c r="E493" i="17"/>
  <c r="AT493" i="17"/>
  <c r="Z493" i="17"/>
  <c r="AZ493" i="17"/>
  <c r="W493" i="17"/>
  <c r="AN493" i="17"/>
  <c r="AE493" i="17"/>
  <c r="AX493" i="17"/>
  <c r="P493" i="17"/>
  <c r="AG493" i="17"/>
  <c r="X493" i="17"/>
  <c r="AU493" i="17"/>
  <c r="D493" i="17"/>
  <c r="AF493" i="17"/>
  <c r="AP493" i="17"/>
  <c r="AD493" i="17"/>
  <c r="F493" i="17"/>
  <c r="AL493" i="17"/>
  <c r="AC493" i="17"/>
  <c r="G493" i="17"/>
  <c r="U493" i="17"/>
  <c r="AA493" i="17"/>
  <c r="I493" i="17"/>
  <c r="AS493" i="17"/>
  <c r="L493" i="17"/>
  <c r="AI493" i="17"/>
  <c r="AO493" i="17"/>
  <c r="H493" i="17"/>
  <c r="AW493" i="17"/>
  <c r="AV493" i="17"/>
  <c r="K493" i="17"/>
  <c r="Q493" i="17"/>
  <c r="AR493" i="17"/>
  <c r="AQ493" i="17"/>
  <c r="O493" i="17"/>
  <c r="Y493" i="17"/>
  <c r="AK493" i="17"/>
  <c r="S493" i="17"/>
  <c r="BA493" i="17"/>
  <c r="AB493" i="17"/>
  <c r="J493" i="17"/>
  <c r="V493" i="17"/>
  <c r="C495" i="17" l="1"/>
  <c r="Q494" i="17"/>
  <c r="O494" i="17"/>
  <c r="AQ494" i="17"/>
  <c r="AT494" i="17"/>
  <c r="AX494" i="17"/>
  <c r="H494" i="17"/>
  <c r="J494" i="17"/>
  <c r="AL494" i="17"/>
  <c r="U494" i="17"/>
  <c r="Y494" i="17"/>
  <c r="N494" i="17"/>
  <c r="AY494" i="17"/>
  <c r="AC494" i="17"/>
  <c r="AG494" i="17"/>
  <c r="Z494" i="17"/>
  <c r="BA494" i="17"/>
  <c r="AK494" i="17"/>
  <c r="V494" i="17"/>
  <c r="F494" i="17"/>
  <c r="R494" i="17"/>
  <c r="AP494" i="17"/>
  <c r="AM494" i="17"/>
  <c r="AS494" i="17"/>
  <c r="AU494" i="17"/>
  <c r="I494" i="17"/>
  <c r="AV494" i="17"/>
  <c r="AH494" i="17"/>
  <c r="P494" i="17"/>
  <c r="W494" i="17"/>
  <c r="AF494" i="17"/>
  <c r="AD494" i="17"/>
  <c r="AJ494" i="17"/>
  <c r="AN494" i="17"/>
  <c r="K494" i="17"/>
  <c r="L494" i="17"/>
  <c r="X494" i="17"/>
  <c r="D494" i="17"/>
  <c r="T494" i="17"/>
  <c r="AA494" i="17"/>
  <c r="AE494" i="17"/>
  <c r="S494" i="17"/>
  <c r="AO494" i="17"/>
  <c r="AB494" i="17"/>
  <c r="AI494" i="17"/>
  <c r="E494" i="17"/>
  <c r="M494" i="17"/>
  <c r="AW494" i="17"/>
  <c r="AR494" i="17"/>
  <c r="AZ494" i="17"/>
  <c r="G494" i="17"/>
  <c r="C496" i="17" l="1"/>
  <c r="W495" i="17"/>
  <c r="AQ495" i="17"/>
  <c r="AO495" i="17"/>
  <c r="H495" i="17"/>
  <c r="P495" i="17"/>
  <c r="AB495" i="17"/>
  <c r="AF495" i="17"/>
  <c r="V495" i="17"/>
  <c r="L495" i="17"/>
  <c r="AC495" i="17"/>
  <c r="R495" i="17"/>
  <c r="J495" i="17"/>
  <c r="AV495" i="17"/>
  <c r="AU495" i="17"/>
  <c r="AS495" i="17"/>
  <c r="Q495" i="17"/>
  <c r="AA495" i="17"/>
  <c r="U495" i="17"/>
  <c r="G495" i="17"/>
  <c r="Z495" i="17"/>
  <c r="AR495" i="17"/>
  <c r="S495" i="17"/>
  <c r="F495" i="17"/>
  <c r="O495" i="17"/>
  <c r="AI495" i="17"/>
  <c r="AL495" i="17"/>
  <c r="N495" i="17"/>
  <c r="AX495" i="17"/>
  <c r="E495" i="17"/>
  <c r="AZ495" i="17"/>
  <c r="D495" i="17"/>
  <c r="AM495" i="17"/>
  <c r="I495" i="17"/>
  <c r="Y495" i="17"/>
  <c r="AD495" i="17"/>
  <c r="AP495" i="17"/>
  <c r="AJ495" i="17"/>
  <c r="M495" i="17"/>
  <c r="T495" i="17"/>
  <c r="AW495" i="17"/>
  <c r="K495" i="17"/>
  <c r="AH495" i="17"/>
  <c r="AN495" i="17"/>
  <c r="AK495" i="17"/>
  <c r="X495" i="17"/>
  <c r="AT495" i="17"/>
  <c r="BA495" i="17"/>
  <c r="AE495" i="17"/>
  <c r="AY495" i="17"/>
  <c r="AG495" i="17"/>
  <c r="C497" i="17" l="1"/>
  <c r="AV496" i="17"/>
  <c r="I496" i="17"/>
  <c r="S496" i="17"/>
  <c r="Y496" i="17"/>
  <c r="AZ496" i="17"/>
  <c r="J496" i="17"/>
  <c r="AW496" i="17"/>
  <c r="AJ496" i="17"/>
  <c r="U496" i="17"/>
  <c r="AM496" i="17"/>
  <c r="AY496" i="17"/>
  <c r="Z496" i="17"/>
  <c r="X496" i="17"/>
  <c r="Q496" i="17"/>
  <c r="AN496" i="17"/>
  <c r="W496" i="17"/>
  <c r="AS496" i="17"/>
  <c r="AU496" i="17"/>
  <c r="AG496" i="17"/>
  <c r="AT496" i="17"/>
  <c r="AO496" i="17"/>
  <c r="BA496" i="17"/>
  <c r="K496" i="17"/>
  <c r="E496" i="17"/>
  <c r="AH496" i="17"/>
  <c r="AK496" i="17"/>
  <c r="G496" i="17"/>
  <c r="AI496" i="17"/>
  <c r="V496" i="17"/>
  <c r="T496" i="17"/>
  <c r="AQ496" i="17"/>
  <c r="O496" i="17"/>
  <c r="M496" i="17"/>
  <c r="R496" i="17"/>
  <c r="AA496" i="17"/>
  <c r="AC496" i="17"/>
  <c r="P496" i="17"/>
  <c r="F496" i="17"/>
  <c r="D496" i="17"/>
  <c r="AF496" i="17"/>
  <c r="AE496" i="17"/>
  <c r="N496" i="17"/>
  <c r="AL496" i="17"/>
  <c r="AB496" i="17"/>
  <c r="AR496" i="17"/>
  <c r="AD496" i="17"/>
  <c r="H496" i="17"/>
  <c r="AP496" i="17"/>
  <c r="L496" i="17"/>
  <c r="AX496" i="17"/>
  <c r="C498" i="17" l="1"/>
  <c r="Z497" i="17"/>
  <c r="O497" i="17"/>
  <c r="AD497" i="17"/>
  <c r="F497" i="17"/>
  <c r="AW497" i="17"/>
  <c r="AN497" i="17"/>
  <c r="AI497" i="17"/>
  <c r="AE497" i="17"/>
  <c r="AG497" i="17"/>
  <c r="AX497" i="17"/>
  <c r="AF497" i="17"/>
  <c r="X497" i="17"/>
  <c r="AT497" i="17"/>
  <c r="D497" i="17"/>
  <c r="AH497" i="17"/>
  <c r="G497" i="17"/>
  <c r="Y497" i="17"/>
  <c r="M497" i="17"/>
  <c r="AZ497" i="17"/>
  <c r="P497" i="17"/>
  <c r="S497" i="17"/>
  <c r="AP497" i="17"/>
  <c r="AY497" i="17"/>
  <c r="AU497" i="17"/>
  <c r="AC497" i="17"/>
  <c r="AO497" i="17"/>
  <c r="Q497" i="17"/>
  <c r="W497" i="17"/>
  <c r="AK497" i="17"/>
  <c r="AL497" i="17"/>
  <c r="AJ497" i="17"/>
  <c r="AV497" i="17"/>
  <c r="R497" i="17"/>
  <c r="AM497" i="17"/>
  <c r="AA497" i="17"/>
  <c r="L497" i="17"/>
  <c r="K497" i="17"/>
  <c r="V497" i="17"/>
  <c r="AS497" i="17"/>
  <c r="E497" i="17"/>
  <c r="H497" i="17"/>
  <c r="J497" i="17"/>
  <c r="U497" i="17"/>
  <c r="I497" i="17"/>
  <c r="BA497" i="17"/>
  <c r="AR497" i="17"/>
  <c r="AQ497" i="17"/>
  <c r="AB497" i="17"/>
  <c r="T497" i="17"/>
  <c r="N497" i="17"/>
  <c r="C499" i="17" l="1"/>
  <c r="U498" i="17"/>
  <c r="H498" i="17"/>
  <c r="AQ498" i="17"/>
  <c r="N498" i="17"/>
  <c r="L498" i="17"/>
  <c r="F498" i="17"/>
  <c r="AE498" i="17"/>
  <c r="AG498" i="17"/>
  <c r="AN498" i="17"/>
  <c r="AY498" i="17"/>
  <c r="AC498" i="17"/>
  <c r="X498" i="17"/>
  <c r="AO498" i="17"/>
  <c r="D498" i="17"/>
  <c r="V498" i="17"/>
  <c r="AI498" i="17"/>
  <c r="AX498" i="17"/>
  <c r="S498" i="17"/>
  <c r="AH498" i="17"/>
  <c r="AM498" i="17"/>
  <c r="G498" i="17"/>
  <c r="K498" i="17"/>
  <c r="AF498" i="17"/>
  <c r="I498" i="17"/>
  <c r="AV498" i="17"/>
  <c r="J498" i="17"/>
  <c r="P498" i="17"/>
  <c r="W498" i="17"/>
  <c r="AP498" i="17"/>
  <c r="AJ498" i="17"/>
  <c r="AA498" i="17"/>
  <c r="AR498" i="17"/>
  <c r="AL498" i="17"/>
  <c r="AT498" i="17"/>
  <c r="T498" i="17"/>
  <c r="O498" i="17"/>
  <c r="M498" i="17"/>
  <c r="AB498" i="17"/>
  <c r="Y498" i="17"/>
  <c r="E498" i="17"/>
  <c r="AD498" i="17"/>
  <c r="R498" i="17"/>
  <c r="AU498" i="17"/>
  <c r="AZ498" i="17"/>
  <c r="AK498" i="17"/>
  <c r="AW498" i="17"/>
  <c r="BA498" i="17"/>
  <c r="Z498" i="17"/>
  <c r="AS498" i="17"/>
  <c r="Q498" i="17"/>
  <c r="C500" i="17" l="1"/>
  <c r="Z499" i="17"/>
  <c r="AO499" i="17"/>
  <c r="AW499" i="17"/>
  <c r="AJ499" i="17"/>
  <c r="F499" i="17"/>
  <c r="AG499" i="17"/>
  <c r="G499" i="17"/>
  <c r="AN499" i="17"/>
  <c r="AV499" i="17"/>
  <c r="AY499" i="17"/>
  <c r="M499" i="17"/>
  <c r="AQ499" i="17"/>
  <c r="AX499" i="17"/>
  <c r="K499" i="17"/>
  <c r="AF499" i="17"/>
  <c r="X499" i="17"/>
  <c r="Y499" i="17"/>
  <c r="AS499" i="17"/>
  <c r="S499" i="17"/>
  <c r="AK499" i="17"/>
  <c r="AE499" i="17"/>
  <c r="I499" i="17"/>
  <c r="AC499" i="17"/>
  <c r="V499" i="17"/>
  <c r="T499" i="17"/>
  <c r="Q499" i="17"/>
  <c r="BA499" i="17"/>
  <c r="N499" i="17"/>
  <c r="AP499" i="17"/>
  <c r="AB499" i="17"/>
  <c r="J499" i="17"/>
  <c r="AM499" i="17"/>
  <c r="AR499" i="17"/>
  <c r="AD499" i="17"/>
  <c r="L499" i="17"/>
  <c r="AZ499" i="17"/>
  <c r="E499" i="17"/>
  <c r="AA499" i="17"/>
  <c r="O499" i="17"/>
  <c r="W499" i="17"/>
  <c r="AI499" i="17"/>
  <c r="AU499" i="17"/>
  <c r="AH499" i="17"/>
  <c r="AL499" i="17"/>
  <c r="U499" i="17"/>
  <c r="H499" i="17"/>
  <c r="P499" i="17"/>
  <c r="R499" i="17"/>
  <c r="D499" i="17"/>
  <c r="AT499" i="17"/>
  <c r="C501" i="17" l="1"/>
  <c r="AP500" i="17"/>
  <c r="T500" i="17"/>
  <c r="AK500" i="17"/>
  <c r="AE500" i="17"/>
  <c r="K500" i="17"/>
  <c r="E500" i="17"/>
  <c r="AS500" i="17"/>
  <c r="L500" i="17"/>
  <c r="AF500" i="17"/>
  <c r="AT500" i="17"/>
  <c r="R500" i="17"/>
  <c r="AQ500" i="17"/>
  <c r="S500" i="17"/>
  <c r="AR500" i="17"/>
  <c r="AW500" i="17"/>
  <c r="AO500" i="17"/>
  <c r="AU500" i="17"/>
  <c r="D500" i="17"/>
  <c r="AV500" i="17"/>
  <c r="AJ500" i="17"/>
  <c r="V500" i="17"/>
  <c r="AB500" i="17"/>
  <c r="AI500" i="17"/>
  <c r="AL500" i="17"/>
  <c r="W500" i="17"/>
  <c r="Y500" i="17"/>
  <c r="H500" i="17"/>
  <c r="Z500" i="17"/>
  <c r="N500" i="17"/>
  <c r="AD500" i="17"/>
  <c r="M500" i="17"/>
  <c r="G500" i="17"/>
  <c r="AN500" i="17"/>
  <c r="AM500" i="17"/>
  <c r="AZ500" i="17"/>
  <c r="J500" i="17"/>
  <c r="AY500" i="17"/>
  <c r="AA500" i="17"/>
  <c r="I500" i="17"/>
  <c r="X500" i="17"/>
  <c r="BA500" i="17"/>
  <c r="F500" i="17"/>
  <c r="U500" i="17"/>
  <c r="AC500" i="17"/>
  <c r="AX500" i="17"/>
  <c r="AH500" i="17"/>
  <c r="Q500" i="17"/>
  <c r="AG500" i="17"/>
  <c r="P500" i="17"/>
  <c r="O500" i="17"/>
  <c r="C502" i="17" l="1"/>
  <c r="AR502" i="17"/>
  <c r="BA501" i="17"/>
  <c r="AH501" i="17"/>
  <c r="AL501" i="17"/>
  <c r="AE502" i="17"/>
  <c r="AS501" i="17"/>
  <c r="BA502" i="17"/>
  <c r="AV502" i="17"/>
  <c r="AL502" i="17"/>
  <c r="AG501" i="17"/>
  <c r="AX502" i="17"/>
  <c r="AZ502" i="17"/>
  <c r="AF502" i="17"/>
  <c r="Z502" i="17"/>
  <c r="P502" i="17"/>
  <c r="AM501" i="17"/>
  <c r="AN501" i="17"/>
  <c r="W502" i="17"/>
  <c r="AQ501" i="17"/>
  <c r="R502" i="17"/>
  <c r="L502" i="17"/>
  <c r="AX501" i="17"/>
  <c r="O502" i="17"/>
  <c r="G502" i="17"/>
  <c r="AD501" i="17"/>
  <c r="AR501" i="17"/>
  <c r="E501" i="17"/>
  <c r="Y501" i="17"/>
  <c r="AE501" i="17"/>
  <c r="AU501" i="17"/>
  <c r="I502" i="17"/>
  <c r="T501" i="17"/>
  <c r="AB502" i="17"/>
  <c r="Q502" i="17"/>
  <c r="P501" i="17"/>
  <c r="D502" i="17"/>
  <c r="AZ501" i="17"/>
  <c r="AC501" i="17"/>
  <c r="X502" i="17"/>
  <c r="AG502" i="17"/>
  <c r="AP502" i="17"/>
  <c r="U501" i="17"/>
  <c r="AK501" i="17"/>
  <c r="AK502" i="17"/>
  <c r="AJ501" i="17"/>
  <c r="D501" i="17"/>
  <c r="AI501" i="17"/>
  <c r="AM502" i="17"/>
  <c r="F502" i="17"/>
  <c r="AO502" i="17"/>
  <c r="AT501" i="17"/>
  <c r="AA501" i="17"/>
  <c r="AA502" i="17"/>
  <c r="K501" i="17"/>
  <c r="AY501" i="17"/>
  <c r="N502" i="17"/>
  <c r="AY502" i="17"/>
  <c r="E502" i="17"/>
  <c r="S502" i="17"/>
  <c r="AQ502" i="17"/>
  <c r="T502" i="17"/>
  <c r="S501" i="17"/>
  <c r="AU502" i="17"/>
  <c r="G501" i="17"/>
  <c r="I501" i="17"/>
  <c r="J501" i="17"/>
  <c r="N501" i="17"/>
  <c r="K502" i="17"/>
  <c r="M501" i="17"/>
  <c r="AN502" i="17"/>
  <c r="AV501" i="17"/>
  <c r="V502" i="17"/>
  <c r="O501" i="17"/>
  <c r="AS502" i="17"/>
  <c r="H502" i="17"/>
  <c r="AO501" i="17"/>
  <c r="AT502" i="17"/>
  <c r="AW502" i="17"/>
  <c r="H501" i="17"/>
  <c r="AB501" i="17"/>
  <c r="U502" i="17"/>
  <c r="AC502" i="17"/>
  <c r="W501" i="17"/>
  <c r="AP501" i="17"/>
  <c r="AW501" i="17"/>
  <c r="F501" i="17"/>
  <c r="X501" i="17"/>
  <c r="AD502" i="17"/>
  <c r="R501" i="17"/>
  <c r="AI502" i="17"/>
  <c r="J502" i="17"/>
  <c r="AJ502" i="17"/>
  <c r="Q501" i="17"/>
  <c r="V501" i="17"/>
  <c r="Z501" i="17"/>
  <c r="M502" i="17"/>
  <c r="AH502" i="17"/>
  <c r="Y502" i="17"/>
  <c r="AF501" i="17"/>
  <c r="L501" i="17"/>
  <c r="A6" i="17" l="1"/>
  <c r="A9" i="17"/>
  <c r="BC130" i="17" l="1"/>
  <c r="BC475" i="17"/>
  <c r="BC342" i="17"/>
  <c r="BC328" i="17"/>
  <c r="BC72" i="17"/>
  <c r="BC344" i="17"/>
  <c r="BC202" i="17"/>
  <c r="BC281" i="17"/>
  <c r="BC336" i="17"/>
  <c r="BC75" i="17"/>
  <c r="BC335" i="17"/>
  <c r="BC275" i="17"/>
  <c r="BC158" i="17"/>
  <c r="BC473" i="17"/>
  <c r="BC153" i="17"/>
  <c r="BC18" i="17"/>
  <c r="BC428" i="17"/>
  <c r="BC137" i="17"/>
  <c r="BC461" i="17"/>
  <c r="BC2" i="17"/>
  <c r="BC369" i="17"/>
  <c r="BC149" i="17"/>
  <c r="BC235" i="17"/>
  <c r="BC432" i="17"/>
  <c r="BC173" i="17"/>
  <c r="BC394" i="17"/>
  <c r="BC51" i="17"/>
  <c r="BC219" i="17"/>
  <c r="BC122" i="17"/>
  <c r="BC385" i="17"/>
  <c r="BC26" i="17"/>
  <c r="BC446" i="17"/>
  <c r="BC353" i="17"/>
  <c r="BC320" i="17"/>
  <c r="BC194" i="17"/>
  <c r="BC278" i="17"/>
  <c r="BC462" i="17"/>
  <c r="BC348" i="17"/>
  <c r="BC10" i="17"/>
  <c r="BC178" i="17"/>
  <c r="BC403" i="17"/>
  <c r="BC283" i="17"/>
  <c r="BC482" i="17"/>
  <c r="BC159" i="17"/>
  <c r="BC388" i="17"/>
  <c r="BC331" i="17"/>
  <c r="BC397" i="17"/>
  <c r="BC48" i="17"/>
  <c r="BC205" i="17"/>
  <c r="BC155" i="17"/>
  <c r="BC440" i="17"/>
  <c r="BC210" i="17"/>
  <c r="BC215" i="17"/>
  <c r="BC123" i="17"/>
  <c r="BC241" i="17"/>
  <c r="BC426" i="17"/>
  <c r="BC445" i="17"/>
  <c r="BC166" i="17"/>
  <c r="BC330" i="17"/>
  <c r="BC169" i="17"/>
  <c r="BC7" i="17"/>
  <c r="BC185" i="17"/>
  <c r="BC177" i="17"/>
  <c r="BC44" i="17"/>
  <c r="BC138" i="17"/>
  <c r="BC187" i="17"/>
  <c r="BC86" i="17"/>
  <c r="BC82" i="17"/>
  <c r="BC425" i="17"/>
  <c r="BC35" i="17"/>
  <c r="BC322" i="17"/>
  <c r="BC300" i="17"/>
  <c r="BC406" i="17"/>
  <c r="BC374" i="17"/>
  <c r="BC116" i="17"/>
  <c r="BC354" i="17"/>
  <c r="BC207" i="17"/>
  <c r="BC393" i="17"/>
  <c r="BC379" i="17"/>
  <c r="BC429" i="17"/>
  <c r="BC74" i="17"/>
  <c r="BC19" i="17"/>
  <c r="BC265" i="17"/>
  <c r="BC481" i="17"/>
  <c r="BC499" i="17"/>
  <c r="BC456" i="17"/>
  <c r="BC223" i="17"/>
  <c r="BC257" i="17"/>
  <c r="BC243" i="17"/>
  <c r="BC325" i="17"/>
  <c r="BC352" i="17"/>
  <c r="BC288" i="17"/>
  <c r="BC376" i="17"/>
  <c r="BC375" i="17"/>
  <c r="BC497" i="17"/>
  <c r="BC399" i="17"/>
  <c r="BC125" i="17"/>
  <c r="BC401" i="17"/>
  <c r="BC214" i="17"/>
  <c r="BC341" i="17"/>
  <c r="BC30" i="17"/>
  <c r="BC115" i="17"/>
  <c r="BC373" i="17"/>
  <c r="BC39" i="17"/>
  <c r="BC225" i="17"/>
  <c r="BC126" i="17"/>
  <c r="BC459" i="17"/>
  <c r="BC488" i="17"/>
  <c r="BC156" i="17"/>
  <c r="BC363" i="17"/>
  <c r="BC78" i="17"/>
  <c r="BC472" i="17"/>
  <c r="BC167" i="17"/>
  <c r="BC284" i="17"/>
  <c r="BC411" i="17"/>
  <c r="BC347" i="17"/>
  <c r="BC127" i="17"/>
  <c r="BC289" i="17"/>
  <c r="BC364" i="17"/>
  <c r="BC104" i="17"/>
  <c r="BC100" i="17"/>
  <c r="BC314" i="17"/>
  <c r="BC316" i="17"/>
  <c r="BC161" i="17"/>
  <c r="BC46" i="17"/>
  <c r="BC293" i="17"/>
  <c r="BC409" i="17"/>
  <c r="BC229" i="17"/>
  <c r="BC424" i="17"/>
  <c r="BC453" i="17"/>
  <c r="BC321" i="17"/>
  <c r="BC264" i="17"/>
  <c r="BC68" i="17"/>
  <c r="BC199" i="17"/>
  <c r="BC467" i="17"/>
  <c r="BC94" i="17"/>
  <c r="BC208" i="17"/>
  <c r="BC16" i="17"/>
  <c r="BC96" i="17"/>
  <c r="BC430" i="17"/>
  <c r="BC436" i="17"/>
  <c r="BC230" i="17"/>
  <c r="BC102" i="17"/>
  <c r="BC485" i="17"/>
  <c r="BC404" i="17"/>
  <c r="BC415" i="17"/>
  <c r="BC56" i="17"/>
  <c r="BC42" i="17"/>
  <c r="BC287" i="17"/>
  <c r="BC34" i="17"/>
  <c r="BC313" i="17"/>
  <c r="BC67" i="17"/>
  <c r="BC480" i="17"/>
  <c r="BC468" i="17"/>
  <c r="BC175" i="17"/>
  <c r="BC312" i="17"/>
  <c r="BC251" i="17"/>
  <c r="BC183" i="17"/>
  <c r="BC258" i="17"/>
  <c r="BC395" i="17"/>
  <c r="BC209" i="17"/>
  <c r="BC439" i="17"/>
  <c r="BC377" i="17"/>
  <c r="BC496" i="17"/>
  <c r="BC476" i="17"/>
  <c r="BC466" i="17"/>
  <c r="BC386" i="17"/>
  <c r="BC11" i="17"/>
  <c r="BC437" i="17"/>
  <c r="BC193" i="17"/>
  <c r="BC64" i="17"/>
  <c r="BC248" i="17"/>
  <c r="BC216" i="17"/>
  <c r="BC3" i="17"/>
  <c r="BC238" i="17"/>
  <c r="BC189" i="17"/>
  <c r="BC79" i="17"/>
  <c r="BC240" i="17"/>
  <c r="BC50" i="17"/>
  <c r="BC9" i="17"/>
  <c r="BC431" i="17"/>
  <c r="BC297" i="17"/>
  <c r="BC269" i="17"/>
  <c r="BC191" i="17"/>
  <c r="BC384" i="17"/>
  <c r="BC196" i="17"/>
  <c r="BC154" i="17"/>
  <c r="BC84" i="17"/>
  <c r="BC358" i="17"/>
  <c r="BC378" i="17"/>
  <c r="BC444" i="17"/>
  <c r="BC271" i="17"/>
  <c r="BC294" i="17"/>
  <c r="BC416" i="17"/>
  <c r="BC114" i="17"/>
  <c r="BC310" i="17"/>
  <c r="BC90" i="17"/>
  <c r="BC419" i="17"/>
  <c r="BC140" i="17"/>
  <c r="BC308" i="17"/>
  <c r="BC464" i="17"/>
  <c r="BC498" i="17"/>
  <c r="BC108" i="17"/>
  <c r="BC80" i="17"/>
  <c r="BC391" i="17"/>
  <c r="BC307" i="17"/>
  <c r="BC171" i="17"/>
  <c r="BC164" i="17"/>
  <c r="BC181" i="17"/>
  <c r="BC414" i="17"/>
  <c r="BC315" i="17"/>
  <c r="BC198" i="17"/>
  <c r="BC76" i="17"/>
  <c r="BC95" i="17"/>
  <c r="BC329" i="17"/>
  <c r="BC4" i="17"/>
  <c r="BC21" i="17"/>
  <c r="BC298" i="17"/>
  <c r="BC33" i="17"/>
  <c r="BC392" i="17"/>
  <c r="BC491" i="17"/>
  <c r="BC359" i="17"/>
  <c r="BC301" i="17"/>
  <c r="BC447" i="17"/>
  <c r="BC402" i="17"/>
  <c r="BC97" i="17"/>
  <c r="BC433" i="17"/>
  <c r="BC387" i="17"/>
  <c r="BC246" i="17"/>
  <c r="BC222" i="17"/>
  <c r="BC160" i="17"/>
  <c r="BC53" i="17"/>
  <c r="BC146" i="17"/>
  <c r="BC422" i="17"/>
  <c r="BC418" i="17"/>
  <c r="BC318" i="17"/>
  <c r="BC306" i="17"/>
  <c r="BC184" i="17"/>
  <c r="BC494" i="17"/>
  <c r="BC192" i="17"/>
  <c r="BC346" i="17"/>
  <c r="BC371" i="17"/>
  <c r="BC197" i="17"/>
  <c r="BC14" i="17"/>
  <c r="BC449" i="17"/>
  <c r="BC295" i="17"/>
  <c r="BC77" i="17"/>
  <c r="BC372" i="17"/>
  <c r="BC165" i="17"/>
  <c r="BC89" i="17"/>
  <c r="BC143" i="17"/>
  <c r="BC266" i="17"/>
  <c r="BC383" i="17"/>
  <c r="BC260" i="17"/>
  <c r="BC450" i="17"/>
  <c r="BC110" i="17"/>
  <c r="BC118" i="17"/>
  <c r="BC390" i="17"/>
  <c r="BC452" i="17"/>
  <c r="BC226" i="17"/>
  <c r="BC305" i="17"/>
  <c r="BC6" i="17"/>
  <c r="BC319" i="17"/>
  <c r="BC103" i="17"/>
  <c r="BC201" i="17"/>
  <c r="BC134" i="17"/>
  <c r="BC231" i="17"/>
  <c r="BC454" i="17"/>
  <c r="BC113" i="17"/>
  <c r="BC332" i="17"/>
  <c r="BC163" i="17"/>
  <c r="BC309" i="17"/>
  <c r="BC280" i="17"/>
  <c r="BC111" i="17"/>
  <c r="BC339" i="17"/>
  <c r="BC474" i="17"/>
  <c r="BC458" i="17"/>
  <c r="BC98" i="17"/>
  <c r="BC469" i="17"/>
  <c r="BC71" i="17"/>
  <c r="BC220" i="17"/>
  <c r="BC45" i="17"/>
  <c r="BC69" i="17"/>
  <c r="BC204" i="17"/>
  <c r="BC247" i="17"/>
  <c r="BC180" i="17"/>
  <c r="BC483" i="17"/>
  <c r="BC144" i="17"/>
  <c r="BC303" i="17"/>
  <c r="BC250" i="17"/>
  <c r="BC495" i="17"/>
  <c r="BC285" i="17"/>
  <c r="BC112" i="17"/>
  <c r="BC150" i="17"/>
  <c r="BC441" i="17"/>
  <c r="BC195" i="17"/>
  <c r="BC360" i="17"/>
  <c r="BC66" i="17"/>
  <c r="BC135" i="17"/>
  <c r="BC277" i="17"/>
  <c r="BC232" i="17"/>
  <c r="BC37" i="17"/>
  <c r="BC370" i="17"/>
  <c r="BC442" i="17"/>
  <c r="BC242" i="17"/>
  <c r="BC70" i="17"/>
  <c r="BC368" i="17"/>
  <c r="BC326" i="17"/>
  <c r="BC31" i="17"/>
  <c r="BC203" i="17"/>
  <c r="BC410" i="17"/>
  <c r="BC412" i="17"/>
  <c r="BC327" i="17"/>
  <c r="BC255" i="17"/>
  <c r="BC408" i="17"/>
  <c r="BC279" i="17"/>
  <c r="BC333" i="17"/>
  <c r="BC237" i="17"/>
  <c r="BC24" i="17"/>
  <c r="BC244" i="17"/>
  <c r="BC267" i="17"/>
  <c r="BC109" i="17"/>
  <c r="BC49" i="17"/>
  <c r="BC233" i="17"/>
  <c r="BC263" i="17"/>
  <c r="BC147" i="17"/>
  <c r="BC367" i="17"/>
  <c r="BC299" i="17"/>
  <c r="BC463" i="17"/>
  <c r="BC227" i="17"/>
  <c r="BC381" i="17"/>
  <c r="BC47" i="17"/>
  <c r="BC365" i="17"/>
  <c r="BC268" i="17"/>
  <c r="BC176" i="17"/>
  <c r="BC228" i="17"/>
  <c r="BC73" i="17"/>
  <c r="BC28" i="17"/>
  <c r="BC334" i="17"/>
  <c r="BC174" i="17"/>
  <c r="BC343" i="17"/>
  <c r="BC217" i="17"/>
  <c r="BC405" i="17"/>
  <c r="BC477" i="17"/>
  <c r="BC106" i="17"/>
  <c r="BC489" i="17"/>
  <c r="BC478" i="17"/>
  <c r="BC152" i="17"/>
  <c r="BC172" i="17"/>
  <c r="BC356" i="17"/>
  <c r="BC65" i="17"/>
  <c r="BC345" i="17"/>
  <c r="BC382" i="17"/>
  <c r="BC398" i="17"/>
  <c r="BC121" i="17"/>
  <c r="BC487" i="17"/>
  <c r="BC296" i="17"/>
  <c r="BC417" i="17"/>
  <c r="BC350" i="17"/>
  <c r="BC145" i="17"/>
  <c r="BC413" i="17"/>
  <c r="BC340" i="17"/>
  <c r="BC427" i="17"/>
  <c r="BC380" i="17"/>
  <c r="BC471" i="17"/>
  <c r="BC366" i="17"/>
  <c r="BC157" i="17"/>
  <c r="BC457" i="17"/>
  <c r="BC63" i="17"/>
  <c r="BC91" i="17"/>
  <c r="BC162" i="17"/>
  <c r="BC25" i="17"/>
  <c r="BC324" i="17"/>
  <c r="BC12" i="17"/>
  <c r="BC8" i="17"/>
  <c r="BC139" i="17"/>
  <c r="BC83" i="17"/>
  <c r="BC282" i="17"/>
  <c r="BC41" i="17"/>
  <c r="BC85" i="17"/>
  <c r="BC188" i="17"/>
  <c r="BC435" i="17"/>
  <c r="BC396" i="17"/>
  <c r="BC460" i="17"/>
  <c r="BC218" i="17"/>
  <c r="BC200" i="17"/>
  <c r="BC351" i="17"/>
  <c r="BC17" i="17"/>
  <c r="BC124" i="17"/>
  <c r="BC55" i="17"/>
  <c r="BC168" i="17"/>
  <c r="BC337" i="17"/>
  <c r="BC120" i="17"/>
  <c r="BC438" i="17"/>
  <c r="BC148" i="17"/>
  <c r="BC484" i="17"/>
  <c r="BC92" i="17"/>
  <c r="BC182" i="17"/>
  <c r="BC99" i="17"/>
  <c r="BC213" i="17"/>
  <c r="BC234" i="17"/>
  <c r="BC256" i="17"/>
  <c r="BC27" i="17"/>
  <c r="BC470" i="17"/>
  <c r="BC486" i="17"/>
  <c r="BC451" i="17"/>
  <c r="BC88" i="17"/>
  <c r="BC361" i="17"/>
  <c r="BC302" i="17"/>
  <c r="BC59" i="17"/>
  <c r="BC40" i="17"/>
  <c r="BC236" i="17"/>
  <c r="BC32" i="17"/>
  <c r="BC420" i="17"/>
  <c r="BC500" i="17"/>
  <c r="BC136" i="17"/>
  <c r="BC141" i="17"/>
  <c r="BC501" i="17"/>
  <c r="BC443" i="17"/>
  <c r="BC274" i="17"/>
  <c r="BC87" i="17"/>
  <c r="BC362" i="17"/>
  <c r="BC23" i="17"/>
  <c r="BC434" i="17"/>
  <c r="BC249" i="17"/>
  <c r="BC212" i="17"/>
  <c r="BC131" i="17"/>
  <c r="BC349" i="17"/>
  <c r="BC338" i="17"/>
  <c r="BC273" i="17"/>
  <c r="BC101" i="17"/>
  <c r="BC479" i="17"/>
  <c r="BC407" i="17"/>
  <c r="BC93" i="17"/>
  <c r="BC254" i="17"/>
  <c r="BC239" i="17"/>
  <c r="BC221" i="17"/>
  <c r="BC186" i="17"/>
  <c r="BC142" i="17"/>
  <c r="BC272" i="17"/>
  <c r="BC170" i="17"/>
  <c r="BC490" i="17"/>
  <c r="BC245" i="17"/>
  <c r="BC252" i="17"/>
  <c r="BC133" i="17"/>
  <c r="BC270" i="17"/>
  <c r="BC132" i="17"/>
  <c r="BC493" i="17"/>
  <c r="BC15" i="17"/>
  <c r="BC5" i="17"/>
  <c r="BC261" i="17"/>
  <c r="BC355" i="17"/>
  <c r="BC20" i="17"/>
  <c r="BC43" i="17"/>
  <c r="BC206" i="17"/>
  <c r="BC57" i="17"/>
  <c r="BC105" i="17"/>
  <c r="BC400" i="17"/>
  <c r="BC22" i="17"/>
  <c r="BC421" i="17"/>
  <c r="BC304" i="17"/>
  <c r="BC107" i="17"/>
  <c r="BC291" i="17"/>
  <c r="BC151" i="17"/>
  <c r="BC58" i="17"/>
  <c r="BC52" i="17"/>
  <c r="BC128" i="17"/>
  <c r="BC38" i="17"/>
  <c r="BC455" i="17"/>
  <c r="BC253" i="17"/>
  <c r="BC54" i="17"/>
  <c r="BC357" i="17"/>
  <c r="BC61" i="17"/>
  <c r="BC81" i="17"/>
  <c r="BC119" i="17"/>
  <c r="BC224" i="17"/>
  <c r="BC13" i="17"/>
  <c r="BC389" i="17"/>
  <c r="BC286" i="17"/>
  <c r="BC262" i="17"/>
  <c r="BC259" i="17"/>
  <c r="BC311" i="17"/>
  <c r="BC290" i="17"/>
  <c r="BC60" i="17"/>
  <c r="BC317" i="17"/>
  <c r="BC465" i="17"/>
  <c r="BC117" i="17"/>
  <c r="BC423" i="17"/>
  <c r="BC190" i="17"/>
  <c r="BC492" i="17"/>
  <c r="BC29" i="17"/>
  <c r="BC292" i="17"/>
  <c r="BC276" i="17"/>
  <c r="BC36" i="17"/>
  <c r="BC129" i="17"/>
  <c r="BC179" i="17"/>
  <c r="BC502" i="17"/>
  <c r="BC211" i="17"/>
  <c r="BC448" i="17"/>
  <c r="BC62" i="17"/>
  <c r="BC323" i="17"/>
</calcChain>
</file>

<file path=xl/comments1.xml><?xml version="1.0" encoding="utf-8"?>
<comments xmlns="http://schemas.openxmlformats.org/spreadsheetml/2006/main" xmlns:mc="http://schemas.openxmlformats.org/markup-compatibility/2006" xmlns:xr="http://schemas.microsoft.com/office/spreadsheetml/2014/revision" mc:Ignorable="xr">
  <authors>
    <author>Prust, Mitchell</author>
  </authors>
  <commentList>
    <comment ref="I16" authorId="0" shapeId="0" xr:uid="{08D4E078-E0A2-4C64-8833-FAE00F3D45F3}">
      <text>
        <r>
          <rPr>
            <sz val="9"/>
            <color indexed="81"/>
            <rFont val="Tahoma"/>
            <family val="2"/>
          </rPr>
          <t>A blank name here indicates the member has not been created yet.</t>
        </r>
        <r>
          <rPr>
            <sz val="9"/>
            <color indexed="81"/>
            <rFont val="Tahoma"/>
            <family val="2"/>
          </rPr>
          <t xml:space="preserve">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Prust, Mitchell</author>
    <author>Author</author>
    <author>Note</author>
  </authors>
  <commentList>
    <comment ref="O9" authorId="0" shapeId="0" xr:uid="{00FCCC2B-29B6-427B-B81D-8FA46AED6660}">
      <text>
        <r>
          <rPr>
            <b/>
            <sz val="9"/>
            <color indexed="81"/>
            <rFont val="Tahoma"/>
            <family val="2"/>
          </rPr>
          <t xml:space="preserve">Note:
</t>
        </r>
        <r>
          <rPr>
            <sz val="9"/>
            <color indexed="81"/>
            <rFont val="Tahoma"/>
            <family val="2"/>
          </rPr>
          <t>Necessary for Guyed towers when splitting the leg load at the time of the modification for either the split pipe design/analysis or the bolted connection design.</t>
        </r>
      </text>
    </comment>
    <comment ref="G21" authorId="1" shapeId="0" xr:uid="{00000000-0006-0000-0000-000001000000}">
      <text>
        <r>
          <rPr>
            <b/>
            <sz val="9"/>
            <color indexed="81"/>
            <rFont val="Tahoma"/>
            <family val="2"/>
          </rPr>
          <t>Note:</t>
        </r>
        <r>
          <rPr>
            <sz val="9"/>
            <color indexed="81"/>
            <rFont val="Tahoma"/>
            <family val="2"/>
          </rPr>
          <t xml:space="preserve">
Only applies if bending is checked; i.e. Applied load = Eccentric.
Set cell to P-Delta if P-Delta analysis was used in TNX.
 [If P-Delta analysis was considered, B1 is set to 1.0 per TIA (G and H) 4.8.1]</t>
        </r>
      </text>
    </comment>
    <comment ref="G25" authorId="0" shapeId="0" xr:uid="{D355C56D-49F4-4813-844C-0262E61B8711}">
      <text>
        <r>
          <rPr>
            <b/>
            <sz val="9"/>
            <color indexed="81"/>
            <rFont val="Tahoma"/>
            <family val="2"/>
          </rPr>
          <t xml:space="preserve">Note:
</t>
        </r>
        <r>
          <rPr>
            <sz val="9"/>
            <color indexed="81"/>
            <rFont val="Tahoma"/>
            <family val="2"/>
          </rPr>
          <t>This only applies to Effective Length Factor of the Split Pipe for existing structures. It should only be utilized when the intermediate connector spacing requirement is exceeded. Leave this blank to allow the tool to auto-calculate this value. Refer to ENG-MAP-10383 Split Pipe Design Methodology:
1.0 - the modification design did not use an effective length factor
0.86 – the modification design used an effective length factor, but information on what factor was used is unavailable
0.8 – the modification design used an effective length factor, but the factor used was less than 0.8
Other – the modification design used an effective length factor, the information on the factor is available, and the factor is greater than 0.8.  In this condition, the effective length factor used during modification is the one that should be used for analysis.</t>
        </r>
        <r>
          <rPr>
            <b/>
            <sz val="9"/>
            <color indexed="81"/>
            <rFont val="Tahoma"/>
            <family val="2"/>
          </rPr>
          <t xml:space="preserve"> </t>
        </r>
        <r>
          <rPr>
            <sz val="9"/>
            <color indexed="81"/>
            <rFont val="Tahoma"/>
            <family val="2"/>
          </rPr>
          <t xml:space="preserve">
</t>
        </r>
      </text>
    </comment>
    <comment ref="G29" authorId="0" shapeId="0" xr:uid="{9DEE1804-EC49-4C0C-83C6-C3560A4A06AA}">
      <text>
        <r>
          <rPr>
            <b/>
            <sz val="9"/>
            <color indexed="81"/>
            <rFont val="Tahoma"/>
            <family val="2"/>
          </rPr>
          <t>Note:</t>
        </r>
        <r>
          <rPr>
            <sz val="9"/>
            <color indexed="81"/>
            <rFont val="Tahoma"/>
            <family val="2"/>
          </rPr>
          <t xml:space="preserve">
For pipe with Fy &gt; 52 ksi, enter design thickness. Otherwise, enter nominal thickness.
EXCEPTION: For A1085 HSS, enter nominal thickness for all grades.</t>
        </r>
      </text>
    </comment>
    <comment ref="G34" authorId="2" shapeId="0" xr:uid="{00000000-0006-0000-0000-000002000000}">
      <text>
        <r>
          <rPr>
            <b/>
            <sz val="9"/>
            <color indexed="81"/>
            <rFont val="Tahoma"/>
            <family val="2"/>
          </rPr>
          <t>Note:</t>
        </r>
        <r>
          <rPr>
            <sz val="9"/>
            <color indexed="81"/>
            <rFont val="Tahoma"/>
            <family val="2"/>
          </rPr>
          <t xml:space="preserve">
Information will be automatically populated if Form Fit</t>
        </r>
      </text>
    </comment>
    <comment ref="P39" authorId="2" shapeId="0" xr:uid="{00000000-0006-0000-0000-000003000000}">
      <text>
        <r>
          <rPr>
            <b/>
            <sz val="9"/>
            <color indexed="81"/>
            <rFont val="Tahoma"/>
            <family val="2"/>
          </rPr>
          <t>Note:</t>
        </r>
        <r>
          <rPr>
            <sz val="9"/>
            <color indexed="81"/>
            <rFont val="Tahoma"/>
            <family val="2"/>
          </rPr>
          <t xml:space="preserve">
of Original Pipe/SR Leg Member only</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Note</author>
  </authors>
  <commentList>
    <comment ref="Q22" authorId="0" shapeId="0" xr:uid="{2BDD95B9-5DEA-4233-BFB5-325DDB456C1C}">
      <text>
        <r>
          <rPr>
            <b/>
            <sz val="9"/>
            <color indexed="81"/>
            <rFont val="Tahoma"/>
            <family val="2"/>
          </rPr>
          <t>Note:</t>
        </r>
        <r>
          <rPr>
            <sz val="9"/>
            <color indexed="81"/>
            <rFont val="Tahoma"/>
            <family val="2"/>
          </rPr>
          <t xml:space="preserve">
Orientation 1: (1) flange bolt in line with the heel of the split pipe
Orientation 2: (2) flange bolts equidistant from the extreme fiber of the split pipe
This input helps define the moment arm distance used to check the applied tension in the U-bolts.</t>
        </r>
      </text>
    </comment>
    <comment ref="Q26" authorId="0" shapeId="0" xr:uid="{8DB92614-0360-45A1-B62A-4160486ADC0A}">
      <text>
        <r>
          <rPr>
            <b/>
            <sz val="9"/>
            <color indexed="81"/>
            <rFont val="Tahoma"/>
            <family val="2"/>
          </rPr>
          <t>Note:</t>
        </r>
        <r>
          <rPr>
            <sz val="9"/>
            <color indexed="81"/>
            <rFont val="Tahoma"/>
            <family val="2"/>
          </rPr>
          <t xml:space="preserve">
Orientation 1: (1) flange bolt in line with the heel of the split pipe
Orientation 2: (2) flange bolts equidistant from the extreme fiber of the split pipe
This input helps define the moment arm distance used to check the applied tension in the U-bolts.</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Prust, Mitchell</author>
  </authors>
  <commentList>
    <comment ref="D28" authorId="0" shapeId="0" xr:uid="{313FB899-9202-4D8D-81C0-53CD215FDDFB}">
      <text>
        <r>
          <rPr>
            <b/>
            <sz val="9"/>
            <color indexed="81"/>
            <rFont val="Tahoma"/>
            <family val="2"/>
          </rPr>
          <t>Note:</t>
        </r>
        <r>
          <rPr>
            <sz val="9"/>
            <color indexed="81"/>
            <rFont val="Tahoma"/>
            <family val="2"/>
          </rPr>
          <t xml:space="preserve">
Uses KL/rib for Split Pipe if (KL/r)i / (KL/r)o &gt;= 0.75 AND &lt;= 1.0. Uses the capacity of the leg if &gt; 1.0.</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Prust, Mitchell</author>
  </authors>
  <commentList>
    <comment ref="D31" authorId="0" shapeId="0" xr:uid="{B9F8A793-80AE-44D6-B34C-D8C51386C3FD}">
      <text>
        <r>
          <rPr>
            <b/>
            <sz val="9"/>
            <color indexed="81"/>
            <rFont val="Tahoma"/>
            <family val="2"/>
          </rPr>
          <t xml:space="preserve">Note:
</t>
        </r>
        <r>
          <rPr>
            <sz val="9"/>
            <color indexed="81"/>
            <rFont val="Tahoma"/>
            <family val="2"/>
          </rPr>
          <t>Uses KL/rib for Split Pipe if (KL/r)i / (KL/r)o &gt;= 0.75 AND &lt;= 1.0. Uses the capacity of the leg if &gt; 1.0.</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Juedemann, Samantha</author>
    <author>Note</author>
  </authors>
  <commentList>
    <comment ref="M2" authorId="0" shapeId="0" xr:uid="{00000000-0006-0000-0500-000001000000}">
      <text>
        <r>
          <rPr>
            <b/>
            <sz val="9"/>
            <color indexed="81"/>
            <rFont val="Tahoma"/>
            <family val="2"/>
          </rPr>
          <t>Juedemann, Samantha:</t>
        </r>
        <r>
          <rPr>
            <sz val="9"/>
            <color indexed="81"/>
            <rFont val="Tahoma"/>
            <family val="2"/>
          </rPr>
          <t xml:space="preserve">
This distance is the measure of the top of the leg to the top of the form fit 
Calculates for each section, and will only be accurate for the section input in the Summary.</t>
        </r>
      </text>
    </comment>
    <comment ref="B12" authorId="1" shapeId="0" xr:uid="{00000000-0006-0000-0500-000002000000}">
      <text>
        <r>
          <rPr>
            <b/>
            <sz val="9"/>
            <color indexed="81"/>
            <rFont val="Tahoma"/>
            <family val="2"/>
          </rPr>
          <t>Note:</t>
        </r>
        <r>
          <rPr>
            <sz val="9"/>
            <color indexed="81"/>
            <rFont val="Tahoma"/>
            <family val="2"/>
          </rPr>
          <t xml:space="preserve">
estimated length; does not impact any calculations</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0000000-0015-0000-FFFF-FFFF00000000}" name="2020054_APP480626_842007" type="6" refreshedVersion="0" deleted="1" background="1" saveData="1">
    <textPr prompt="0" sourceFile="C:\Users\mprust\OneDrive - Crown Castle USA Inc\Desktop\CCI Tools\SA Automation\Leg Reinforcement\2020054_APP480626_842007.eri">
      <textFields>
        <textField/>
      </textFields>
    </textPr>
  </connection>
  <connection id="2" xr16:uid="{00000000-0015-0000-FFFF-FFFF01000000}" name="2020054_APP480626_842007 - TEST" type="6" refreshedVersion="0" deleted="1" background="1" saveData="1">
    <textPr prompt="0" sourceFile="C:\Users\mprust\OneDrive - Crown Castle USA Inc\Desktop\CCI Tools\SA Automation\Leg Reinforcement\2020054_APP480626_842007 - TEST.eri">
      <textFields>
        <textField/>
      </textFields>
    </textPr>
  </connection>
  <connection id="3" xr16:uid="{00000000-0015-0000-FFFF-FFFF02000000}" name="801863" type="6" refreshedVersion="6" deleted="1" background="1" saveData="1">
    <textPr prompt="0" sourceFile="C:\Users\mprust\Crown Castle USA Inc\ECS - Tools\Tools\Leg Reinforcement\Troubleshooting\Sections not pulling in from TNX fiel - Melanie\801863.eri" tab="0" qualifier="none">
      <textFields>
        <textField/>
      </textFields>
    </textPr>
  </connection>
  <connection id="4" xr16:uid="{7AE9EFF6-399B-49A7-BE36-ED1087067A52}" name="811001_RPA" type="6" refreshedVersion="6" deleted="1" background="1" saveData="1">
    <textPr prompt="0" sourceFile="C:\Users\mprust\Crown Castle USA Inc\ECS - Tools\Tools\Leg Reinforcement\Troubleshooting\Conway - TNX Result not Matching Tool\811001_RPA.eri" tab="0" qualifier="none">
      <textFields>
        <textField/>
      </textFields>
    </textPr>
  </connection>
  <connection id="5" xr16:uid="{00000000-0015-0000-FFFF-FFFF03000000}" name="812345" type="6" refreshedVersion="0" deleted="1" background="1" saveData="1">
    <textPr prompt="0" sourceFile="C:\Users\mprust\Crown Castle USA Inc\ECS - Tools\Tools\Leg Reinforcement\Development\812345.eri">
      <textFields>
        <textField/>
      </textFields>
    </textPr>
  </connection>
  <connection id="6" xr16:uid="{00000000-0015-0000-FFFF-FFFF04000000}" name="812412" type="6" refreshedVersion="0" deleted="1" background="1" saveData="1">
    <textPr prompt="0" sourceFile="C:\Users\mprust\Crown Castle USA Inc\ECS - Tools\Tools\Leg Reinforcement\Troubleshooting\ECS0019317\812412.eri">
      <textFields>
        <textField/>
      </textFields>
    </textPr>
  </connection>
  <connection id="7" xr16:uid="{00000000-0015-0000-FFFF-FFFF05000000}" name="841245 MOD" type="6" refreshedVersion="0" deleted="1" background="1" saveData="1">
    <textPr prompt="0" sourceFile="C:\Users\mprust\Crown Castle USA Inc\ECS - Tools\Tools\Leg Reinforcement\Troubleshooting\ECS0019537\from Dolly\841245 MOD.eri">
      <textFields>
        <textField/>
      </textFields>
    </textPr>
  </connection>
  <connection id="8" xr16:uid="{00000000-0015-0000-FFFF-FFFF06000000}" name="841245 MOD - Leg Reinforcement" type="6" refreshedVersion="6" deleted="1" background="1" saveData="1">
    <textPr prompt="0" sourceFile="C:\Users\mprust\Crown Castle USA Inc\ECS - Tools\Tools\Leg Reinforcement\Development\841245 MOD - Leg Reinforcement.eri" tab="0" qualifier="none">
      <textFields>
        <textField/>
      </textFields>
    </textPr>
  </connection>
  <connection id="9" xr16:uid="{00000000-0015-0000-FFFF-FFFF07000000}" name="842007" type="6" refreshedVersion="0" deleted="1" background="1" saveData="1">
    <textPr prompt="0" sourceFile="C:\Users\mprust\OneDrive - Crown Castle USA Inc\Desktop\CCI Tools\SA Automation\Leg Reinforcement\Example\842007.eri">
      <textFields>
        <textField/>
      </textFields>
    </textPr>
  </connection>
  <connection id="10" xr16:uid="{00000000-0015-0000-FFFF-FFFF08000000}" name="842007 - Leg Reinforcement" type="6" refreshedVersion="0" deleted="1" background="1" saveData="1">
    <textPr prompt="0" sourceFile="C:\Users\mprust\OneDrive - Crown Castle USA Inc\Desktop\CCI Tools\SA Automation\Leg Reinforcement\Walkthrough\842007 - Leg Reinforcement.eri">
      <textFields>
        <textField/>
      </textFields>
    </textPr>
  </connection>
  <connection id="11" xr16:uid="{00000000-0015-0000-FFFF-FFFF09000000}" name="871136_RPA" type="6" refreshedVersion="6" deleted="1" background="1" saveData="1">
    <textPr prompt="0" sourceFile="C:\Users\mprust\Crown Castle USA Inc\ECS - Tools\Tools\Leg Reinforcement\Troubleshooting\Drew - Not prompted to save\871136_RPA.eri" tab="0" qualifier="none">
      <textFields>
        <textField/>
      </textFields>
    </textPr>
  </connection>
  <connection id="12" xr16:uid="{00000000-0015-0000-FFFF-FFFF0A000000}" name="Guyed" type="6" refreshedVersion="0" deleted="1" background="1" saveData="1">
    <textPr prompt="0" sourceFile="C:\Users\mprust\OneDrive - Crown Castle USA Inc\Desktop\CCI Tools\SA Automation\Guyed.eri">
      <textFields>
        <textField/>
      </textFields>
    </textPr>
  </connection>
  <connection id="13" xr16:uid="{00000000-0015-0000-FFFF-FFFF0B000000}" name="SST" type="6" refreshedVersion="0" deleted="1" background="1" saveData="1">
    <textPr prompt="0" sourceFile="C:\Users\mprust\OneDrive - Crown Castle USA Inc\Desktop\CCI Tools\SA Automation\SST.eri" space="1" consecutive="1">
      <textFields>
        <textField/>
      </textFields>
    </textPr>
  </connection>
  <connection id="14" xr16:uid="{00000000-0015-0000-FFFF-FFFF0C000000}" name="Untitled" type="6" refreshedVersion="6" deleted="1" background="1" saveData="1">
    <textPr prompt="0" sourceFile="C:\Users\mprust\OneDrive - Crown Castle USA Inc\Desktop\CCI Tools\SA Automation\Untitled.eri" tab="0" qualifier="none">
      <textFields>
        <textField/>
      </textFields>
    </textPr>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<sst xmlns="http://schemas.openxmlformats.org/spreadsheetml/2006/main" count="4631" uniqueCount="1506">
  <si>
    <t>ksi</t>
  </si>
  <si>
    <t>in</t>
  </si>
  <si>
    <t>C</t>
  </si>
  <si>
    <t>Total Area</t>
  </si>
  <si>
    <t>r (in)</t>
  </si>
  <si>
    <t>kips</t>
  </si>
  <si>
    <t>Revision History</t>
  </si>
  <si>
    <t>Revision</t>
  </si>
  <si>
    <t>Description of Change</t>
  </si>
  <si>
    <t>Date</t>
  </si>
  <si>
    <t>Created By</t>
  </si>
  <si>
    <t>Approved By</t>
  </si>
  <si>
    <t>Initial release</t>
  </si>
  <si>
    <t>FAA</t>
  </si>
  <si>
    <t>RMF</t>
  </si>
  <si>
    <t>Combine tabs</t>
  </si>
  <si>
    <t>Updated Kl/r to use Modified Kl/r and update compression forces to to be calculated for each the pipe and split pipe then be combined</t>
  </si>
  <si>
    <t>Thickness (in)</t>
  </si>
  <si>
    <t>Add D avg and t avg calcs</t>
  </si>
  <si>
    <t>Automated Area and moment of intertia calculations</t>
  </si>
  <si>
    <t>Added checking the pipe side for stress &amp; Using TIA instead of AISC for Moment capacity Mn &amp; added intermediate bolted connection check</t>
  </si>
  <si>
    <t>Add Summary Tab</t>
  </si>
  <si>
    <t>Site Data</t>
  </si>
  <si>
    <t>BU#:</t>
  </si>
  <si>
    <t>Site Name:</t>
  </si>
  <si>
    <t>Yield (Fy):</t>
  </si>
  <si>
    <t xml:space="preserve"> Thickness:</t>
  </si>
  <si>
    <t>Unbraced Length:</t>
  </si>
  <si>
    <t>Compression, Pu:</t>
  </si>
  <si>
    <t>Add built up shape database</t>
  </si>
  <si>
    <t>Limit B1 to 1, Fcr the less of the split pipe/leg, add crushing Check</t>
  </si>
  <si>
    <t>Add section 4.5.4.1 to determine the Fy for compression strength</t>
  </si>
  <si>
    <t xml:space="preserve">added limiting width thickness ratio for the split pipe check </t>
  </si>
  <si>
    <t>Rein Grade Ratio</t>
  </si>
  <si>
    <t>Outer Radius of Leg</t>
  </si>
  <si>
    <t>Inner Radius of Leg</t>
  </si>
  <si>
    <t>Outer Radius of Reinforcement</t>
  </si>
  <si>
    <t>Inner Radius of Reinforcement</t>
  </si>
  <si>
    <t>Offset of Reinforcement</t>
  </si>
  <si>
    <t>Total Area of Leg</t>
  </si>
  <si>
    <t>Total Area of Reinforcement</t>
  </si>
  <si>
    <t>Moment of Inertia of Leg</t>
  </si>
  <si>
    <t>Outer Area of Reinforcement</t>
  </si>
  <si>
    <t>Centroid of Outer Area</t>
  </si>
  <si>
    <t>Inner Area of Reinforcement</t>
  </si>
  <si>
    <t>Centroid of Inner Area</t>
  </si>
  <si>
    <t>Moment of Inertia of Outer (about its own centroid)</t>
  </si>
  <si>
    <t>Moment of Inertia of Inner (about its own centroid)</t>
  </si>
  <si>
    <t>Centroid of Reinforcement</t>
  </si>
  <si>
    <t>Moment of Inertia of Reinforcement (about its own centroid)</t>
  </si>
  <si>
    <t>Eccentricity</t>
  </si>
  <si>
    <t>PNA</t>
  </si>
  <si>
    <t>Width Across Outer Leg at PNA</t>
  </si>
  <si>
    <t>Theta Outer Leg</t>
  </si>
  <si>
    <t>Width Across Inner Leg at PNA</t>
  </si>
  <si>
    <t>Theta Inner Leg</t>
  </si>
  <si>
    <t>Theta Outer Rein.</t>
  </si>
  <si>
    <t>Width Across Inner Rein. at PNA</t>
  </si>
  <si>
    <t>Theta Inner Rein.</t>
  </si>
  <si>
    <t>Outer Area of Leg (Comp.)</t>
  </si>
  <si>
    <t>Centroid of Outer Leg (Comp.)</t>
  </si>
  <si>
    <t>Inner Area of Leg (Comp.)</t>
  </si>
  <si>
    <t>Centroid of Inner Leg (Comp.)</t>
  </si>
  <si>
    <t>Area of Leg (Comp.)</t>
  </si>
  <si>
    <t>Centroid of Leg (Comp.)</t>
  </si>
  <si>
    <t>Outer Area of Rein. (Comp.)</t>
  </si>
  <si>
    <t>Centroid of Outer Rein. (Comp.)</t>
  </si>
  <si>
    <t>Inner Area of Rein. (Comp.)</t>
  </si>
  <si>
    <t>Centroid of Inner Rein. (Comp.)</t>
  </si>
  <si>
    <t>Area of Rein. (Comp.)</t>
  </si>
  <si>
    <t>Centroid of Rein. (Comp.)</t>
  </si>
  <si>
    <t>Modified Area of Comp. Zone</t>
  </si>
  <si>
    <t>Centroid of Compression Zone</t>
  </si>
  <si>
    <t>Compression Component of Z</t>
  </si>
  <si>
    <t>Area of Leg (Ten.)</t>
  </si>
  <si>
    <t>Centroid of Leg (Ten.)</t>
  </si>
  <si>
    <t>Centroid of Rein. (Ten.)</t>
  </si>
  <si>
    <t>Modified Area of Ten. Zone</t>
  </si>
  <si>
    <t>Centroid of Tension Zone</t>
  </si>
  <si>
    <t>Tension Component of Z</t>
  </si>
  <si>
    <t>Z difference</t>
  </si>
  <si>
    <t>Plastic Modulus Zx</t>
  </si>
  <si>
    <t>Leg Data</t>
  </si>
  <si>
    <t>Width Across Outer Rein at PNA</t>
  </si>
  <si>
    <t>Circle Segments at PNA</t>
  </si>
  <si>
    <t>Compression Side</t>
  </si>
  <si>
    <t>Tension Side</t>
  </si>
  <si>
    <t>Added the ability to calculate section properties and the plastic modulus. Changed inputs as need. Reformatted summary page.</t>
  </si>
  <si>
    <t>DHS</t>
  </si>
  <si>
    <t>Area of Rein (Ten.)</t>
  </si>
  <si>
    <t>Section Properties</t>
  </si>
  <si>
    <t>Leg</t>
  </si>
  <si>
    <t>Split Pipe</t>
  </si>
  <si>
    <t>Composite Member</t>
  </si>
  <si>
    <t>KL/r</t>
  </si>
  <si>
    <t>K</t>
  </si>
  <si>
    <t>Fy</t>
  </si>
  <si>
    <t>E</t>
  </si>
  <si>
    <t>Compression Checks:</t>
  </si>
  <si>
    <t>L</t>
  </si>
  <si>
    <t>Bending Checks:</t>
  </si>
  <si>
    <t>Critical Points</t>
  </si>
  <si>
    <t>Point 1</t>
  </si>
  <si>
    <t>Point 2</t>
  </si>
  <si>
    <t>S</t>
  </si>
  <si>
    <t>Mn</t>
  </si>
  <si>
    <t>Interaction</t>
  </si>
  <si>
    <t>Capacity =</t>
  </si>
  <si>
    <t>Leg Crushing Check:</t>
  </si>
  <si>
    <t>Intermediate Connection:</t>
  </si>
  <si>
    <t>Applied Load:</t>
  </si>
  <si>
    <t>Axial</t>
  </si>
  <si>
    <t>Eccentric</t>
  </si>
  <si>
    <t>Slenderness Ratio:</t>
  </si>
  <si>
    <t>Leg Crushing:</t>
  </si>
  <si>
    <t>Reinforced Leg:</t>
  </si>
  <si>
    <t>Intermediate Spacing:</t>
  </si>
  <si>
    <t>TIA-222-G 4.5.3 Addendum 2</t>
  </si>
  <si>
    <t>kip*in</t>
  </si>
  <si>
    <t>in^3</t>
  </si>
  <si>
    <t>TIA-222-G 4.7 and 4.8</t>
  </si>
  <si>
    <t>4.7.1</t>
  </si>
  <si>
    <t>4.7.2</t>
  </si>
  <si>
    <t>4.8.1</t>
  </si>
  <si>
    <t>4.8.1.1</t>
  </si>
  <si>
    <t>TIA-222-G 4.5.4</t>
  </si>
  <si>
    <t>Note: Axial capacity is exceeded, interaction equation is not valid for eccentric case.</t>
  </si>
  <si>
    <t>Section:</t>
  </si>
  <si>
    <t>Transient Load Factor =</t>
  </si>
  <si>
    <t>AISC 9th Ed. Section E2</t>
  </si>
  <si>
    <t>AISC 9th Ed. Section A5.2</t>
  </si>
  <si>
    <t>TIA-222-F 3.1.3</t>
  </si>
  <si>
    <r>
      <t>D/t</t>
    </r>
    <r>
      <rPr>
        <vertAlign val="subscript"/>
        <sz val="10"/>
        <color theme="1"/>
        <rFont val="Arial"/>
        <family val="2"/>
      </rPr>
      <t>max</t>
    </r>
  </si>
  <si>
    <t>TIA-222 Revision:</t>
  </si>
  <si>
    <t>AISC 9th Ed. Section F3</t>
  </si>
  <si>
    <r>
      <t>F</t>
    </r>
    <r>
      <rPr>
        <vertAlign val="subscript"/>
        <sz val="10"/>
        <color theme="1"/>
        <rFont val="Arial"/>
        <family val="2"/>
      </rPr>
      <t>b</t>
    </r>
  </si>
  <si>
    <r>
      <t>ƒ</t>
    </r>
    <r>
      <rPr>
        <vertAlign val="subscript"/>
        <sz val="10"/>
        <color theme="1"/>
        <rFont val="Arial"/>
        <family val="2"/>
      </rPr>
      <t>b</t>
    </r>
  </si>
  <si>
    <t>Capacity</t>
  </si>
  <si>
    <t>Diameter:</t>
  </si>
  <si>
    <r>
      <t>in</t>
    </r>
    <r>
      <rPr>
        <vertAlign val="superscript"/>
        <sz val="10"/>
        <rFont val="Arial"/>
        <family val="2"/>
      </rPr>
      <t>4</t>
    </r>
  </si>
  <si>
    <t>Moment of Inertia, x x</t>
  </si>
  <si>
    <t>Moment of Inertia, yy</t>
  </si>
  <si>
    <t xml:space="preserve"> Reinforcing Pipe Moment of Inertia yy</t>
  </si>
  <si>
    <t>Polar Moment of Inertia of Leg</t>
  </si>
  <si>
    <t>Area:</t>
  </si>
  <si>
    <r>
      <t>in</t>
    </r>
    <r>
      <rPr>
        <vertAlign val="superscript"/>
        <sz val="10"/>
        <rFont val="Arial"/>
        <family val="2"/>
      </rPr>
      <t>2</t>
    </r>
  </si>
  <si>
    <t>Polar Moment of Inertia, J:</t>
  </si>
  <si>
    <t>Connection and Analysis Options</t>
  </si>
  <si>
    <t>Plastic Neutral Axis:</t>
  </si>
  <si>
    <t>Eccentricty, e:</t>
  </si>
  <si>
    <r>
      <t>Moment of Intertia, I</t>
    </r>
    <r>
      <rPr>
        <vertAlign val="subscript"/>
        <sz val="10"/>
        <rFont val="Arial"/>
        <family val="2"/>
      </rPr>
      <t>xx</t>
    </r>
    <r>
      <rPr>
        <sz val="10"/>
        <rFont val="Arial"/>
        <family val="2"/>
      </rPr>
      <t>:</t>
    </r>
  </si>
  <si>
    <r>
      <t>Moment of Intertia, I</t>
    </r>
    <r>
      <rPr>
        <vertAlign val="subscript"/>
        <sz val="10"/>
        <rFont val="Arial"/>
        <family val="2"/>
      </rPr>
      <t>yy</t>
    </r>
    <r>
      <rPr>
        <sz val="10"/>
        <rFont val="Arial"/>
        <family val="2"/>
      </rPr>
      <t>:</t>
    </r>
  </si>
  <si>
    <t xml:space="preserve">Half Pipe Unified </t>
  </si>
  <si>
    <t>Complete Rework. Calculations are primarily the same for G but I added the ability to switch eccentricity on and off. Added F calculations. Added graphic.</t>
  </si>
  <si>
    <t>Changed equation in G calculations for Fcr. There was an error in the order of operations that results in low values.</t>
  </si>
  <si>
    <t xml:space="preserve">Kl/r(1/2 pipe)&lt;0.75 Kl/r(reinforced leg) this check ensures that local buckling of the split pipe between intermediate connectors will not control.  </t>
  </si>
  <si>
    <t>Corrected K factors for Welded and Bolted connectors</t>
  </si>
  <si>
    <t xml:space="preserve">Corrected referrence in the section modulus calculation for Rev. G. </t>
  </si>
  <si>
    <t>Corrected a number in cells F44 &amp; 45 for the moment capacity of tubular members. .027 changed to .0207. Only effects cases where eccentricity was used.</t>
  </si>
  <si>
    <t>Changed the interaction equations for point 2 (split pipe side) to reflect the fact that this side will always be in tension based on the new location of the centroid. Also changed option for KL/r Built-up to Full KL/r to avoid confusion</t>
  </si>
  <si>
    <t xml:space="preserve">Changed the controlling Cc value in rev F calcs. It should always use the Cc of the members with the lowest Fy. Thanks Jesse Fresch. </t>
  </si>
  <si>
    <t>Corrected allowable stress for rev. f crushing calcs.</t>
  </si>
  <si>
    <t>TIA-222-H 4.5.3</t>
  </si>
  <si>
    <t>TIA-222-H 4.5.4.2</t>
  </si>
  <si>
    <t xml:space="preserve">Check yielding in unreinforced leg section. Note: This check is only necessary when the reinforcement is not connected to the flange. </t>
  </si>
  <si>
    <t>TIA-222-H 4.7 and 4.8</t>
  </si>
  <si>
    <t>Spacing Req.:</t>
  </si>
  <si>
    <t>Second-Order Analysis:</t>
  </si>
  <si>
    <t>Order #:</t>
  </si>
  <si>
    <t>Properties of Reinforced Section</t>
  </si>
  <si>
    <t>Alpha</t>
  </si>
  <si>
    <t>Area reinforcement</t>
  </si>
  <si>
    <t>deg</t>
  </si>
  <si>
    <t>Ix</t>
  </si>
  <si>
    <t>radian</t>
  </si>
  <si>
    <r>
      <t>in</t>
    </r>
    <r>
      <rPr>
        <vertAlign val="superscript"/>
        <sz val="11"/>
        <color theme="1"/>
        <rFont val="Arial"/>
        <family val="2"/>
      </rPr>
      <t>2</t>
    </r>
  </si>
  <si>
    <t>yc1</t>
  </si>
  <si>
    <t>in.</t>
  </si>
  <si>
    <t>Centroid</t>
  </si>
  <si>
    <t>(w/ respect to reinforcement principal axis)</t>
  </si>
  <si>
    <t>Offset</t>
  </si>
  <si>
    <t>(w/ respect to leg principal axis)</t>
  </si>
  <si>
    <t>Reinforcement</t>
  </si>
  <si>
    <t>Ix composite</t>
  </si>
  <si>
    <t>At = Ac</t>
  </si>
  <si>
    <r>
      <t>in</t>
    </r>
    <r>
      <rPr>
        <vertAlign val="superscript"/>
        <sz val="11"/>
        <color theme="1"/>
        <rFont val="Arial"/>
        <family val="2"/>
      </rPr>
      <t>4</t>
    </r>
  </si>
  <si>
    <t>Aleg-PNA</t>
  </si>
  <si>
    <t>Arein-PNA</t>
  </si>
  <si>
    <t>Compression</t>
  </si>
  <si>
    <t>Tension</t>
  </si>
  <si>
    <t>Z</t>
  </si>
  <si>
    <r>
      <t>in</t>
    </r>
    <r>
      <rPr>
        <vertAlign val="superscript"/>
        <sz val="11"/>
        <color theme="1"/>
        <rFont val="Arial"/>
        <family val="2"/>
      </rPr>
      <t>3</t>
    </r>
  </si>
  <si>
    <t>(90 degree for half-pipe (max), 60 degree for third-pipe)</t>
  </si>
  <si>
    <t>(w/ respect to PNA)</t>
  </si>
  <si>
    <t>Centroid-leg</t>
  </si>
  <si>
    <t>Centroid-rein</t>
  </si>
  <si>
    <t>Ztotal</t>
  </si>
  <si>
    <t>Iy composite</t>
  </si>
  <si>
    <t>Iy</t>
  </si>
  <si>
    <t>Polar moment of inertia</t>
  </si>
  <si>
    <r>
      <t>(KL/r)</t>
    </r>
    <r>
      <rPr>
        <vertAlign val="subscript"/>
        <sz val="10"/>
        <color theme="1"/>
        <rFont val="Arial"/>
        <family val="2"/>
      </rPr>
      <t>i</t>
    </r>
    <r>
      <rPr>
        <sz val="10"/>
        <color theme="1"/>
        <rFont val="Arial"/>
        <family val="2"/>
      </rPr>
      <t>/(KL/r)</t>
    </r>
    <r>
      <rPr>
        <vertAlign val="subscript"/>
        <sz val="10"/>
        <color theme="1"/>
        <rFont val="Arial"/>
        <family val="2"/>
      </rPr>
      <t xml:space="preserve">0 </t>
    </r>
    <r>
      <rPr>
        <sz val="10"/>
        <color theme="1"/>
        <rFont val="Arial"/>
        <family val="2"/>
      </rPr>
      <t>=</t>
    </r>
  </si>
  <si>
    <t>KL/r Effective =</t>
  </si>
  <si>
    <r>
      <t>C</t>
    </r>
    <r>
      <rPr>
        <vertAlign val="subscript"/>
        <sz val="10"/>
        <color theme="1"/>
        <rFont val="Arial"/>
        <family val="2"/>
      </rPr>
      <t xml:space="preserve">C </t>
    </r>
    <r>
      <rPr>
        <sz val="10"/>
        <color theme="1"/>
        <rFont val="Arial"/>
        <family val="2"/>
      </rPr>
      <t>=</t>
    </r>
  </si>
  <si>
    <r>
      <t>F</t>
    </r>
    <r>
      <rPr>
        <vertAlign val="subscript"/>
        <sz val="10"/>
        <color theme="1"/>
        <rFont val="Arial"/>
        <family val="2"/>
      </rPr>
      <t xml:space="preserve">a </t>
    </r>
    <r>
      <rPr>
        <sz val="10"/>
        <color theme="1"/>
        <rFont val="Arial"/>
        <family val="2"/>
      </rPr>
      <t>=</t>
    </r>
  </si>
  <si>
    <r>
      <t>F</t>
    </r>
    <r>
      <rPr>
        <vertAlign val="subscript"/>
        <sz val="10"/>
        <color theme="1"/>
        <rFont val="Arial"/>
        <family val="2"/>
      </rPr>
      <t xml:space="preserve">a </t>
    </r>
    <r>
      <rPr>
        <sz val="10"/>
        <color theme="1"/>
        <rFont val="Arial"/>
        <family val="2"/>
      </rPr>
      <t xml:space="preserve">= </t>
    </r>
  </si>
  <si>
    <r>
      <t>ƒ</t>
    </r>
    <r>
      <rPr>
        <vertAlign val="subscript"/>
        <sz val="10"/>
        <color theme="1"/>
        <rFont val="Arial"/>
        <family val="2"/>
      </rPr>
      <t xml:space="preserve">a </t>
    </r>
    <r>
      <rPr>
        <sz val="10"/>
        <color theme="1"/>
        <rFont val="Arial"/>
        <family val="2"/>
      </rPr>
      <t>=</t>
    </r>
  </si>
  <si>
    <r>
      <t>F</t>
    </r>
    <r>
      <rPr>
        <vertAlign val="subscript"/>
        <sz val="10"/>
        <color theme="1"/>
        <rFont val="Arial"/>
        <family val="2"/>
      </rPr>
      <t xml:space="preserve">c </t>
    </r>
    <r>
      <rPr>
        <sz val="10"/>
        <color theme="1"/>
        <rFont val="Arial"/>
        <family val="2"/>
      </rPr>
      <t xml:space="preserve">= </t>
    </r>
  </si>
  <si>
    <t>Kl/r(1/2 pipe)&lt;0.75 Kl/r(reinforced leg) (this check ensures that local buckling of the split pipe between intermediate connectors will not control)</t>
  </si>
  <si>
    <t>e =</t>
  </si>
  <si>
    <t>Mu =</t>
  </si>
  <si>
    <r>
      <t>F</t>
    </r>
    <r>
      <rPr>
        <vertAlign val="subscript"/>
        <sz val="10"/>
        <color theme="1"/>
        <rFont val="Arial"/>
        <family val="2"/>
      </rPr>
      <t>e</t>
    </r>
    <r>
      <rPr>
        <sz val="10"/>
        <color theme="1"/>
        <rFont val="Arial"/>
        <family val="2"/>
      </rPr>
      <t>' =</t>
    </r>
  </si>
  <si>
    <t>h =</t>
  </si>
  <si>
    <r>
      <rPr>
        <sz val="10"/>
        <color theme="1"/>
        <rFont val="GreekS"/>
      </rPr>
      <t xml:space="preserve">a </t>
    </r>
    <r>
      <rPr>
        <sz val="10"/>
        <color theme="1"/>
        <rFont val="Arial"/>
        <family val="2"/>
      </rPr>
      <t>=</t>
    </r>
  </si>
  <si>
    <r>
      <t>l</t>
    </r>
    <r>
      <rPr>
        <sz val="11"/>
        <color theme="1"/>
        <rFont val="Calibri"/>
        <family val="2"/>
        <scheme val="minor"/>
      </rPr>
      <t>c =</t>
    </r>
  </si>
  <si>
    <t>Φa =</t>
  </si>
  <si>
    <t>Φa Pn =</t>
  </si>
  <si>
    <t>Pu =</t>
  </si>
  <si>
    <t>Φf =</t>
  </si>
  <si>
    <t>Z =</t>
  </si>
  <si>
    <t>Fy Leg =</t>
  </si>
  <si>
    <t>Pe =</t>
  </si>
  <si>
    <t>B1 =</t>
  </si>
  <si>
    <t>(Original area / 2)</t>
  </si>
  <si>
    <t>Cindy's calculation (only valid for diameter of pipe &gt; diameter of leg)</t>
  </si>
  <si>
    <t>Modified area</t>
  </si>
  <si>
    <t>(goal seek)</t>
  </si>
  <si>
    <r>
      <t>in</t>
    </r>
    <r>
      <rPr>
        <vertAlign val="superscript"/>
        <sz val="11"/>
        <rFont val="Arial"/>
        <family val="2"/>
      </rPr>
      <t>4</t>
    </r>
  </si>
  <si>
    <r>
      <t>in</t>
    </r>
    <r>
      <rPr>
        <vertAlign val="superscript"/>
        <sz val="11"/>
        <rFont val="Arial"/>
        <family val="2"/>
      </rPr>
      <t>2</t>
    </r>
  </si>
  <si>
    <t>8.0.0</t>
  </si>
  <si>
    <t>MGI</t>
  </si>
  <si>
    <t>DHS/CD</t>
  </si>
  <si>
    <t>Images related to this calculation set have been deleted for production use. See "Highlighted Version"</t>
  </si>
  <si>
    <t xml:space="preserve">Added Rev. H Functionality. For Rev G, Equation C was added for the KL/r checks. </t>
  </si>
  <si>
    <t>Check Limitation</t>
  </si>
  <si>
    <t>8.0.1</t>
  </si>
  <si>
    <t>TA</t>
  </si>
  <si>
    <t>MRP</t>
  </si>
  <si>
    <t>Corrected Pass/Fail/Acceptable limits when Section 15.5 of TIA-222-H is toggled. Moved split pipe images so that Section 15.5 check is always viewable.</t>
  </si>
  <si>
    <t>Part #*</t>
  </si>
  <si>
    <t>Backing Plate</t>
  </si>
  <si>
    <t>W (lb/ft)</t>
  </si>
  <si>
    <r>
      <t>Area (in</t>
    </r>
    <r>
      <rPr>
        <b/>
        <sz val="11"/>
        <color theme="1"/>
        <rFont val="Calibri"/>
        <family val="2"/>
      </rPr>
      <t>²)</t>
    </r>
  </si>
  <si>
    <t>Y (in)</t>
  </si>
  <si>
    <t>C (in)</t>
  </si>
  <si>
    <r>
      <t>Ix (in</t>
    </r>
    <r>
      <rPr>
        <b/>
        <sz val="11"/>
        <color theme="1"/>
        <rFont val="Calibri"/>
        <family val="2"/>
      </rPr>
      <t>⁴)</t>
    </r>
  </si>
  <si>
    <r>
      <t>Iy (in</t>
    </r>
    <r>
      <rPr>
        <b/>
        <sz val="11"/>
        <color theme="1"/>
        <rFont val="Calibri"/>
        <family val="2"/>
      </rPr>
      <t>⁴)</t>
    </r>
  </si>
  <si>
    <t># of bends</t>
  </si>
  <si>
    <t>T1 (in)</t>
  </si>
  <si>
    <t>P554-181-15</t>
  </si>
  <si>
    <t>HKU 1520-02</t>
  </si>
  <si>
    <t>P554-181-17</t>
  </si>
  <si>
    <t>HKU 2025-02</t>
  </si>
  <si>
    <t>P554-181-20</t>
  </si>
  <si>
    <t>P554-181-23</t>
  </si>
  <si>
    <t>HKU 2530-02</t>
  </si>
  <si>
    <t>P554-181-25</t>
  </si>
  <si>
    <t>HKU 3035-02</t>
  </si>
  <si>
    <t>P554-181-28</t>
  </si>
  <si>
    <t>HKU 3540-02</t>
  </si>
  <si>
    <t>P554-181-30</t>
  </si>
  <si>
    <t>P554-181-32</t>
  </si>
  <si>
    <t>HKU 4045-02</t>
  </si>
  <si>
    <t>P554-182-35</t>
  </si>
  <si>
    <t>P554-182-40</t>
  </si>
  <si>
    <t>HKU 4550-02</t>
  </si>
  <si>
    <t>P554-182-45</t>
  </si>
  <si>
    <t>HKU 5058-02</t>
  </si>
  <si>
    <t>P554-183-55</t>
  </si>
  <si>
    <t>HKU 5566-02</t>
  </si>
  <si>
    <t>P554-183-66</t>
  </si>
  <si>
    <t>HKU 6076-02</t>
  </si>
  <si>
    <t>P554-184-86</t>
  </si>
  <si>
    <t>HKU 6097-02</t>
  </si>
  <si>
    <t>P554-184-00</t>
  </si>
  <si>
    <t>HKU 6117-02</t>
  </si>
  <si>
    <t xml:space="preserve">Total Area </t>
  </si>
  <si>
    <t>Total Area of Form Fit Reinforcement</t>
  </si>
  <si>
    <t>Moment of inertia of reinforcement (y)</t>
  </si>
  <si>
    <t>Moment of inertia of reinforcement (x)</t>
  </si>
  <si>
    <t>centroid of total (from far end of leg)</t>
  </si>
  <si>
    <t>df</t>
  </si>
  <si>
    <t>Total Moment of Interia</t>
  </si>
  <si>
    <t>Inertia Calcs</t>
  </si>
  <si>
    <t>Bends</t>
  </si>
  <si>
    <t>c2 calc dist (in)</t>
  </si>
  <si>
    <t>End Connections:</t>
  </si>
  <si>
    <r>
      <t>I (in</t>
    </r>
    <r>
      <rPr>
        <b/>
        <vertAlign val="superscript"/>
        <sz val="11"/>
        <color theme="0"/>
        <rFont val="Calibri"/>
        <family val="2"/>
      </rPr>
      <t>4</t>
    </r>
    <r>
      <rPr>
        <b/>
        <sz val="11"/>
        <color theme="0"/>
        <rFont val="Calibri"/>
        <family val="2"/>
      </rPr>
      <t>)</t>
    </r>
  </si>
  <si>
    <r>
      <t>I (in</t>
    </r>
    <r>
      <rPr>
        <b/>
        <vertAlign val="superscript"/>
        <sz val="10"/>
        <color theme="0"/>
        <rFont val="Arial"/>
        <family val="2"/>
      </rPr>
      <t>4</t>
    </r>
    <r>
      <rPr>
        <b/>
        <sz val="10"/>
        <color theme="0"/>
        <rFont val="Arial"/>
        <family val="2"/>
      </rPr>
      <t>)</t>
    </r>
  </si>
  <si>
    <r>
      <t>D/t</t>
    </r>
    <r>
      <rPr>
        <b/>
        <vertAlign val="subscript"/>
        <sz val="10"/>
        <color theme="0"/>
        <rFont val="Arial"/>
        <family val="2"/>
      </rPr>
      <t>max</t>
    </r>
  </si>
  <si>
    <r>
      <t>C</t>
    </r>
    <r>
      <rPr>
        <b/>
        <vertAlign val="subscript"/>
        <sz val="10"/>
        <color theme="0"/>
        <rFont val="Arial"/>
        <family val="2"/>
      </rPr>
      <t>C</t>
    </r>
  </si>
  <si>
    <t>D/T</t>
  </si>
  <si>
    <t>Diameter (in)</t>
  </si>
  <si>
    <r>
      <t>A (in</t>
    </r>
    <r>
      <rPr>
        <b/>
        <vertAlign val="superscript"/>
        <sz val="11"/>
        <color theme="0"/>
        <rFont val="Calibri"/>
        <family val="2"/>
      </rPr>
      <t>2</t>
    </r>
    <r>
      <rPr>
        <b/>
        <sz val="11"/>
        <color theme="0"/>
        <rFont val="Calibri"/>
        <family val="2"/>
      </rPr>
      <t>)</t>
    </r>
  </si>
  <si>
    <t>Form Fit</t>
  </si>
  <si>
    <r>
      <rPr>
        <b/>
        <sz val="11"/>
        <color theme="1"/>
        <rFont val="Calibri"/>
        <family val="2"/>
      </rPr>
      <t xml:space="preserve">Form Fit Inside Width </t>
    </r>
    <r>
      <rPr>
        <b/>
        <sz val="11"/>
        <color theme="1"/>
        <rFont val="Calibri"/>
        <family val="2"/>
        <scheme val="minor"/>
      </rPr>
      <t>(in)</t>
    </r>
  </si>
  <si>
    <t>Reinforcement Type</t>
  </si>
  <si>
    <t>Leg Axial Load</t>
  </si>
  <si>
    <t>Built-Up Section Properties</t>
  </si>
  <si>
    <t>KL/r Composite</t>
  </si>
  <si>
    <t>KL/r Modified</t>
  </si>
  <si>
    <t>Remove KL/r Modifiedified since there is no relative deformation (see attached email)</t>
  </si>
  <si>
    <t>F'y</t>
  </si>
  <si>
    <r>
      <t>(KL/r)</t>
    </r>
    <r>
      <rPr>
        <vertAlign val="subscript"/>
        <sz val="11"/>
        <color theme="1"/>
        <rFont val="Calibri"/>
        <family val="2"/>
        <scheme val="minor"/>
      </rPr>
      <t>m</t>
    </r>
    <r>
      <rPr>
        <sz val="11"/>
        <color theme="1"/>
        <rFont val="Calibri"/>
        <family val="2"/>
        <scheme val="minor"/>
      </rPr>
      <t xml:space="preserve"> = </t>
    </r>
  </si>
  <si>
    <t>Built-Up Leg Reinforcement Tool</t>
  </si>
  <si>
    <t>9.0.0</t>
  </si>
  <si>
    <t>SJ/JK</t>
  </si>
  <si>
    <t>Outside Leg Diameter (in)</t>
  </si>
  <si>
    <t>Added Form Fit Modification Type (Standard Sections Only).
Formatted Tool
Renamed tool to "Built-Up Leg Reinforcement Tool"</t>
  </si>
  <si>
    <t>Reviewed By</t>
  </si>
  <si>
    <r>
      <t>a</t>
    </r>
    <r>
      <rPr>
        <vertAlign val="subscript"/>
        <sz val="11"/>
        <color theme="1"/>
        <rFont val="Calibri"/>
        <family val="2"/>
        <scheme val="minor"/>
      </rPr>
      <t>i</t>
    </r>
    <r>
      <rPr>
        <sz val="11"/>
        <color theme="1"/>
        <rFont val="Calibri"/>
        <family val="2"/>
        <scheme val="minor"/>
      </rPr>
      <t>/r</t>
    </r>
    <r>
      <rPr>
        <vertAlign val="subscript"/>
        <sz val="11"/>
        <color theme="1"/>
        <rFont val="Calibri"/>
        <family val="2"/>
        <scheme val="minor"/>
      </rPr>
      <t>i</t>
    </r>
    <r>
      <rPr>
        <sz val="11"/>
        <color theme="1"/>
        <rFont val="Calibri"/>
        <family val="2"/>
        <scheme val="minor"/>
      </rPr>
      <t xml:space="preserve"> =</t>
    </r>
  </si>
  <si>
    <t>9.1.0</t>
  </si>
  <si>
    <t xml:space="preserve"> Tool specifically updated for situations in which the intermediate connector spacing exceeds the unbraced length of the tower leg: 
- Spacing Requirement will now show "Design Rqmts Not Met" if ai/ri is greater than the effective KL/r.
- Results will show as "NO GOOD", indicating more intermediate connectors are required.</t>
  </si>
  <si>
    <t>9.2.0</t>
  </si>
  <si>
    <t>• Summary
     o Added "Load Z Normalization" option.</t>
  </si>
  <si>
    <t>9.2.1</t>
  </si>
  <si>
    <t>Fixed issue with error handler creating a loop.</t>
  </si>
  <si>
    <t>LOAD DISTRIBUTION BETWEEN TOWER LEG AND HALF PIPE</t>
  </si>
  <si>
    <t>Residual Load on Leg During Design Loads:</t>
  </si>
  <si>
    <t>Residual Load on Half Pipe During Design Loads:</t>
  </si>
  <si>
    <t>Modulus of Elasticity of Steel:</t>
  </si>
  <si>
    <t>E =</t>
  </si>
  <si>
    <r>
      <t>P</t>
    </r>
    <r>
      <rPr>
        <vertAlign val="subscript"/>
        <sz val="11"/>
        <color theme="1"/>
        <rFont val="Calibri"/>
        <family val="2"/>
        <scheme val="minor"/>
      </rPr>
      <t>mod_sp</t>
    </r>
    <r>
      <rPr>
        <sz val="11"/>
        <color theme="1"/>
        <rFont val="Calibri"/>
        <family val="2"/>
        <scheme val="minor"/>
      </rPr>
      <t xml:space="preserve"> =</t>
    </r>
  </si>
  <si>
    <r>
      <t>P</t>
    </r>
    <r>
      <rPr>
        <vertAlign val="subscript"/>
        <sz val="11"/>
        <color theme="1"/>
        <rFont val="Calibri"/>
        <family val="2"/>
        <scheme val="minor"/>
      </rPr>
      <t>mod_leg</t>
    </r>
    <r>
      <rPr>
        <sz val="11"/>
        <color theme="1"/>
        <rFont val="Calibri"/>
        <family val="2"/>
        <scheme val="minor"/>
      </rPr>
      <t xml:space="preserve"> =</t>
    </r>
  </si>
  <si>
    <t>ΦPn =</t>
  </si>
  <si>
    <r>
      <t>ΦP</t>
    </r>
    <r>
      <rPr>
        <vertAlign val="subscript"/>
        <sz val="11"/>
        <color theme="1"/>
        <rFont val="Calibri"/>
        <family val="2"/>
      </rPr>
      <t>n</t>
    </r>
    <r>
      <rPr>
        <sz val="11"/>
        <color theme="1"/>
        <rFont val="Calibri"/>
        <family val="2"/>
      </rPr>
      <t xml:space="preserve"> =</t>
    </r>
  </si>
  <si>
    <t>Flexural Buckling Capacity of Built-Up Section:</t>
  </si>
  <si>
    <t>Area of Original Tower Leg:</t>
  </si>
  <si>
    <t>Area of Split Pipe:</t>
  </si>
  <si>
    <t>in²</t>
  </si>
  <si>
    <r>
      <t>A</t>
    </r>
    <r>
      <rPr>
        <vertAlign val="subscript"/>
        <sz val="11"/>
        <color theme="1"/>
        <rFont val="Calibri"/>
        <family val="2"/>
        <scheme val="minor"/>
      </rPr>
      <t>leg</t>
    </r>
    <r>
      <rPr>
        <sz val="11"/>
        <color theme="1"/>
        <rFont val="Calibri"/>
        <family val="2"/>
        <scheme val="minor"/>
      </rPr>
      <t xml:space="preserve"> =</t>
    </r>
  </si>
  <si>
    <r>
      <t>A</t>
    </r>
    <r>
      <rPr>
        <vertAlign val="subscript"/>
        <sz val="11"/>
        <color theme="1"/>
        <rFont val="Calibri"/>
        <family val="2"/>
        <scheme val="minor"/>
      </rPr>
      <t>sp</t>
    </r>
    <r>
      <rPr>
        <sz val="11"/>
        <color theme="1"/>
        <rFont val="Calibri"/>
        <family val="2"/>
        <scheme val="minor"/>
      </rPr>
      <t xml:space="preserve"> =</t>
    </r>
  </si>
  <si>
    <t>PROPOSED THREADED ROD PROPERTIES</t>
  </si>
  <si>
    <t>BOTTOM OF SECTION</t>
  </si>
  <si>
    <t>Rod Material</t>
  </si>
  <si>
    <t>A615-J</t>
  </si>
  <si>
    <t>A36</t>
  </si>
  <si>
    <t>A307</t>
  </si>
  <si>
    <t>A193 B7</t>
  </si>
  <si>
    <t>A490</t>
  </si>
  <si>
    <t>A354 BD</t>
  </si>
  <si>
    <t>Threaded Rod Diameter:</t>
  </si>
  <si>
    <t>Quantity of Threaded Rods:</t>
  </si>
  <si>
    <t>Threaded Rod Yield Strength:</t>
  </si>
  <si>
    <t>Threaded Rod Ultimate Strength:</t>
  </si>
  <si>
    <t>Threaded Rod Number of Threads per Inch:</t>
  </si>
  <si>
    <t>Bolt Circle:</t>
  </si>
  <si>
    <t>Unbraced Length of Threaded Rods:</t>
  </si>
  <si>
    <t>Gross Area of Threaded Rods:</t>
  </si>
  <si>
    <t>Net Area of Threaded Rods:</t>
  </si>
  <si>
    <r>
      <t>d</t>
    </r>
    <r>
      <rPr>
        <vertAlign val="subscript"/>
        <sz val="11"/>
        <color theme="1"/>
        <rFont val="Calibri"/>
        <family val="2"/>
        <scheme val="minor"/>
      </rPr>
      <t>threadedrod_bot</t>
    </r>
    <r>
      <rPr>
        <sz val="11"/>
        <color theme="1"/>
        <rFont val="Calibri"/>
        <family val="2"/>
        <scheme val="minor"/>
      </rPr>
      <t xml:space="preserve"> =</t>
    </r>
  </si>
  <si>
    <r>
      <t>Fy</t>
    </r>
    <r>
      <rPr>
        <vertAlign val="subscript"/>
        <sz val="11"/>
        <color theme="1"/>
        <rFont val="Calibri"/>
        <family val="2"/>
        <scheme val="minor"/>
      </rPr>
      <t>threadedrod_bot</t>
    </r>
    <r>
      <rPr>
        <sz val="11"/>
        <color theme="1"/>
        <rFont val="Calibri"/>
        <family val="2"/>
        <scheme val="minor"/>
      </rPr>
      <t xml:space="preserve"> =</t>
    </r>
  </si>
  <si>
    <r>
      <t>Fu</t>
    </r>
    <r>
      <rPr>
        <vertAlign val="subscript"/>
        <sz val="11"/>
        <color theme="1"/>
        <rFont val="Calibri"/>
        <family val="2"/>
        <scheme val="minor"/>
      </rPr>
      <t>threadedrod_bot</t>
    </r>
    <r>
      <rPr>
        <sz val="11"/>
        <color theme="1"/>
        <rFont val="Calibri"/>
        <family val="2"/>
        <scheme val="minor"/>
      </rPr>
      <t xml:space="preserve"> =</t>
    </r>
  </si>
  <si>
    <r>
      <t>BC</t>
    </r>
    <r>
      <rPr>
        <vertAlign val="subscript"/>
        <sz val="11"/>
        <color theme="1"/>
        <rFont val="Calibri"/>
        <family val="2"/>
        <scheme val="minor"/>
      </rPr>
      <t>threadedrod_bot</t>
    </r>
    <r>
      <rPr>
        <sz val="11"/>
        <color theme="1"/>
        <rFont val="Calibri"/>
        <family val="2"/>
        <scheme val="minor"/>
      </rPr>
      <t xml:space="preserve"> =</t>
    </r>
  </si>
  <si>
    <r>
      <t>n</t>
    </r>
    <r>
      <rPr>
        <vertAlign val="subscript"/>
        <sz val="11"/>
        <color theme="1"/>
        <rFont val="Calibri"/>
        <family val="2"/>
        <scheme val="minor"/>
      </rPr>
      <t>threadedrod_bot</t>
    </r>
    <r>
      <rPr>
        <sz val="11"/>
        <color theme="1"/>
        <rFont val="Calibri"/>
        <family val="2"/>
        <scheme val="minor"/>
      </rPr>
      <t xml:space="preserve"> =</t>
    </r>
  </si>
  <si>
    <r>
      <t>n</t>
    </r>
    <r>
      <rPr>
        <vertAlign val="subscript"/>
        <sz val="11"/>
        <color theme="1"/>
        <rFont val="Calibri"/>
        <family val="2"/>
        <scheme val="minor"/>
      </rPr>
      <t xml:space="preserve">threadedrod_threads_bot </t>
    </r>
    <r>
      <rPr>
        <sz val="11"/>
        <color theme="1"/>
        <rFont val="Calibri"/>
        <family val="2"/>
        <scheme val="minor"/>
      </rPr>
      <t>=</t>
    </r>
  </si>
  <si>
    <r>
      <t>Lu</t>
    </r>
    <r>
      <rPr>
        <vertAlign val="subscript"/>
        <sz val="11"/>
        <color theme="1"/>
        <rFont val="Calibri"/>
        <family val="2"/>
        <scheme val="minor"/>
      </rPr>
      <t xml:space="preserve">threadedrod_bot </t>
    </r>
    <r>
      <rPr>
        <sz val="11"/>
        <color theme="1"/>
        <rFont val="Calibri"/>
        <family val="2"/>
        <scheme val="minor"/>
      </rPr>
      <t>=</t>
    </r>
  </si>
  <si>
    <r>
      <t>A</t>
    </r>
    <r>
      <rPr>
        <vertAlign val="subscript"/>
        <sz val="11"/>
        <color theme="1"/>
        <rFont val="Calibri"/>
        <family val="2"/>
        <scheme val="minor"/>
      </rPr>
      <t xml:space="preserve">threadedrod_gross_bot </t>
    </r>
    <r>
      <rPr>
        <sz val="11"/>
        <color theme="1"/>
        <rFont val="Calibri"/>
        <family val="2"/>
        <scheme val="minor"/>
      </rPr>
      <t>=</t>
    </r>
  </si>
  <si>
    <r>
      <t>A</t>
    </r>
    <r>
      <rPr>
        <vertAlign val="subscript"/>
        <sz val="11"/>
        <color theme="1"/>
        <rFont val="Calibri"/>
        <family val="2"/>
        <scheme val="minor"/>
      </rPr>
      <t xml:space="preserve">threadedrod_net_bot </t>
    </r>
    <r>
      <rPr>
        <sz val="11"/>
        <color theme="1"/>
        <rFont val="Calibri"/>
        <family val="2"/>
        <scheme val="minor"/>
      </rPr>
      <t>=</t>
    </r>
  </si>
  <si>
    <t>TOP OF SECTION</t>
  </si>
  <si>
    <r>
      <t>d</t>
    </r>
    <r>
      <rPr>
        <vertAlign val="subscript"/>
        <sz val="11"/>
        <color theme="1"/>
        <rFont val="Calibri"/>
        <family val="2"/>
        <scheme val="minor"/>
      </rPr>
      <t>threadedrod_top</t>
    </r>
    <r>
      <rPr>
        <sz val="11"/>
        <color theme="1"/>
        <rFont val="Calibri"/>
        <family val="2"/>
        <scheme val="minor"/>
      </rPr>
      <t xml:space="preserve"> =</t>
    </r>
  </si>
  <si>
    <r>
      <t>n</t>
    </r>
    <r>
      <rPr>
        <vertAlign val="subscript"/>
        <sz val="11"/>
        <color theme="1"/>
        <rFont val="Calibri"/>
        <family val="2"/>
        <scheme val="minor"/>
      </rPr>
      <t xml:space="preserve">threadedrod_threads_top </t>
    </r>
    <r>
      <rPr>
        <sz val="11"/>
        <color theme="1"/>
        <rFont val="Calibri"/>
        <family val="2"/>
        <scheme val="minor"/>
      </rPr>
      <t>=</t>
    </r>
  </si>
  <si>
    <r>
      <t>Fy</t>
    </r>
    <r>
      <rPr>
        <vertAlign val="subscript"/>
        <sz val="11"/>
        <color theme="1"/>
        <rFont val="Calibri"/>
        <family val="2"/>
        <scheme val="minor"/>
      </rPr>
      <t>threadedrod_top</t>
    </r>
    <r>
      <rPr>
        <sz val="11"/>
        <color theme="1"/>
        <rFont val="Calibri"/>
        <family val="2"/>
        <scheme val="minor"/>
      </rPr>
      <t xml:space="preserve"> =</t>
    </r>
  </si>
  <si>
    <r>
      <t>Fu</t>
    </r>
    <r>
      <rPr>
        <vertAlign val="subscript"/>
        <sz val="11"/>
        <color theme="1"/>
        <rFont val="Calibri"/>
        <family val="2"/>
        <scheme val="minor"/>
      </rPr>
      <t>threadedrod_top</t>
    </r>
    <r>
      <rPr>
        <sz val="11"/>
        <color theme="1"/>
        <rFont val="Calibri"/>
        <family val="2"/>
        <scheme val="minor"/>
      </rPr>
      <t xml:space="preserve"> =</t>
    </r>
  </si>
  <si>
    <r>
      <t>BC</t>
    </r>
    <r>
      <rPr>
        <vertAlign val="subscript"/>
        <sz val="11"/>
        <color theme="1"/>
        <rFont val="Calibri"/>
        <family val="2"/>
        <scheme val="minor"/>
      </rPr>
      <t>threadedrod_top</t>
    </r>
    <r>
      <rPr>
        <sz val="11"/>
        <color theme="1"/>
        <rFont val="Calibri"/>
        <family val="2"/>
        <scheme val="minor"/>
      </rPr>
      <t xml:space="preserve"> =</t>
    </r>
  </si>
  <si>
    <r>
      <t>n</t>
    </r>
    <r>
      <rPr>
        <vertAlign val="subscript"/>
        <sz val="11"/>
        <color theme="1"/>
        <rFont val="Calibri"/>
        <family val="2"/>
        <scheme val="minor"/>
      </rPr>
      <t>threadedrod_top</t>
    </r>
    <r>
      <rPr>
        <sz val="11"/>
        <color theme="1"/>
        <rFont val="Calibri"/>
        <family val="2"/>
        <scheme val="minor"/>
      </rPr>
      <t xml:space="preserve"> =</t>
    </r>
  </si>
  <si>
    <r>
      <t>Lu</t>
    </r>
    <r>
      <rPr>
        <vertAlign val="subscript"/>
        <sz val="11"/>
        <color theme="1"/>
        <rFont val="Calibri"/>
        <family val="2"/>
        <scheme val="minor"/>
      </rPr>
      <t xml:space="preserve">threadedrod_top </t>
    </r>
    <r>
      <rPr>
        <sz val="11"/>
        <color theme="1"/>
        <rFont val="Calibri"/>
        <family val="2"/>
        <scheme val="minor"/>
      </rPr>
      <t>=</t>
    </r>
  </si>
  <si>
    <r>
      <t>A</t>
    </r>
    <r>
      <rPr>
        <vertAlign val="subscript"/>
        <sz val="11"/>
        <color theme="1"/>
        <rFont val="Calibri"/>
        <family val="2"/>
        <scheme val="minor"/>
      </rPr>
      <t xml:space="preserve">threadedrod_gross_top </t>
    </r>
    <r>
      <rPr>
        <sz val="11"/>
        <color theme="1"/>
        <rFont val="Calibri"/>
        <family val="2"/>
        <scheme val="minor"/>
      </rPr>
      <t>=</t>
    </r>
  </si>
  <si>
    <r>
      <t>A</t>
    </r>
    <r>
      <rPr>
        <vertAlign val="subscript"/>
        <sz val="11"/>
        <color theme="1"/>
        <rFont val="Calibri"/>
        <family val="2"/>
        <scheme val="minor"/>
      </rPr>
      <t xml:space="preserve">threadedrod_net_top </t>
    </r>
    <r>
      <rPr>
        <sz val="11"/>
        <color theme="1"/>
        <rFont val="Calibri"/>
        <family val="2"/>
        <scheme val="minor"/>
      </rPr>
      <t>=</t>
    </r>
  </si>
  <si>
    <r>
      <t>d</t>
    </r>
    <r>
      <rPr>
        <vertAlign val="subscript"/>
        <sz val="11"/>
        <color theme="1"/>
        <rFont val="Calibri"/>
        <family val="2"/>
        <scheme val="minor"/>
      </rPr>
      <t>threadedrod_net_bot</t>
    </r>
    <r>
      <rPr>
        <sz val="11"/>
        <color theme="1"/>
        <rFont val="Calibri"/>
        <family val="2"/>
        <scheme val="minor"/>
      </rPr>
      <t xml:space="preserve"> =</t>
    </r>
  </si>
  <si>
    <t>Net Diameter of Threaded Rods:</t>
  </si>
  <si>
    <r>
      <t>d</t>
    </r>
    <r>
      <rPr>
        <vertAlign val="subscript"/>
        <sz val="11"/>
        <color theme="1"/>
        <rFont val="Calibri"/>
        <family val="2"/>
        <scheme val="minor"/>
      </rPr>
      <t>threadedrod_net_top</t>
    </r>
    <r>
      <rPr>
        <sz val="11"/>
        <color theme="1"/>
        <rFont val="Calibri"/>
        <family val="2"/>
        <scheme val="minor"/>
      </rPr>
      <t xml:space="preserve"> =</t>
    </r>
  </si>
  <si>
    <t>COMPRESSION ON THE PROPOSED THREADED RODS</t>
  </si>
  <si>
    <t>Φc =</t>
  </si>
  <si>
    <t>Reduction Factor for Compression:</t>
  </si>
  <si>
    <t>Effective Slenderness Ratio of Threaded Rods:</t>
  </si>
  <si>
    <t>Effective Slenderness Factor of Threaded Rods:</t>
  </si>
  <si>
    <r>
      <t>Fe</t>
    </r>
    <r>
      <rPr>
        <vertAlign val="subscript"/>
        <sz val="11"/>
        <color theme="1"/>
        <rFont val="Calibri"/>
        <family val="2"/>
        <scheme val="minor"/>
      </rPr>
      <t>threadedrod_bot</t>
    </r>
    <r>
      <rPr>
        <sz val="11"/>
        <color theme="1"/>
        <rFont val="Calibri"/>
        <family val="2"/>
        <scheme val="minor"/>
      </rPr>
      <t xml:space="preserve"> =</t>
    </r>
  </si>
  <si>
    <r>
      <t>K</t>
    </r>
    <r>
      <rPr>
        <vertAlign val="subscript"/>
        <sz val="11"/>
        <color theme="1"/>
        <rFont val="Calibri"/>
        <family val="2"/>
        <scheme val="minor"/>
      </rPr>
      <t xml:space="preserve">threadedrod </t>
    </r>
    <r>
      <rPr>
        <sz val="11"/>
        <color theme="1"/>
        <rFont val="Calibri"/>
        <family val="2"/>
        <scheme val="minor"/>
      </rPr>
      <t>=</t>
    </r>
  </si>
  <si>
    <t>Elastic Buckling Stress of Threaded Rods:</t>
  </si>
  <si>
    <r>
      <t>KL/r</t>
    </r>
    <r>
      <rPr>
        <vertAlign val="subscript"/>
        <sz val="11"/>
        <color theme="1"/>
        <rFont val="Calibri"/>
        <family val="2"/>
        <scheme val="minor"/>
      </rPr>
      <t xml:space="preserve">threadedrod_bot </t>
    </r>
    <r>
      <rPr>
        <sz val="11"/>
        <color theme="1"/>
        <rFont val="Calibri"/>
        <family val="2"/>
        <scheme val="minor"/>
      </rPr>
      <t>=</t>
    </r>
  </si>
  <si>
    <r>
      <t>F'y</t>
    </r>
    <r>
      <rPr>
        <vertAlign val="subscript"/>
        <sz val="11"/>
        <color theme="1"/>
        <rFont val="Calibri"/>
        <family val="2"/>
        <scheme val="minor"/>
      </rPr>
      <t xml:space="preserve">threadedrod_bot </t>
    </r>
    <r>
      <rPr>
        <sz val="11"/>
        <color theme="1"/>
        <rFont val="Calibri"/>
        <family val="2"/>
        <scheme val="minor"/>
      </rPr>
      <t>=</t>
    </r>
  </si>
  <si>
    <r>
      <t>Fcr</t>
    </r>
    <r>
      <rPr>
        <vertAlign val="subscript"/>
        <sz val="11"/>
        <color theme="1"/>
        <rFont val="Calibri"/>
        <family val="2"/>
        <scheme val="minor"/>
      </rPr>
      <t xml:space="preserve">threadedrod_bot </t>
    </r>
    <r>
      <rPr>
        <sz val="11"/>
        <color theme="1"/>
        <rFont val="Calibri"/>
        <family val="2"/>
        <scheme val="minor"/>
      </rPr>
      <t>=</t>
    </r>
  </si>
  <si>
    <t>Effective Yield Stress of Threaded Rods:</t>
  </si>
  <si>
    <t>Critical Buckling Stress of Threaded Rods:</t>
  </si>
  <si>
    <r>
      <t>ΦPn</t>
    </r>
    <r>
      <rPr>
        <vertAlign val="subscript"/>
        <sz val="11"/>
        <color theme="1"/>
        <rFont val="Calibri"/>
        <family val="2"/>
      </rPr>
      <t>threadedrod_bot</t>
    </r>
    <r>
      <rPr>
        <sz val="11"/>
        <color theme="1"/>
        <rFont val="Calibri"/>
        <family val="2"/>
      </rPr>
      <t xml:space="preserve"> =</t>
    </r>
  </si>
  <si>
    <t>kip</t>
  </si>
  <si>
    <t>Buckling Capacity of Quantity of Threaded Rods:</t>
  </si>
  <si>
    <t>/</t>
  </si>
  <si>
    <t>RATING:</t>
  </si>
  <si>
    <t>Check:</t>
  </si>
  <si>
    <r>
      <t>P</t>
    </r>
    <r>
      <rPr>
        <b/>
        <vertAlign val="subscript"/>
        <sz val="11"/>
        <color theme="1"/>
        <rFont val="Calibri"/>
        <family val="2"/>
        <scheme val="minor"/>
      </rPr>
      <t>mod_sp</t>
    </r>
    <r>
      <rPr>
        <b/>
        <sz val="11"/>
        <color theme="1"/>
        <rFont val="Calibri"/>
        <family val="2"/>
        <scheme val="minor"/>
      </rPr>
      <t xml:space="preserve"> =</t>
    </r>
  </si>
  <si>
    <r>
      <t>ΦPn</t>
    </r>
    <r>
      <rPr>
        <b/>
        <vertAlign val="subscript"/>
        <sz val="11"/>
        <color theme="1"/>
        <rFont val="Calibri"/>
        <family val="2"/>
        <scheme val="minor"/>
      </rPr>
      <t>threadedrod_bot</t>
    </r>
    <r>
      <rPr>
        <b/>
        <sz val="11"/>
        <color theme="1"/>
        <rFont val="Calibri"/>
        <family val="2"/>
        <scheme val="minor"/>
      </rPr>
      <t xml:space="preserve"> =</t>
    </r>
  </si>
  <si>
    <r>
      <t>KL/r</t>
    </r>
    <r>
      <rPr>
        <vertAlign val="subscript"/>
        <sz val="11"/>
        <color theme="1"/>
        <rFont val="Calibri"/>
        <family val="2"/>
        <scheme val="minor"/>
      </rPr>
      <t xml:space="preserve">threadedrod_top </t>
    </r>
    <r>
      <rPr>
        <sz val="11"/>
        <color theme="1"/>
        <rFont val="Calibri"/>
        <family val="2"/>
        <scheme val="minor"/>
      </rPr>
      <t>=</t>
    </r>
  </si>
  <si>
    <r>
      <t>Fe</t>
    </r>
    <r>
      <rPr>
        <vertAlign val="subscript"/>
        <sz val="11"/>
        <color theme="1"/>
        <rFont val="Calibri"/>
        <family val="2"/>
        <scheme val="minor"/>
      </rPr>
      <t xml:space="preserve">threadedrod_top </t>
    </r>
    <r>
      <rPr>
        <sz val="11"/>
        <color theme="1"/>
        <rFont val="Calibri"/>
        <family val="2"/>
        <scheme val="minor"/>
      </rPr>
      <t>=</t>
    </r>
  </si>
  <si>
    <r>
      <t>F'y</t>
    </r>
    <r>
      <rPr>
        <vertAlign val="subscript"/>
        <sz val="11"/>
        <color theme="1"/>
        <rFont val="Calibri"/>
        <family val="2"/>
        <scheme val="minor"/>
      </rPr>
      <t xml:space="preserve">threadedrod_top </t>
    </r>
    <r>
      <rPr>
        <sz val="11"/>
        <color theme="1"/>
        <rFont val="Calibri"/>
        <family val="2"/>
        <scheme val="minor"/>
      </rPr>
      <t>=</t>
    </r>
  </si>
  <si>
    <r>
      <t>Fcr</t>
    </r>
    <r>
      <rPr>
        <vertAlign val="subscript"/>
        <sz val="11"/>
        <color theme="1"/>
        <rFont val="Calibri"/>
        <family val="2"/>
        <scheme val="minor"/>
      </rPr>
      <t xml:space="preserve">threadedrod_top </t>
    </r>
    <r>
      <rPr>
        <sz val="11"/>
        <color theme="1"/>
        <rFont val="Calibri"/>
        <family val="2"/>
        <scheme val="minor"/>
      </rPr>
      <t>=</t>
    </r>
  </si>
  <si>
    <r>
      <t>ΦPn</t>
    </r>
    <r>
      <rPr>
        <vertAlign val="subscript"/>
        <sz val="11"/>
        <color theme="1"/>
        <rFont val="Calibri"/>
        <family val="2"/>
      </rPr>
      <t>threadedrod_top</t>
    </r>
    <r>
      <rPr>
        <sz val="11"/>
        <color theme="1"/>
        <rFont val="Calibri"/>
        <family val="2"/>
      </rPr>
      <t xml:space="preserve"> =</t>
    </r>
  </si>
  <si>
    <t>FLANGE AND STIFFENER PROPERTIES</t>
  </si>
  <si>
    <t>Flange Thickness:</t>
  </si>
  <si>
    <t>Height of Stiffeners:</t>
  </si>
  <si>
    <t>Notch of Stiffeners:</t>
  </si>
  <si>
    <t>Length of Stiffeners:</t>
  </si>
  <si>
    <t>Thickness of Stiffeners:</t>
  </si>
  <si>
    <t>Yield Strength of Stiffeners:</t>
  </si>
  <si>
    <t>Ultimate Strength of Stiffeners:</t>
  </si>
  <si>
    <r>
      <t>t</t>
    </r>
    <r>
      <rPr>
        <vertAlign val="subscript"/>
        <sz val="11"/>
        <color theme="1"/>
        <rFont val="Calibri"/>
        <family val="2"/>
        <scheme val="minor"/>
      </rPr>
      <t>flange_bot</t>
    </r>
    <r>
      <rPr>
        <sz val="11"/>
        <color theme="1"/>
        <rFont val="Calibri"/>
        <family val="2"/>
        <scheme val="minor"/>
      </rPr>
      <t xml:space="preserve"> =</t>
    </r>
  </si>
  <si>
    <r>
      <t>h</t>
    </r>
    <r>
      <rPr>
        <vertAlign val="subscript"/>
        <sz val="11"/>
        <color theme="1"/>
        <rFont val="Calibri"/>
        <family val="2"/>
        <scheme val="minor"/>
      </rPr>
      <t>stiffener_bot</t>
    </r>
    <r>
      <rPr>
        <sz val="11"/>
        <color theme="1"/>
        <rFont val="Calibri"/>
        <family val="2"/>
        <scheme val="minor"/>
      </rPr>
      <t xml:space="preserve"> =</t>
    </r>
  </si>
  <si>
    <r>
      <t>notch</t>
    </r>
    <r>
      <rPr>
        <vertAlign val="subscript"/>
        <sz val="11"/>
        <color theme="1"/>
        <rFont val="Calibri"/>
        <family val="2"/>
        <scheme val="minor"/>
      </rPr>
      <t>stiffener_bot</t>
    </r>
    <r>
      <rPr>
        <sz val="11"/>
        <color theme="1"/>
        <rFont val="Calibri"/>
        <family val="2"/>
        <scheme val="minor"/>
      </rPr>
      <t xml:space="preserve"> =</t>
    </r>
  </si>
  <si>
    <r>
      <t>L</t>
    </r>
    <r>
      <rPr>
        <vertAlign val="subscript"/>
        <sz val="11"/>
        <color theme="1"/>
        <rFont val="Calibri"/>
        <family val="2"/>
        <scheme val="minor"/>
      </rPr>
      <t>stiffener_bot</t>
    </r>
    <r>
      <rPr>
        <sz val="11"/>
        <color theme="1"/>
        <rFont val="Calibri"/>
        <family val="2"/>
        <scheme val="minor"/>
      </rPr>
      <t xml:space="preserve"> =</t>
    </r>
  </si>
  <si>
    <r>
      <t>t</t>
    </r>
    <r>
      <rPr>
        <vertAlign val="subscript"/>
        <sz val="11"/>
        <color theme="1"/>
        <rFont val="Calibri"/>
        <family val="2"/>
        <scheme val="minor"/>
      </rPr>
      <t>stiffener_bot</t>
    </r>
    <r>
      <rPr>
        <sz val="11"/>
        <color theme="1"/>
        <rFont val="Calibri"/>
        <family val="2"/>
        <scheme val="minor"/>
      </rPr>
      <t xml:space="preserve"> =</t>
    </r>
  </si>
  <si>
    <r>
      <t>Fy</t>
    </r>
    <r>
      <rPr>
        <vertAlign val="subscript"/>
        <sz val="11"/>
        <color theme="1"/>
        <rFont val="Calibri"/>
        <family val="2"/>
        <scheme val="minor"/>
      </rPr>
      <t>stiffener_bot</t>
    </r>
    <r>
      <rPr>
        <sz val="11"/>
        <color theme="1"/>
        <rFont val="Calibri"/>
        <family val="2"/>
        <scheme val="minor"/>
      </rPr>
      <t xml:space="preserve"> =</t>
    </r>
  </si>
  <si>
    <r>
      <t>Fu</t>
    </r>
    <r>
      <rPr>
        <vertAlign val="subscript"/>
        <sz val="11"/>
        <color theme="1"/>
        <rFont val="Calibri"/>
        <family val="2"/>
        <scheme val="minor"/>
      </rPr>
      <t>stiffener_bot</t>
    </r>
    <r>
      <rPr>
        <sz val="11"/>
        <color theme="1"/>
        <rFont val="Calibri"/>
        <family val="2"/>
        <scheme val="minor"/>
      </rPr>
      <t xml:space="preserve"> =</t>
    </r>
  </si>
  <si>
    <t>WELD PROPERTIES</t>
  </si>
  <si>
    <t>Electrode Strength:</t>
  </si>
  <si>
    <t>/16 in</t>
  </si>
  <si>
    <r>
      <t>arm</t>
    </r>
    <r>
      <rPr>
        <vertAlign val="subscript"/>
        <sz val="11"/>
        <color theme="1"/>
        <rFont val="Calibri"/>
        <family val="2"/>
        <scheme val="minor"/>
      </rPr>
      <t xml:space="preserve">sp_bot </t>
    </r>
    <r>
      <rPr>
        <sz val="11"/>
        <color theme="1"/>
        <rFont val="Calibri"/>
        <family val="2"/>
        <scheme val="minor"/>
      </rPr>
      <t>=</t>
    </r>
  </si>
  <si>
    <t>Split Pipe Moment Arm:</t>
  </si>
  <si>
    <t>Eccentrically Loaded Weld Group Elastic Method</t>
  </si>
  <si>
    <t>Horizontal Fillet Weld 1:</t>
  </si>
  <si>
    <t>Horizontal Fillet Weld 2:</t>
  </si>
  <si>
    <t>Vertical Fillet Welds:</t>
  </si>
  <si>
    <t>Weld Group:</t>
  </si>
  <si>
    <t>Total Moment of Inertia of Weld Group:</t>
  </si>
  <si>
    <r>
      <t>in</t>
    </r>
    <r>
      <rPr>
        <vertAlign val="superscript"/>
        <sz val="11"/>
        <color theme="1"/>
        <rFont val="Calibri"/>
        <family val="2"/>
        <scheme val="minor"/>
      </rPr>
      <t>4</t>
    </r>
    <r>
      <rPr>
        <sz val="11"/>
        <color theme="1"/>
        <rFont val="Calibri"/>
        <family val="2"/>
        <scheme val="minor"/>
      </rPr>
      <t>/in</t>
    </r>
  </si>
  <si>
    <t>Shear Force per Linear Inch:</t>
  </si>
  <si>
    <t>kip/in</t>
  </si>
  <si>
    <t>Resultant Component:</t>
  </si>
  <si>
    <t>Resultant Force:</t>
  </si>
  <si>
    <t>Nominal Weld Strength:</t>
  </si>
  <si>
    <t>Φw =</t>
  </si>
  <si>
    <t>Reduction Factor for Welds:</t>
  </si>
  <si>
    <t>Design Weld Strength:</t>
  </si>
  <si>
    <t>STIFFENER HORIZONTAL WELDS (COMPRESSION)</t>
  </si>
  <si>
    <t>Reduction Factor for Tension Rupture:</t>
  </si>
  <si>
    <t>Length of Horizontal Stiffener Fillet Welds:</t>
  </si>
  <si>
    <t>Vertical Force per Stiffener:</t>
  </si>
  <si>
    <t>Area of Welds:</t>
  </si>
  <si>
    <t>Quantity of Welds:</t>
  </si>
  <si>
    <t>STIFFENER HORIZONTAL WELDS (TENSION)</t>
  </si>
  <si>
    <r>
      <t>Φ</t>
    </r>
    <r>
      <rPr>
        <sz val="14.3"/>
        <color theme="1"/>
        <rFont val="Calibri"/>
        <family val="2"/>
      </rPr>
      <t>tr =</t>
    </r>
  </si>
  <si>
    <r>
      <t>n</t>
    </r>
    <r>
      <rPr>
        <vertAlign val="subscript"/>
        <sz val="11"/>
        <color theme="1"/>
        <rFont val="Calibri"/>
        <family val="2"/>
        <scheme val="minor"/>
      </rPr>
      <t>bolts_existing</t>
    </r>
    <r>
      <rPr>
        <sz val="11"/>
        <color theme="1"/>
        <rFont val="Calibri"/>
        <family val="2"/>
        <scheme val="minor"/>
      </rPr>
      <t xml:space="preserve"> =</t>
    </r>
  </si>
  <si>
    <t>Quantity of Existing Flange Bolts:</t>
  </si>
  <si>
    <r>
      <t>T</t>
    </r>
    <r>
      <rPr>
        <vertAlign val="subscript"/>
        <sz val="11"/>
        <color theme="1"/>
        <rFont val="Calibri"/>
        <family val="2"/>
        <scheme val="minor"/>
      </rPr>
      <t>threadedrod_distributed</t>
    </r>
    <r>
      <rPr>
        <sz val="11"/>
        <color theme="1"/>
        <rFont val="Calibri"/>
        <family val="2"/>
        <scheme val="minor"/>
      </rPr>
      <t xml:space="preserve"> =</t>
    </r>
  </si>
  <si>
    <r>
      <t>r</t>
    </r>
    <r>
      <rPr>
        <vertAlign val="subscript"/>
        <sz val="11"/>
        <color theme="1"/>
        <rFont val="Calibri"/>
        <family val="2"/>
        <scheme val="minor"/>
      </rPr>
      <t>p_tens</t>
    </r>
    <r>
      <rPr>
        <sz val="11"/>
        <color theme="1"/>
        <rFont val="Calibri"/>
        <family val="2"/>
        <scheme val="minor"/>
      </rPr>
      <t xml:space="preserve"> =</t>
    </r>
  </si>
  <si>
    <t>Force Distributed to Threaded Rods:</t>
  </si>
  <si>
    <r>
      <t>r</t>
    </r>
    <r>
      <rPr>
        <vertAlign val="subscript"/>
        <sz val="11"/>
        <color theme="1"/>
        <rFont val="Calibri"/>
        <family val="2"/>
        <scheme val="minor"/>
      </rPr>
      <t>m_tens</t>
    </r>
    <r>
      <rPr>
        <sz val="11"/>
        <color theme="1"/>
        <rFont val="Calibri"/>
        <family val="2"/>
        <scheme val="minor"/>
      </rPr>
      <t xml:space="preserve"> =</t>
    </r>
  </si>
  <si>
    <r>
      <t>r</t>
    </r>
    <r>
      <rPr>
        <vertAlign val="subscript"/>
        <sz val="11"/>
        <color theme="1"/>
        <rFont val="Calibri"/>
        <family val="2"/>
        <scheme val="minor"/>
      </rPr>
      <t>u_tens</t>
    </r>
    <r>
      <rPr>
        <sz val="11"/>
        <color theme="1"/>
        <rFont val="Calibri"/>
        <family val="2"/>
        <scheme val="minor"/>
      </rPr>
      <t xml:space="preserve"> =</t>
    </r>
  </si>
  <si>
    <r>
      <t>Rn</t>
    </r>
    <r>
      <rPr>
        <vertAlign val="subscript"/>
        <sz val="11"/>
        <color theme="1"/>
        <rFont val="Calibri"/>
        <family val="2"/>
        <scheme val="minor"/>
      </rPr>
      <t xml:space="preserve">weld_tens </t>
    </r>
    <r>
      <rPr>
        <sz val="11"/>
        <color theme="1"/>
        <rFont val="Calibri"/>
        <family val="2"/>
        <scheme val="minor"/>
      </rPr>
      <t>=</t>
    </r>
  </si>
  <si>
    <r>
      <rPr>
        <sz val="11"/>
        <color theme="1"/>
        <rFont val="Calibri"/>
        <family val="2"/>
      </rPr>
      <t>Φ</t>
    </r>
    <r>
      <rPr>
        <sz val="11"/>
        <color theme="1"/>
        <rFont val="Calibri"/>
        <family val="2"/>
        <scheme val="minor"/>
      </rPr>
      <t>Rn</t>
    </r>
    <r>
      <rPr>
        <vertAlign val="subscript"/>
        <sz val="11"/>
        <color theme="1"/>
        <rFont val="Calibri"/>
        <family val="2"/>
        <scheme val="minor"/>
      </rPr>
      <t xml:space="preserve">weld_tens </t>
    </r>
    <r>
      <rPr>
        <sz val="11"/>
        <color theme="1"/>
        <rFont val="Calibri"/>
        <family val="2"/>
        <scheme val="minor"/>
      </rPr>
      <t>=</t>
    </r>
  </si>
  <si>
    <r>
      <t>r</t>
    </r>
    <r>
      <rPr>
        <b/>
        <vertAlign val="subscript"/>
        <sz val="11"/>
        <color theme="1"/>
        <rFont val="Calibri"/>
        <family val="2"/>
        <scheme val="minor"/>
      </rPr>
      <t>u_tens</t>
    </r>
    <r>
      <rPr>
        <b/>
        <sz val="11"/>
        <color theme="1"/>
        <rFont val="Calibri"/>
        <family val="2"/>
        <scheme val="minor"/>
      </rPr>
      <t xml:space="preserve"> =</t>
    </r>
  </si>
  <si>
    <r>
      <rPr>
        <b/>
        <sz val="11"/>
        <color theme="1"/>
        <rFont val="Calibri"/>
        <family val="2"/>
      </rPr>
      <t>Φ</t>
    </r>
    <r>
      <rPr>
        <b/>
        <sz val="11"/>
        <color theme="1"/>
        <rFont val="Calibri"/>
        <family val="2"/>
        <scheme val="minor"/>
      </rPr>
      <t>Rn</t>
    </r>
    <r>
      <rPr>
        <b/>
        <vertAlign val="subscript"/>
        <sz val="11"/>
        <color theme="1"/>
        <rFont val="Calibri"/>
        <family val="2"/>
        <scheme val="minor"/>
      </rPr>
      <t xml:space="preserve">weld_tens </t>
    </r>
    <r>
      <rPr>
        <b/>
        <sz val="11"/>
        <color theme="1"/>
        <rFont val="Calibri"/>
        <family val="2"/>
        <scheme val="minor"/>
      </rPr>
      <t>=</t>
    </r>
  </si>
  <si>
    <t>STIFFENER CHECKS</t>
  </si>
  <si>
    <r>
      <t>Φ</t>
    </r>
    <r>
      <rPr>
        <sz val="14.3"/>
        <color theme="1"/>
        <rFont val="Calibri"/>
        <family val="2"/>
      </rPr>
      <t>ty =</t>
    </r>
  </si>
  <si>
    <t>Reduction Factor for Tension Yield:</t>
  </si>
  <si>
    <r>
      <t>Φ</t>
    </r>
    <r>
      <rPr>
        <sz val="14.3"/>
        <color theme="1"/>
        <rFont val="Calibri"/>
        <family val="2"/>
      </rPr>
      <t>v =</t>
    </r>
  </si>
  <si>
    <t>Reduction Factor for Shear:</t>
  </si>
  <si>
    <r>
      <t>A</t>
    </r>
    <r>
      <rPr>
        <vertAlign val="subscript"/>
        <sz val="11"/>
        <color theme="1"/>
        <rFont val="Calibri"/>
        <family val="2"/>
        <scheme val="minor"/>
      </rPr>
      <t>stiffener_bot</t>
    </r>
    <r>
      <rPr>
        <sz val="11"/>
        <color theme="1"/>
        <rFont val="Calibri"/>
        <family val="2"/>
        <scheme val="minor"/>
      </rPr>
      <t xml:space="preserve"> =</t>
    </r>
  </si>
  <si>
    <t>Cross-Sectional Area of Bottom of Stiffener:</t>
  </si>
  <si>
    <t>Horizontal Force per Stiffener:</t>
  </si>
  <si>
    <t>Tension Yield Nominal Capacity:</t>
  </si>
  <si>
    <t>Tension Yield Design Capacity:</t>
  </si>
  <si>
    <t>Shear Nominal Capacity:</t>
  </si>
  <si>
    <t>Shear Design Capacity:</t>
  </si>
  <si>
    <t>INTERACTION RATING:</t>
  </si>
  <si>
    <r>
      <t>A</t>
    </r>
    <r>
      <rPr>
        <vertAlign val="subscript"/>
        <sz val="11"/>
        <color theme="1"/>
        <rFont val="Calibri"/>
        <family val="2"/>
        <scheme val="minor"/>
      </rPr>
      <t>stiffener_top</t>
    </r>
    <r>
      <rPr>
        <sz val="11"/>
        <color theme="1"/>
        <rFont val="Calibri"/>
        <family val="2"/>
        <scheme val="minor"/>
      </rPr>
      <t xml:space="preserve"> =</t>
    </r>
  </si>
  <si>
    <t>Cross-Sectional Area of Top of Stiffener:</t>
  </si>
  <si>
    <r>
      <t>Rnt</t>
    </r>
    <r>
      <rPr>
        <vertAlign val="subscript"/>
        <sz val="11"/>
        <color theme="1"/>
        <rFont val="Calibri"/>
        <family val="2"/>
        <scheme val="minor"/>
      </rPr>
      <t xml:space="preserve">stiffener_bot </t>
    </r>
    <r>
      <rPr>
        <sz val="11"/>
        <color theme="1"/>
        <rFont val="Calibri"/>
        <family val="2"/>
        <scheme val="minor"/>
      </rPr>
      <t>=</t>
    </r>
  </si>
  <si>
    <r>
      <rPr>
        <sz val="11"/>
        <color theme="1"/>
        <rFont val="Calibri"/>
        <family val="2"/>
      </rPr>
      <t>Φ</t>
    </r>
    <r>
      <rPr>
        <sz val="11"/>
        <color theme="1"/>
        <rFont val="Calibri"/>
        <family val="2"/>
        <scheme val="minor"/>
      </rPr>
      <t>Rnt</t>
    </r>
    <r>
      <rPr>
        <vertAlign val="subscript"/>
        <sz val="11"/>
        <color theme="1"/>
        <rFont val="Calibri"/>
        <family val="2"/>
        <scheme val="minor"/>
      </rPr>
      <t xml:space="preserve">stiffener_bot </t>
    </r>
    <r>
      <rPr>
        <sz val="11"/>
        <color theme="1"/>
        <rFont val="Calibri"/>
        <family val="2"/>
        <scheme val="minor"/>
      </rPr>
      <t>=</t>
    </r>
  </si>
  <si>
    <r>
      <t>Rnv</t>
    </r>
    <r>
      <rPr>
        <vertAlign val="subscript"/>
        <sz val="11"/>
        <color theme="1"/>
        <rFont val="Calibri"/>
        <family val="2"/>
        <scheme val="minor"/>
      </rPr>
      <t xml:space="preserve">stiffener_bot </t>
    </r>
    <r>
      <rPr>
        <sz val="11"/>
        <color theme="1"/>
        <rFont val="Calibri"/>
        <family val="2"/>
        <scheme val="minor"/>
      </rPr>
      <t>=</t>
    </r>
  </si>
  <si>
    <r>
      <rPr>
        <sz val="11"/>
        <color theme="1"/>
        <rFont val="Calibri"/>
        <family val="2"/>
      </rPr>
      <t>Φ</t>
    </r>
    <r>
      <rPr>
        <sz val="11"/>
        <color theme="1"/>
        <rFont val="Calibri"/>
        <family val="2"/>
        <scheme val="minor"/>
      </rPr>
      <t>Rnv</t>
    </r>
    <r>
      <rPr>
        <vertAlign val="subscript"/>
        <sz val="11"/>
        <color theme="1"/>
        <rFont val="Calibri"/>
        <family val="2"/>
        <scheme val="minor"/>
      </rPr>
      <t xml:space="preserve">stiffener_bot </t>
    </r>
    <r>
      <rPr>
        <sz val="11"/>
        <color theme="1"/>
        <rFont val="Calibri"/>
        <family val="2"/>
        <scheme val="minor"/>
      </rPr>
      <t>=</t>
    </r>
  </si>
  <si>
    <r>
      <t>Rnt</t>
    </r>
    <r>
      <rPr>
        <vertAlign val="subscript"/>
        <sz val="11"/>
        <color theme="1"/>
        <rFont val="Calibri"/>
        <family val="2"/>
        <scheme val="minor"/>
      </rPr>
      <t xml:space="preserve">stiffener_top </t>
    </r>
    <r>
      <rPr>
        <sz val="11"/>
        <color theme="1"/>
        <rFont val="Calibri"/>
        <family val="2"/>
        <scheme val="minor"/>
      </rPr>
      <t>=</t>
    </r>
  </si>
  <si>
    <r>
      <rPr>
        <sz val="11"/>
        <color theme="1"/>
        <rFont val="Calibri"/>
        <family val="2"/>
      </rPr>
      <t>Φ</t>
    </r>
    <r>
      <rPr>
        <sz val="11"/>
        <color theme="1"/>
        <rFont val="Calibri"/>
        <family val="2"/>
        <scheme val="minor"/>
      </rPr>
      <t>Rnt</t>
    </r>
    <r>
      <rPr>
        <vertAlign val="subscript"/>
        <sz val="11"/>
        <color theme="1"/>
        <rFont val="Calibri"/>
        <family val="2"/>
        <scheme val="minor"/>
      </rPr>
      <t xml:space="preserve">stiffener_top </t>
    </r>
    <r>
      <rPr>
        <sz val="11"/>
        <color theme="1"/>
        <rFont val="Calibri"/>
        <family val="2"/>
        <scheme val="minor"/>
      </rPr>
      <t>=</t>
    </r>
  </si>
  <si>
    <r>
      <t>Rnv</t>
    </r>
    <r>
      <rPr>
        <vertAlign val="subscript"/>
        <sz val="11"/>
        <color theme="1"/>
        <rFont val="Calibri"/>
        <family val="2"/>
        <scheme val="minor"/>
      </rPr>
      <t xml:space="preserve">stiffener_top </t>
    </r>
    <r>
      <rPr>
        <sz val="11"/>
        <color theme="1"/>
        <rFont val="Calibri"/>
        <family val="2"/>
        <scheme val="minor"/>
      </rPr>
      <t>=</t>
    </r>
  </si>
  <si>
    <r>
      <rPr>
        <sz val="11"/>
        <color theme="1"/>
        <rFont val="Calibri"/>
        <family val="2"/>
      </rPr>
      <t>Φ</t>
    </r>
    <r>
      <rPr>
        <sz val="11"/>
        <color theme="1"/>
        <rFont val="Calibri"/>
        <family val="2"/>
        <scheme val="minor"/>
      </rPr>
      <t>Rnv</t>
    </r>
    <r>
      <rPr>
        <vertAlign val="subscript"/>
        <sz val="11"/>
        <color theme="1"/>
        <rFont val="Calibri"/>
        <family val="2"/>
        <scheme val="minor"/>
      </rPr>
      <t xml:space="preserve">stiffener_top </t>
    </r>
    <r>
      <rPr>
        <sz val="11"/>
        <color theme="1"/>
        <rFont val="Calibri"/>
        <family val="2"/>
        <scheme val="minor"/>
      </rPr>
      <t>=</t>
    </r>
  </si>
  <si>
    <r>
      <t>Fnt</t>
    </r>
    <r>
      <rPr>
        <vertAlign val="subscript"/>
        <sz val="11"/>
        <color theme="1"/>
        <rFont val="Calibri"/>
        <family val="2"/>
        <scheme val="minor"/>
      </rPr>
      <t>Ubolt</t>
    </r>
    <r>
      <rPr>
        <sz val="11"/>
        <color theme="1"/>
        <rFont val="Calibri"/>
        <family val="2"/>
        <scheme val="minor"/>
      </rPr>
      <t xml:space="preserve"> =</t>
    </r>
  </si>
  <si>
    <r>
      <t>A</t>
    </r>
    <r>
      <rPr>
        <vertAlign val="subscript"/>
        <sz val="11"/>
        <color theme="1"/>
        <rFont val="Calibri"/>
        <family val="2"/>
        <scheme val="minor"/>
      </rPr>
      <t xml:space="preserve">gross_Ubolt </t>
    </r>
    <r>
      <rPr>
        <sz val="11"/>
        <color theme="1"/>
        <rFont val="Calibri"/>
        <family val="2"/>
        <scheme val="minor"/>
      </rPr>
      <t>=</t>
    </r>
  </si>
  <si>
    <r>
      <t>Φ</t>
    </r>
    <r>
      <rPr>
        <vertAlign val="subscript"/>
        <sz val="14.3"/>
        <color theme="1"/>
        <rFont val="Calibri"/>
        <family val="2"/>
      </rPr>
      <t>ubolt</t>
    </r>
    <r>
      <rPr>
        <sz val="14.3"/>
        <color theme="1"/>
        <rFont val="Calibri"/>
        <family val="2"/>
      </rPr>
      <t xml:space="preserve"> =</t>
    </r>
  </si>
  <si>
    <t>Reduction Factor for U-Bolts:</t>
  </si>
  <si>
    <t>Distance from Centroid of Built-Up Section to Bolt (Positive):</t>
  </si>
  <si>
    <t>Distance from Centroid of Built-Up Section to Bolt (Negative):</t>
  </si>
  <si>
    <t>kip/bolt</t>
  </si>
  <si>
    <t>kip/rod</t>
  </si>
  <si>
    <t>kip*in/rod</t>
  </si>
  <si>
    <t>Compressive Force per Threaded Rod:</t>
  </si>
  <si>
    <t>Moment per Threaded Rod:</t>
  </si>
  <si>
    <t>Tension per U-Bolt:</t>
  </si>
  <si>
    <t>Design Tensile Strength per U-Bolt:</t>
  </si>
  <si>
    <r>
      <t>Φ</t>
    </r>
    <r>
      <rPr>
        <vertAlign val="subscript"/>
        <sz val="14.3"/>
        <color theme="1"/>
        <rFont val="Calibri"/>
        <family val="2"/>
      </rPr>
      <t>Ubolt</t>
    </r>
    <r>
      <rPr>
        <sz val="14.3"/>
        <color theme="1"/>
        <rFont val="Calibri"/>
        <family val="2"/>
      </rPr>
      <t xml:space="preserve"> =</t>
    </r>
  </si>
  <si>
    <r>
      <t>ΦRn</t>
    </r>
    <r>
      <rPr>
        <vertAlign val="subscript"/>
        <sz val="14.3"/>
        <color theme="1"/>
        <rFont val="Calibri"/>
        <family val="2"/>
      </rPr>
      <t>Ubolt</t>
    </r>
    <r>
      <rPr>
        <sz val="14.3"/>
        <color theme="1"/>
        <rFont val="Calibri"/>
        <family val="2"/>
      </rPr>
      <t xml:space="preserve"> =</t>
    </r>
  </si>
  <si>
    <t>Ratio of Force Distributed to Existing Components:</t>
  </si>
  <si>
    <t>Ratio of Force Distributed to Proposed Compenents:</t>
  </si>
  <si>
    <r>
      <t>Ratio</t>
    </r>
    <r>
      <rPr>
        <vertAlign val="subscript"/>
        <sz val="11"/>
        <color theme="1"/>
        <rFont val="Calibri"/>
        <family val="2"/>
        <scheme val="minor"/>
      </rPr>
      <t>existing</t>
    </r>
    <r>
      <rPr>
        <sz val="11"/>
        <color theme="1"/>
        <rFont val="Calibri"/>
        <family val="2"/>
        <scheme val="minor"/>
      </rPr>
      <t xml:space="preserve"> =</t>
    </r>
  </si>
  <si>
    <r>
      <t>Ratio</t>
    </r>
    <r>
      <rPr>
        <vertAlign val="subscript"/>
        <sz val="11"/>
        <color theme="1"/>
        <rFont val="Calibri"/>
        <family val="2"/>
        <scheme val="minor"/>
      </rPr>
      <t>mod</t>
    </r>
    <r>
      <rPr>
        <sz val="11"/>
        <color theme="1"/>
        <rFont val="Calibri"/>
        <family val="2"/>
        <scheme val="minor"/>
      </rPr>
      <t xml:space="preserve"> =</t>
    </r>
  </si>
  <si>
    <r>
      <t>A</t>
    </r>
    <r>
      <rPr>
        <vertAlign val="subscript"/>
        <sz val="11"/>
        <color theme="1"/>
        <rFont val="Calibri"/>
        <family val="2"/>
        <scheme val="minor"/>
      </rPr>
      <t>leg</t>
    </r>
  </si>
  <si>
    <r>
      <t>A</t>
    </r>
    <r>
      <rPr>
        <vertAlign val="subscript"/>
        <sz val="11"/>
        <color theme="1"/>
        <rFont val="Calibri"/>
        <family val="2"/>
        <scheme val="minor"/>
      </rPr>
      <t>rein</t>
    </r>
  </si>
  <si>
    <t>User Input</t>
  </si>
  <si>
    <r>
      <rPr>
        <sz val="11"/>
        <color theme="1"/>
        <rFont val="Calibri"/>
        <family val="2"/>
      </rPr>
      <t>π</t>
    </r>
    <r>
      <rPr>
        <sz val="11"/>
        <color theme="1"/>
        <rFont val="Calibri"/>
        <family val="2"/>
        <scheme val="minor"/>
      </rPr>
      <t>/4 * (d</t>
    </r>
    <r>
      <rPr>
        <vertAlign val="subscript"/>
        <sz val="11"/>
        <color theme="1"/>
        <rFont val="Calibri"/>
        <family val="2"/>
        <scheme val="minor"/>
      </rPr>
      <t xml:space="preserve">threadedrod_bot </t>
    </r>
    <r>
      <rPr>
        <sz val="11"/>
        <color theme="1"/>
        <rFont val="Calibri"/>
        <family val="2"/>
        <scheme val="minor"/>
      </rPr>
      <t>- (0.9347/n</t>
    </r>
    <r>
      <rPr>
        <vertAlign val="subscript"/>
        <sz val="11"/>
        <color theme="1"/>
        <rFont val="Calibri"/>
        <family val="2"/>
        <scheme val="minor"/>
      </rPr>
      <t>threadedrod_threads_bot</t>
    </r>
    <r>
      <rPr>
        <sz val="11"/>
        <color theme="1"/>
        <rFont val="Calibri"/>
        <family val="2"/>
        <scheme val="minor"/>
      </rPr>
      <t>))</t>
    </r>
    <r>
      <rPr>
        <vertAlign val="superscript"/>
        <sz val="11"/>
        <color theme="1"/>
        <rFont val="Calibri"/>
        <family val="2"/>
        <scheme val="minor"/>
      </rPr>
      <t>2</t>
    </r>
  </si>
  <si>
    <r>
      <rPr>
        <sz val="11"/>
        <color theme="1"/>
        <rFont val="Calibri"/>
        <family val="2"/>
      </rPr>
      <t>π</t>
    </r>
    <r>
      <rPr>
        <sz val="11"/>
        <color theme="1"/>
        <rFont val="Calibri"/>
        <family val="2"/>
        <scheme val="minor"/>
      </rPr>
      <t>/4 * (d</t>
    </r>
    <r>
      <rPr>
        <vertAlign val="subscript"/>
        <sz val="11"/>
        <color theme="1"/>
        <rFont val="Calibri"/>
        <family val="2"/>
        <scheme val="minor"/>
      </rPr>
      <t>threadedrod_bot</t>
    </r>
    <r>
      <rPr>
        <vertAlign val="superscript"/>
        <sz val="11"/>
        <color theme="1"/>
        <rFont val="Calibri"/>
        <family val="2"/>
        <scheme val="minor"/>
      </rPr>
      <t>2</t>
    </r>
    <r>
      <rPr>
        <sz val="11"/>
        <color theme="1"/>
        <rFont val="Calibri"/>
        <family val="2"/>
        <scheme val="minor"/>
      </rPr>
      <t>)</t>
    </r>
  </si>
  <si>
    <r>
      <t>ΦPn * Ratio</t>
    </r>
    <r>
      <rPr>
        <vertAlign val="subscript"/>
        <sz val="11"/>
        <color theme="1"/>
        <rFont val="Calibri"/>
        <family val="2"/>
        <scheme val="minor"/>
      </rPr>
      <t>existing</t>
    </r>
  </si>
  <si>
    <r>
      <t>ΦPn * Ratio</t>
    </r>
    <r>
      <rPr>
        <vertAlign val="subscript"/>
        <sz val="11"/>
        <color theme="1"/>
        <rFont val="Calibri"/>
        <family val="2"/>
        <scheme val="minor"/>
      </rPr>
      <t>mod</t>
    </r>
  </si>
  <si>
    <r>
      <t>d</t>
    </r>
    <r>
      <rPr>
        <vertAlign val="subscript"/>
        <sz val="11"/>
        <color theme="1"/>
        <rFont val="Calibri"/>
        <family val="2"/>
        <scheme val="minor"/>
      </rPr>
      <t xml:space="preserve">threadedrod_bot </t>
    </r>
    <r>
      <rPr>
        <sz val="11"/>
        <color theme="1"/>
        <rFont val="Calibri"/>
        <family val="2"/>
        <scheme val="minor"/>
      </rPr>
      <t>/ 4</t>
    </r>
  </si>
  <si>
    <r>
      <rPr>
        <sz val="11"/>
        <color theme="1"/>
        <rFont val="Calibri"/>
        <family val="2"/>
      </rPr>
      <t>π</t>
    </r>
    <r>
      <rPr>
        <sz val="11"/>
        <color theme="1"/>
        <rFont val="Calibri"/>
        <family val="2"/>
        <scheme val="minor"/>
      </rPr>
      <t>/4 * (d</t>
    </r>
    <r>
      <rPr>
        <vertAlign val="subscript"/>
        <sz val="11"/>
        <color theme="1"/>
        <rFont val="Calibri"/>
        <family val="2"/>
        <scheme val="minor"/>
      </rPr>
      <t>threadedrod_top</t>
    </r>
    <r>
      <rPr>
        <vertAlign val="superscript"/>
        <sz val="11"/>
        <color theme="1"/>
        <rFont val="Calibri"/>
        <family val="2"/>
        <scheme val="minor"/>
      </rPr>
      <t>2</t>
    </r>
    <r>
      <rPr>
        <sz val="11"/>
        <color theme="1"/>
        <rFont val="Calibri"/>
        <family val="2"/>
        <scheme val="minor"/>
      </rPr>
      <t>)</t>
    </r>
  </si>
  <si>
    <r>
      <rPr>
        <sz val="11"/>
        <color theme="1"/>
        <rFont val="Calibri"/>
        <family val="2"/>
      </rPr>
      <t>π</t>
    </r>
    <r>
      <rPr>
        <sz val="11"/>
        <color theme="1"/>
        <rFont val="Calibri"/>
        <family val="2"/>
        <scheme val="minor"/>
      </rPr>
      <t>/4 * (d</t>
    </r>
    <r>
      <rPr>
        <vertAlign val="subscript"/>
        <sz val="11"/>
        <color theme="1"/>
        <rFont val="Calibri"/>
        <family val="2"/>
        <scheme val="minor"/>
      </rPr>
      <t xml:space="preserve">threadedrod_top </t>
    </r>
    <r>
      <rPr>
        <sz val="11"/>
        <color theme="1"/>
        <rFont val="Calibri"/>
        <family val="2"/>
        <scheme val="minor"/>
      </rPr>
      <t>- (0.9347/n</t>
    </r>
    <r>
      <rPr>
        <vertAlign val="subscript"/>
        <sz val="11"/>
        <color theme="1"/>
        <rFont val="Calibri"/>
        <family val="2"/>
        <scheme val="minor"/>
      </rPr>
      <t>threadedrod_threads_top</t>
    </r>
    <r>
      <rPr>
        <sz val="11"/>
        <color theme="1"/>
        <rFont val="Calibri"/>
        <family val="2"/>
        <scheme val="minor"/>
      </rPr>
      <t>))</t>
    </r>
    <r>
      <rPr>
        <vertAlign val="superscript"/>
        <sz val="11"/>
        <color theme="1"/>
        <rFont val="Calibri"/>
        <family val="2"/>
        <scheme val="minor"/>
      </rPr>
      <t>2</t>
    </r>
  </si>
  <si>
    <r>
      <t>d</t>
    </r>
    <r>
      <rPr>
        <vertAlign val="subscript"/>
        <sz val="11"/>
        <color theme="1"/>
        <rFont val="Calibri"/>
        <family val="2"/>
        <scheme val="minor"/>
      </rPr>
      <t xml:space="preserve">threadedrod_top </t>
    </r>
    <r>
      <rPr>
        <sz val="11"/>
        <color theme="1"/>
        <rFont val="Calibri"/>
        <family val="2"/>
        <scheme val="minor"/>
      </rPr>
      <t>/ 4</t>
    </r>
  </si>
  <si>
    <t>29000 ksi</t>
  </si>
  <si>
    <r>
      <t>(</t>
    </r>
    <r>
      <rPr>
        <sz val="11"/>
        <color theme="1"/>
        <rFont val="Calibri"/>
        <family val="2"/>
      </rPr>
      <t>π</t>
    </r>
    <r>
      <rPr>
        <vertAlign val="superscript"/>
        <sz val="11"/>
        <color theme="1"/>
        <rFont val="Calibri"/>
        <family val="2"/>
        <scheme val="minor"/>
      </rPr>
      <t xml:space="preserve">2 </t>
    </r>
    <r>
      <rPr>
        <sz val="11"/>
        <color theme="1"/>
        <rFont val="Calibri"/>
        <family val="2"/>
        <scheme val="minor"/>
      </rPr>
      <t>* E) / (KL_r</t>
    </r>
    <r>
      <rPr>
        <vertAlign val="subscript"/>
        <sz val="11"/>
        <color theme="1"/>
        <rFont val="Calibri"/>
        <family val="2"/>
        <scheme val="minor"/>
      </rPr>
      <t>threadedrod_bot</t>
    </r>
    <r>
      <rPr>
        <vertAlign val="superscript"/>
        <sz val="11"/>
        <color theme="1"/>
        <rFont val="Calibri"/>
        <family val="2"/>
        <scheme val="minor"/>
      </rPr>
      <t>2</t>
    </r>
    <r>
      <rPr>
        <sz val="11"/>
        <color theme="1"/>
        <rFont val="Calibri"/>
        <family val="2"/>
        <scheme val="minor"/>
      </rPr>
      <t>)</t>
    </r>
  </si>
  <si>
    <r>
      <t>Fy</t>
    </r>
    <r>
      <rPr>
        <vertAlign val="subscript"/>
        <sz val="11"/>
        <color theme="1"/>
        <rFont val="Calibri"/>
        <family val="2"/>
        <scheme val="minor"/>
      </rPr>
      <t>threadedrod_bot</t>
    </r>
  </si>
  <si>
    <r>
      <t>(K</t>
    </r>
    <r>
      <rPr>
        <vertAlign val="subscript"/>
        <sz val="11"/>
        <color theme="1"/>
        <rFont val="Calibri"/>
        <family val="2"/>
        <scheme val="minor"/>
      </rPr>
      <t xml:space="preserve">threadedrod </t>
    </r>
    <r>
      <rPr>
        <sz val="11"/>
        <color theme="1"/>
        <rFont val="Calibri"/>
        <family val="2"/>
        <scheme val="minor"/>
      </rPr>
      <t>* Lu</t>
    </r>
    <r>
      <rPr>
        <vertAlign val="subscript"/>
        <sz val="11"/>
        <color theme="1"/>
        <rFont val="Calibri"/>
        <family val="2"/>
        <scheme val="minor"/>
      </rPr>
      <t>threadedrod_top</t>
    </r>
    <r>
      <rPr>
        <sz val="11"/>
        <color theme="1"/>
        <rFont val="Calibri"/>
        <family val="2"/>
        <scheme val="minor"/>
      </rPr>
      <t>) / r</t>
    </r>
    <r>
      <rPr>
        <vertAlign val="subscript"/>
        <sz val="11"/>
        <color theme="1"/>
        <rFont val="Calibri"/>
        <family val="2"/>
        <scheme val="minor"/>
      </rPr>
      <t>threadedrod_net_top</t>
    </r>
  </si>
  <si>
    <r>
      <t>(</t>
    </r>
    <r>
      <rPr>
        <sz val="11"/>
        <color theme="1"/>
        <rFont val="Calibri"/>
        <family val="2"/>
      </rPr>
      <t>π</t>
    </r>
    <r>
      <rPr>
        <vertAlign val="superscript"/>
        <sz val="11"/>
        <color theme="1"/>
        <rFont val="Calibri"/>
        <family val="2"/>
        <scheme val="minor"/>
      </rPr>
      <t xml:space="preserve">2 </t>
    </r>
    <r>
      <rPr>
        <sz val="11"/>
        <color theme="1"/>
        <rFont val="Calibri"/>
        <family val="2"/>
        <scheme val="minor"/>
      </rPr>
      <t>* E) / (KL_r</t>
    </r>
    <r>
      <rPr>
        <vertAlign val="subscript"/>
        <sz val="11"/>
        <color theme="1"/>
        <rFont val="Calibri"/>
        <family val="2"/>
        <scheme val="minor"/>
      </rPr>
      <t>threadedrod_top</t>
    </r>
    <r>
      <rPr>
        <vertAlign val="superscript"/>
        <sz val="11"/>
        <color theme="1"/>
        <rFont val="Calibri"/>
        <family val="2"/>
        <scheme val="minor"/>
      </rPr>
      <t>2</t>
    </r>
    <r>
      <rPr>
        <sz val="11"/>
        <color theme="1"/>
        <rFont val="Calibri"/>
        <family val="2"/>
        <scheme val="minor"/>
      </rPr>
      <t>)</t>
    </r>
  </si>
  <si>
    <r>
      <t>Fy</t>
    </r>
    <r>
      <rPr>
        <vertAlign val="subscript"/>
        <sz val="11"/>
        <color theme="1"/>
        <rFont val="Calibri"/>
        <family val="2"/>
        <scheme val="minor"/>
      </rPr>
      <t>threadedrod_top</t>
    </r>
  </si>
  <si>
    <r>
      <t>BC</t>
    </r>
    <r>
      <rPr>
        <vertAlign val="subscript"/>
        <sz val="11"/>
        <color theme="1"/>
        <rFont val="Calibri"/>
        <family val="2"/>
        <scheme val="minor"/>
      </rPr>
      <t xml:space="preserve">threadedrod_bot </t>
    </r>
    <r>
      <rPr>
        <sz val="11"/>
        <color theme="1"/>
        <rFont val="Calibri"/>
        <family val="2"/>
        <scheme val="minor"/>
      </rPr>
      <t>/ 2 - D</t>
    </r>
    <r>
      <rPr>
        <vertAlign val="subscript"/>
        <sz val="11"/>
        <color theme="1"/>
        <rFont val="Calibri"/>
        <family val="2"/>
        <scheme val="minor"/>
      </rPr>
      <t>leg</t>
    </r>
    <r>
      <rPr>
        <sz val="11"/>
        <color theme="1"/>
        <rFont val="Calibri"/>
        <family val="2"/>
        <scheme val="minor"/>
      </rPr>
      <t xml:space="preserve"> / 2 - T</t>
    </r>
    <r>
      <rPr>
        <vertAlign val="subscript"/>
        <sz val="11"/>
        <color theme="1"/>
        <rFont val="Calibri"/>
        <family val="2"/>
        <scheme val="minor"/>
      </rPr>
      <t>rein</t>
    </r>
  </si>
  <si>
    <r>
      <t xml:space="preserve">0.5 * </t>
    </r>
    <r>
      <rPr>
        <sz val="11"/>
        <color theme="1"/>
        <rFont val="Calibri"/>
        <family val="2"/>
      </rPr>
      <t>π</t>
    </r>
    <r>
      <rPr>
        <sz val="14.3"/>
        <color theme="1"/>
        <rFont val="Calibri"/>
        <family val="2"/>
      </rPr>
      <t xml:space="preserve"> * </t>
    </r>
    <r>
      <rPr>
        <sz val="11"/>
        <color theme="1"/>
        <rFont val="Calibri"/>
        <family val="2"/>
        <scheme val="minor"/>
      </rPr>
      <t>D</t>
    </r>
    <r>
      <rPr>
        <vertAlign val="subscript"/>
        <sz val="11"/>
        <color theme="1"/>
        <rFont val="Abadi Extra Light"/>
        <family val="2"/>
      </rPr>
      <t>sp</t>
    </r>
  </si>
  <si>
    <r>
      <t>t</t>
    </r>
    <r>
      <rPr>
        <vertAlign val="subscript"/>
        <sz val="11"/>
        <color theme="1"/>
        <rFont val="Calibri"/>
        <family val="2"/>
        <scheme val="minor"/>
      </rPr>
      <t>flange_bot</t>
    </r>
  </si>
  <si>
    <r>
      <t>h</t>
    </r>
    <r>
      <rPr>
        <vertAlign val="subscript"/>
        <sz val="11"/>
        <color theme="1"/>
        <rFont val="Calibri"/>
        <family val="2"/>
        <scheme val="minor"/>
      </rPr>
      <t>stiffener_bot</t>
    </r>
    <r>
      <rPr>
        <sz val="11"/>
        <color theme="1"/>
        <rFont val="Calibri"/>
        <family val="2"/>
        <scheme val="minor"/>
      </rPr>
      <t xml:space="preserve"> - notch</t>
    </r>
    <r>
      <rPr>
        <vertAlign val="subscript"/>
        <sz val="11"/>
        <color theme="1"/>
        <rFont val="Calibri"/>
        <family val="2"/>
        <scheme val="minor"/>
      </rPr>
      <t>stiffener_bot</t>
    </r>
  </si>
  <si>
    <r>
      <t>L</t>
    </r>
    <r>
      <rPr>
        <vertAlign val="subscript"/>
        <sz val="11"/>
        <color theme="1"/>
        <rFont val="Calibri"/>
        <family val="2"/>
        <scheme val="minor"/>
      </rPr>
      <t>stiffener_bot</t>
    </r>
    <r>
      <rPr>
        <sz val="11"/>
        <color theme="1"/>
        <rFont val="Calibri"/>
        <family val="2"/>
        <scheme val="minor"/>
      </rPr>
      <t xml:space="preserve"> - notch</t>
    </r>
    <r>
      <rPr>
        <vertAlign val="subscript"/>
        <sz val="11"/>
        <color theme="1"/>
        <rFont val="Calibri"/>
        <family val="2"/>
        <scheme val="minor"/>
      </rPr>
      <t>stiffener_bot</t>
    </r>
  </si>
  <si>
    <r>
      <t>t</t>
    </r>
    <r>
      <rPr>
        <vertAlign val="subscript"/>
        <sz val="11"/>
        <color theme="1"/>
        <rFont val="Calibri"/>
        <family val="2"/>
        <scheme val="minor"/>
      </rPr>
      <t>stiffener_bot</t>
    </r>
    <r>
      <rPr>
        <sz val="11"/>
        <color theme="1"/>
        <rFont val="Calibri"/>
        <family val="2"/>
        <scheme val="minor"/>
      </rPr>
      <t xml:space="preserve"> * (L</t>
    </r>
    <r>
      <rPr>
        <vertAlign val="subscript"/>
        <sz val="11"/>
        <color theme="1"/>
        <rFont val="Calibri"/>
        <family val="2"/>
        <scheme val="minor"/>
      </rPr>
      <t xml:space="preserve">stiffener_bot </t>
    </r>
    <r>
      <rPr>
        <sz val="11"/>
        <color theme="1"/>
        <rFont val="Calibri"/>
        <family val="2"/>
        <scheme val="minor"/>
      </rPr>
      <t>- notch</t>
    </r>
    <r>
      <rPr>
        <vertAlign val="subscript"/>
        <sz val="11"/>
        <color theme="1"/>
        <rFont val="Calibri"/>
        <family val="2"/>
        <scheme val="minor"/>
      </rPr>
      <t>stiffener_bot</t>
    </r>
    <r>
      <rPr>
        <sz val="11"/>
        <color theme="1"/>
        <rFont val="Calibri"/>
        <family val="2"/>
        <scheme val="minor"/>
      </rPr>
      <t>)</t>
    </r>
  </si>
  <si>
    <r>
      <t>Fy</t>
    </r>
    <r>
      <rPr>
        <vertAlign val="subscript"/>
        <sz val="11"/>
        <color theme="1"/>
        <rFont val="Calibri"/>
        <family val="2"/>
        <scheme val="minor"/>
      </rPr>
      <t>stiffener_bot</t>
    </r>
    <r>
      <rPr>
        <sz val="11"/>
        <color theme="1"/>
        <rFont val="Calibri"/>
        <family val="2"/>
        <scheme val="minor"/>
      </rPr>
      <t xml:space="preserve"> * A</t>
    </r>
    <r>
      <rPr>
        <vertAlign val="subscript"/>
        <sz val="11"/>
        <color theme="1"/>
        <rFont val="Calibri"/>
        <family val="2"/>
        <scheme val="minor"/>
      </rPr>
      <t>stiffener_bot</t>
    </r>
  </si>
  <si>
    <r>
      <t>Φty * Rnt</t>
    </r>
    <r>
      <rPr>
        <vertAlign val="subscript"/>
        <sz val="11"/>
        <color theme="1"/>
        <rFont val="Calibri"/>
        <family val="2"/>
        <scheme val="minor"/>
      </rPr>
      <t>stiffener_bot</t>
    </r>
  </si>
  <si>
    <r>
      <t>0.6 * Fy</t>
    </r>
    <r>
      <rPr>
        <vertAlign val="subscript"/>
        <sz val="11"/>
        <color theme="1"/>
        <rFont val="Calibri"/>
        <family val="2"/>
        <scheme val="minor"/>
      </rPr>
      <t>stiffener_bot</t>
    </r>
    <r>
      <rPr>
        <sz val="11"/>
        <color theme="1"/>
        <rFont val="Calibri"/>
        <family val="2"/>
        <scheme val="minor"/>
      </rPr>
      <t xml:space="preserve"> * A</t>
    </r>
    <r>
      <rPr>
        <vertAlign val="subscript"/>
        <sz val="11"/>
        <color theme="1"/>
        <rFont val="Calibri"/>
        <family val="2"/>
        <scheme val="minor"/>
      </rPr>
      <t>stiffener_bot</t>
    </r>
  </si>
  <si>
    <r>
      <t>Φv * Rnv</t>
    </r>
    <r>
      <rPr>
        <vertAlign val="subscript"/>
        <sz val="11"/>
        <color theme="1"/>
        <rFont val="Calibri"/>
        <family val="2"/>
        <scheme val="minor"/>
      </rPr>
      <t>stiffener_bot</t>
    </r>
  </si>
  <si>
    <r>
      <t>Φty*Rnt</t>
    </r>
    <r>
      <rPr>
        <vertAlign val="subscript"/>
        <sz val="11"/>
        <color theme="1"/>
        <rFont val="Calibri"/>
        <family val="2"/>
        <scheme val="minor"/>
      </rPr>
      <t>stiffener_top</t>
    </r>
  </si>
  <si>
    <r>
      <t>Φv * Rnv</t>
    </r>
    <r>
      <rPr>
        <vertAlign val="subscript"/>
        <sz val="11"/>
        <color theme="1"/>
        <rFont val="Calibri"/>
        <family val="2"/>
        <scheme val="minor"/>
      </rPr>
      <t>stiffener_top</t>
    </r>
  </si>
  <si>
    <r>
      <t>P</t>
    </r>
    <r>
      <rPr>
        <vertAlign val="subscript"/>
        <sz val="11"/>
        <color theme="1"/>
        <rFont val="Calibri"/>
        <family val="2"/>
        <scheme val="minor"/>
      </rPr>
      <t>mod_sp</t>
    </r>
    <r>
      <rPr>
        <sz val="11"/>
        <color theme="1"/>
        <rFont val="Calibri"/>
        <family val="2"/>
        <scheme val="minor"/>
      </rPr>
      <t xml:space="preserve"> / n</t>
    </r>
    <r>
      <rPr>
        <vertAlign val="subscript"/>
        <sz val="11"/>
        <color theme="1"/>
        <rFont val="Calibri"/>
        <family val="2"/>
        <scheme val="minor"/>
      </rPr>
      <t>threadedrod_top</t>
    </r>
  </si>
  <si>
    <r>
      <t>2 * (Φ</t>
    </r>
    <r>
      <rPr>
        <vertAlign val="subscript"/>
        <sz val="11"/>
        <color theme="1"/>
        <rFont val="Calibri"/>
        <family val="2"/>
        <scheme val="minor"/>
      </rPr>
      <t>Ubolt</t>
    </r>
    <r>
      <rPr>
        <sz val="11"/>
        <color theme="1"/>
        <rFont val="Calibri"/>
        <family val="2"/>
        <scheme val="minor"/>
      </rPr>
      <t xml:space="preserve"> * Fnt</t>
    </r>
    <r>
      <rPr>
        <vertAlign val="subscript"/>
        <sz val="11"/>
        <color theme="1"/>
        <rFont val="Calibri"/>
        <family val="2"/>
        <scheme val="minor"/>
      </rPr>
      <t xml:space="preserve">Ubolt </t>
    </r>
    <r>
      <rPr>
        <sz val="11"/>
        <color theme="1"/>
        <rFont val="Calibri"/>
        <family val="2"/>
        <scheme val="minor"/>
      </rPr>
      <t>* A</t>
    </r>
    <r>
      <rPr>
        <vertAlign val="subscript"/>
        <sz val="11"/>
        <color theme="1"/>
        <rFont val="Calibri"/>
        <family val="2"/>
        <scheme val="minor"/>
      </rPr>
      <t>gross_Ubolt</t>
    </r>
    <r>
      <rPr>
        <sz val="11"/>
        <color theme="1"/>
        <rFont val="Calibri"/>
        <family val="2"/>
        <scheme val="minor"/>
      </rPr>
      <t>)</t>
    </r>
  </si>
  <si>
    <t>Bolt Size</t>
  </si>
  <si>
    <t>Coarse Thread</t>
  </si>
  <si>
    <t>UNC</t>
  </si>
  <si>
    <t>1/4"</t>
  </si>
  <si>
    <t>5/16"</t>
  </si>
  <si>
    <t>3/8"</t>
  </si>
  <si>
    <t>7/16"</t>
  </si>
  <si>
    <t>1/2"</t>
  </si>
  <si>
    <t>9/16"</t>
  </si>
  <si>
    <t>5/8"</t>
  </si>
  <si>
    <t>3/4"</t>
  </si>
  <si>
    <t>7/8"</t>
  </si>
  <si>
    <t>1"</t>
  </si>
  <si>
    <t>1-1/8"</t>
  </si>
  <si>
    <t>1-1/4"</t>
  </si>
  <si>
    <t>1-1/2"</t>
  </si>
  <si>
    <t>Threaded Rod Size:</t>
  </si>
  <si>
    <r>
      <t>size</t>
    </r>
    <r>
      <rPr>
        <vertAlign val="subscript"/>
        <sz val="11"/>
        <color theme="1"/>
        <rFont val="Calibri"/>
        <family val="2"/>
        <scheme val="minor"/>
      </rPr>
      <t xml:space="preserve">threadedrod_bot </t>
    </r>
    <r>
      <rPr>
        <sz val="11"/>
        <color theme="1"/>
        <rFont val="Calibri"/>
        <family val="2"/>
        <scheme val="minor"/>
      </rPr>
      <t>=</t>
    </r>
  </si>
  <si>
    <r>
      <t>VLOOKUP(size</t>
    </r>
    <r>
      <rPr>
        <vertAlign val="subscript"/>
        <sz val="11"/>
        <color theme="1"/>
        <rFont val="Calibri"/>
        <family val="2"/>
        <scheme val="minor"/>
      </rPr>
      <t>threadedrod_bot</t>
    </r>
    <r>
      <rPr>
        <sz val="11"/>
        <color theme="1"/>
        <rFont val="Calibri"/>
        <family val="2"/>
        <scheme val="minor"/>
      </rPr>
      <t>,ThreadedRodSizes,2,0)</t>
    </r>
  </si>
  <si>
    <r>
      <t>VLOOKUP(size</t>
    </r>
    <r>
      <rPr>
        <vertAlign val="subscript"/>
        <sz val="11"/>
        <color theme="1"/>
        <rFont val="Calibri"/>
        <family val="2"/>
        <scheme val="minor"/>
      </rPr>
      <t>threadedrod_bot</t>
    </r>
    <r>
      <rPr>
        <sz val="11"/>
        <color theme="1"/>
        <rFont val="Calibri"/>
        <family val="2"/>
        <scheme val="minor"/>
      </rPr>
      <t>,ThreadedRodSizes,3,0)</t>
    </r>
  </si>
  <si>
    <t>Threaded Rod Material:</t>
  </si>
  <si>
    <t>Fy (ksi)</t>
  </si>
  <si>
    <t>Fu (ksi)</t>
  </si>
  <si>
    <r>
      <t xml:space="preserve">Threads Per Inch (TPI)
</t>
    </r>
    <r>
      <rPr>
        <b/>
        <sz val="9"/>
        <color theme="0"/>
        <rFont val="Arial"/>
        <family val="2"/>
      </rPr>
      <t>Coarse Thread UNC</t>
    </r>
  </si>
  <si>
    <t>Rod Size</t>
  </si>
  <si>
    <t>Any</t>
  </si>
  <si>
    <t>A325</t>
  </si>
  <si>
    <t>0.5"-1"</t>
  </si>
  <si>
    <t>1.125"-1.5"</t>
  </si>
  <si>
    <t>0.25" - 2.5"</t>
  </si>
  <si>
    <t>A354 BC</t>
  </si>
  <si>
    <t>Over 2.5"</t>
  </si>
  <si>
    <r>
      <t>material</t>
    </r>
    <r>
      <rPr>
        <vertAlign val="subscript"/>
        <sz val="11"/>
        <color theme="1"/>
        <rFont val="Calibri"/>
        <family val="2"/>
        <scheme val="minor"/>
      </rPr>
      <t xml:space="preserve">threadedrod_bot </t>
    </r>
    <r>
      <rPr>
        <sz val="11"/>
        <color theme="1"/>
        <rFont val="Calibri"/>
        <family val="2"/>
        <scheme val="minor"/>
      </rPr>
      <t>=</t>
    </r>
  </si>
  <si>
    <t>Net Area (in²)</t>
  </si>
  <si>
    <t>1-3/8"</t>
  </si>
  <si>
    <r>
      <rPr>
        <sz val="11"/>
        <color theme="1"/>
        <rFont val="Calibri"/>
        <family val="2"/>
      </rPr>
      <t>√</t>
    </r>
    <r>
      <rPr>
        <sz val="11"/>
        <color theme="1"/>
        <rFont val="Calibri"/>
        <family val="2"/>
        <scheme val="minor"/>
      </rPr>
      <t>(A</t>
    </r>
    <r>
      <rPr>
        <vertAlign val="subscript"/>
        <sz val="11"/>
        <color theme="1"/>
        <rFont val="Calibri"/>
        <family val="2"/>
        <scheme val="minor"/>
      </rPr>
      <t xml:space="preserve">threadedrod_net_bot </t>
    </r>
    <r>
      <rPr>
        <sz val="11"/>
        <color theme="1"/>
        <rFont val="Calibri"/>
        <family val="2"/>
        <scheme val="minor"/>
      </rPr>
      <t xml:space="preserve">* 4 / </t>
    </r>
    <r>
      <rPr>
        <sz val="11"/>
        <color theme="1"/>
        <rFont val="Calibri"/>
        <family val="2"/>
      </rPr>
      <t>π</t>
    </r>
    <r>
      <rPr>
        <sz val="11"/>
        <color theme="1"/>
        <rFont val="Calibri"/>
        <family val="2"/>
        <scheme val="minor"/>
      </rPr>
      <t>)</t>
    </r>
  </si>
  <si>
    <r>
      <t>size</t>
    </r>
    <r>
      <rPr>
        <vertAlign val="subscript"/>
        <sz val="11"/>
        <color theme="1"/>
        <rFont val="Calibri"/>
        <family val="2"/>
        <scheme val="minor"/>
      </rPr>
      <t xml:space="preserve">threadedrod_top </t>
    </r>
    <r>
      <rPr>
        <sz val="11"/>
        <color theme="1"/>
        <rFont val="Calibri"/>
        <family val="2"/>
        <scheme val="minor"/>
      </rPr>
      <t>=</t>
    </r>
  </si>
  <si>
    <t>tpi (threads per inch)</t>
  </si>
  <si>
    <r>
      <t>VLOOKUP(size</t>
    </r>
    <r>
      <rPr>
        <vertAlign val="subscript"/>
        <sz val="11"/>
        <color theme="1"/>
        <rFont val="Calibri"/>
        <family val="2"/>
        <scheme val="minor"/>
      </rPr>
      <t>threadedrod_top</t>
    </r>
    <r>
      <rPr>
        <sz val="11"/>
        <color theme="1"/>
        <rFont val="Calibri"/>
        <family val="2"/>
        <scheme val="minor"/>
      </rPr>
      <t>,ThreadedRodSizes,2,0)</t>
    </r>
  </si>
  <si>
    <r>
      <t>VLOOKUP(size</t>
    </r>
    <r>
      <rPr>
        <vertAlign val="subscript"/>
        <sz val="11"/>
        <color theme="1"/>
        <rFont val="Calibri"/>
        <family val="2"/>
        <scheme val="minor"/>
      </rPr>
      <t>threadedrod_top</t>
    </r>
    <r>
      <rPr>
        <sz val="11"/>
        <color theme="1"/>
        <rFont val="Calibri"/>
        <family val="2"/>
        <scheme val="minor"/>
      </rPr>
      <t>,ThreadedRodSizes,3,0)</t>
    </r>
  </si>
  <si>
    <r>
      <t>material</t>
    </r>
    <r>
      <rPr>
        <vertAlign val="subscript"/>
        <sz val="11"/>
        <color theme="1"/>
        <rFont val="Calibri"/>
        <family val="2"/>
        <scheme val="minor"/>
      </rPr>
      <t xml:space="preserve">threadedrod_top </t>
    </r>
    <r>
      <rPr>
        <sz val="11"/>
        <color theme="1"/>
        <rFont val="Calibri"/>
        <family val="2"/>
        <scheme val="minor"/>
      </rPr>
      <t>=</t>
    </r>
  </si>
  <si>
    <r>
      <rPr>
        <sz val="11"/>
        <color theme="1"/>
        <rFont val="Calibri"/>
        <family val="2"/>
      </rPr>
      <t>√</t>
    </r>
    <r>
      <rPr>
        <sz val="11"/>
        <color theme="1"/>
        <rFont val="Calibri"/>
        <family val="2"/>
        <scheme val="minor"/>
      </rPr>
      <t>(A</t>
    </r>
    <r>
      <rPr>
        <vertAlign val="subscript"/>
        <sz val="11"/>
        <color theme="1"/>
        <rFont val="Calibri"/>
        <family val="2"/>
        <scheme val="minor"/>
      </rPr>
      <t xml:space="preserve">threadedrod_net_top </t>
    </r>
    <r>
      <rPr>
        <sz val="11"/>
        <color theme="1"/>
        <rFont val="Calibri"/>
        <family val="2"/>
        <scheme val="minor"/>
      </rPr>
      <t xml:space="preserve">* 4 / </t>
    </r>
    <r>
      <rPr>
        <sz val="11"/>
        <color theme="1"/>
        <rFont val="Calibri"/>
        <family val="2"/>
      </rPr>
      <t>π</t>
    </r>
    <r>
      <rPr>
        <sz val="11"/>
        <color theme="1"/>
        <rFont val="Calibri"/>
        <family val="2"/>
        <scheme val="minor"/>
      </rPr>
      <t>)</t>
    </r>
  </si>
  <si>
    <r>
      <t>material</t>
    </r>
    <r>
      <rPr>
        <vertAlign val="subscript"/>
        <sz val="11"/>
        <color theme="1"/>
        <rFont val="Calibri"/>
        <family val="2"/>
        <scheme val="minor"/>
      </rPr>
      <t>stiffener_bot</t>
    </r>
    <r>
      <rPr>
        <sz val="11"/>
        <color theme="1"/>
        <rFont val="Calibri"/>
        <family val="2"/>
        <scheme val="minor"/>
      </rPr>
      <t xml:space="preserve"> =</t>
    </r>
  </si>
  <si>
    <t>A572 Gr. 50</t>
  </si>
  <si>
    <t>Material of Stiffeners:</t>
  </si>
  <si>
    <r>
      <t>t</t>
    </r>
    <r>
      <rPr>
        <vertAlign val="subscript"/>
        <sz val="11"/>
        <color theme="1"/>
        <rFont val="Calibri"/>
        <family val="2"/>
        <scheme val="minor"/>
      </rPr>
      <t>flange_top</t>
    </r>
    <r>
      <rPr>
        <sz val="11"/>
        <color theme="1"/>
        <rFont val="Calibri"/>
        <family val="2"/>
        <scheme val="minor"/>
      </rPr>
      <t xml:space="preserve"> =</t>
    </r>
  </si>
  <si>
    <r>
      <t>h</t>
    </r>
    <r>
      <rPr>
        <vertAlign val="subscript"/>
        <sz val="11"/>
        <color theme="1"/>
        <rFont val="Calibri"/>
        <family val="2"/>
        <scheme val="minor"/>
      </rPr>
      <t>stiffener_top</t>
    </r>
    <r>
      <rPr>
        <sz val="11"/>
        <color theme="1"/>
        <rFont val="Calibri"/>
        <family val="2"/>
        <scheme val="minor"/>
      </rPr>
      <t xml:space="preserve"> =</t>
    </r>
  </si>
  <si>
    <r>
      <t>notch</t>
    </r>
    <r>
      <rPr>
        <vertAlign val="subscript"/>
        <sz val="11"/>
        <color theme="1"/>
        <rFont val="Calibri"/>
        <family val="2"/>
        <scheme val="minor"/>
      </rPr>
      <t>stiffener_top</t>
    </r>
    <r>
      <rPr>
        <sz val="11"/>
        <color theme="1"/>
        <rFont val="Calibri"/>
        <family val="2"/>
        <scheme val="minor"/>
      </rPr>
      <t xml:space="preserve"> =</t>
    </r>
  </si>
  <si>
    <r>
      <t>L</t>
    </r>
    <r>
      <rPr>
        <vertAlign val="subscript"/>
        <sz val="11"/>
        <color theme="1"/>
        <rFont val="Calibri"/>
        <family val="2"/>
        <scheme val="minor"/>
      </rPr>
      <t>stiffener_top</t>
    </r>
    <r>
      <rPr>
        <sz val="11"/>
        <color theme="1"/>
        <rFont val="Calibri"/>
        <family val="2"/>
        <scheme val="minor"/>
      </rPr>
      <t xml:space="preserve"> =</t>
    </r>
  </si>
  <si>
    <r>
      <t>t</t>
    </r>
    <r>
      <rPr>
        <vertAlign val="subscript"/>
        <sz val="11"/>
        <color theme="1"/>
        <rFont val="Calibri"/>
        <family val="2"/>
        <scheme val="minor"/>
      </rPr>
      <t>stiffener_top</t>
    </r>
    <r>
      <rPr>
        <sz val="11"/>
        <color theme="1"/>
        <rFont val="Calibri"/>
        <family val="2"/>
        <scheme val="minor"/>
      </rPr>
      <t xml:space="preserve"> =</t>
    </r>
  </si>
  <si>
    <r>
      <t>material</t>
    </r>
    <r>
      <rPr>
        <vertAlign val="subscript"/>
        <sz val="11"/>
        <color theme="1"/>
        <rFont val="Calibri"/>
        <family val="2"/>
        <scheme val="minor"/>
      </rPr>
      <t>stiffener_top</t>
    </r>
    <r>
      <rPr>
        <sz val="11"/>
        <color theme="1"/>
        <rFont val="Calibri"/>
        <family val="2"/>
        <scheme val="minor"/>
      </rPr>
      <t xml:space="preserve"> =</t>
    </r>
  </si>
  <si>
    <r>
      <t>Fy</t>
    </r>
    <r>
      <rPr>
        <vertAlign val="subscript"/>
        <sz val="11"/>
        <color theme="1"/>
        <rFont val="Calibri"/>
        <family val="2"/>
        <scheme val="minor"/>
      </rPr>
      <t>stiffener_top</t>
    </r>
    <r>
      <rPr>
        <sz val="11"/>
        <color theme="1"/>
        <rFont val="Calibri"/>
        <family val="2"/>
        <scheme val="minor"/>
      </rPr>
      <t xml:space="preserve"> =</t>
    </r>
  </si>
  <si>
    <r>
      <t>Fu</t>
    </r>
    <r>
      <rPr>
        <vertAlign val="subscript"/>
        <sz val="11"/>
        <color theme="1"/>
        <rFont val="Calibri"/>
        <family val="2"/>
        <scheme val="minor"/>
      </rPr>
      <t>stiffener_top</t>
    </r>
    <r>
      <rPr>
        <sz val="11"/>
        <color theme="1"/>
        <rFont val="Calibri"/>
        <family val="2"/>
        <scheme val="minor"/>
      </rPr>
      <t xml:space="preserve"> =</t>
    </r>
  </si>
  <si>
    <r>
      <t>Fy</t>
    </r>
    <r>
      <rPr>
        <vertAlign val="subscript"/>
        <sz val="11"/>
        <color theme="1"/>
        <rFont val="Calibri"/>
        <family val="2"/>
        <scheme val="minor"/>
      </rPr>
      <t>stiffener_top</t>
    </r>
    <r>
      <rPr>
        <sz val="11"/>
        <color theme="1"/>
        <rFont val="Calibri"/>
        <family val="2"/>
        <scheme val="minor"/>
      </rPr>
      <t xml:space="preserve"> * A</t>
    </r>
    <r>
      <rPr>
        <vertAlign val="subscript"/>
        <sz val="11"/>
        <color theme="1"/>
        <rFont val="Calibri"/>
        <family val="2"/>
        <scheme val="minor"/>
      </rPr>
      <t>stiffener_top</t>
    </r>
  </si>
  <si>
    <r>
      <t>0.6 * Fy</t>
    </r>
    <r>
      <rPr>
        <vertAlign val="subscript"/>
        <sz val="11"/>
        <color theme="1"/>
        <rFont val="Calibri"/>
        <family val="2"/>
        <scheme val="minor"/>
      </rPr>
      <t>stiffener_top</t>
    </r>
    <r>
      <rPr>
        <sz val="11"/>
        <color theme="1"/>
        <rFont val="Calibri"/>
        <family val="2"/>
        <scheme val="minor"/>
      </rPr>
      <t xml:space="preserve"> * A</t>
    </r>
    <r>
      <rPr>
        <vertAlign val="subscript"/>
        <sz val="11"/>
        <color theme="1"/>
        <rFont val="Calibri"/>
        <family val="2"/>
        <scheme val="minor"/>
      </rPr>
      <t>stiffener_top</t>
    </r>
  </si>
  <si>
    <r>
      <t>L</t>
    </r>
    <r>
      <rPr>
        <vertAlign val="subscript"/>
        <sz val="11"/>
        <color theme="1"/>
        <rFont val="Calibri"/>
        <family val="2"/>
        <scheme val="minor"/>
      </rPr>
      <t>weld_h1_bot</t>
    </r>
    <r>
      <rPr>
        <sz val="11"/>
        <color theme="1"/>
        <rFont val="Calibri"/>
        <family val="2"/>
        <scheme val="minor"/>
      </rPr>
      <t xml:space="preserve"> =</t>
    </r>
  </si>
  <si>
    <r>
      <t>y</t>
    </r>
    <r>
      <rPr>
        <vertAlign val="subscript"/>
        <sz val="11"/>
        <color theme="1"/>
        <rFont val="Calibri"/>
        <family val="2"/>
        <scheme val="minor"/>
      </rPr>
      <t>bar_h1_bot</t>
    </r>
    <r>
      <rPr>
        <sz val="11"/>
        <color theme="1"/>
        <rFont val="Calibri"/>
        <family val="2"/>
        <scheme val="minor"/>
      </rPr>
      <t xml:space="preserve"> =</t>
    </r>
  </si>
  <si>
    <r>
      <t>n</t>
    </r>
    <r>
      <rPr>
        <vertAlign val="subscript"/>
        <sz val="11"/>
        <color theme="1"/>
        <rFont val="Calibri"/>
        <family val="2"/>
        <scheme val="minor"/>
      </rPr>
      <t>_h1_bot</t>
    </r>
    <r>
      <rPr>
        <sz val="11"/>
        <color theme="1"/>
        <rFont val="Calibri"/>
        <family val="2"/>
        <scheme val="minor"/>
      </rPr>
      <t xml:space="preserve"> =</t>
    </r>
  </si>
  <si>
    <r>
      <t>ΣL</t>
    </r>
    <r>
      <rPr>
        <vertAlign val="subscript"/>
        <sz val="11"/>
        <color theme="1"/>
        <rFont val="Calibri"/>
        <family val="2"/>
      </rPr>
      <t>weld_h1_bot</t>
    </r>
    <r>
      <rPr>
        <sz val="11"/>
        <color theme="1"/>
        <rFont val="Calibri"/>
        <family val="2"/>
      </rPr>
      <t xml:space="preserve"> =</t>
    </r>
  </si>
  <si>
    <r>
      <t>L</t>
    </r>
    <r>
      <rPr>
        <vertAlign val="subscript"/>
        <sz val="11"/>
        <color theme="1"/>
        <rFont val="Calibri"/>
        <family val="2"/>
        <scheme val="minor"/>
      </rPr>
      <t>weld_h2_bot</t>
    </r>
    <r>
      <rPr>
        <sz val="11"/>
        <color theme="1"/>
        <rFont val="Calibri"/>
        <family val="2"/>
        <scheme val="minor"/>
      </rPr>
      <t xml:space="preserve"> =</t>
    </r>
  </si>
  <si>
    <r>
      <t>y</t>
    </r>
    <r>
      <rPr>
        <vertAlign val="subscript"/>
        <sz val="11"/>
        <color theme="1"/>
        <rFont val="Calibri"/>
        <family val="2"/>
        <scheme val="minor"/>
      </rPr>
      <t>bar_h2_bot</t>
    </r>
    <r>
      <rPr>
        <sz val="11"/>
        <color theme="1"/>
        <rFont val="Calibri"/>
        <family val="2"/>
        <scheme val="minor"/>
      </rPr>
      <t xml:space="preserve"> =</t>
    </r>
  </si>
  <si>
    <r>
      <t>n</t>
    </r>
    <r>
      <rPr>
        <vertAlign val="subscript"/>
        <sz val="11"/>
        <color theme="1"/>
        <rFont val="Calibri"/>
        <family val="2"/>
        <scheme val="minor"/>
      </rPr>
      <t>_h2_bot</t>
    </r>
    <r>
      <rPr>
        <sz val="11"/>
        <color theme="1"/>
        <rFont val="Calibri"/>
        <family val="2"/>
        <scheme val="minor"/>
      </rPr>
      <t xml:space="preserve"> =</t>
    </r>
  </si>
  <si>
    <r>
      <t>ΣL</t>
    </r>
    <r>
      <rPr>
        <vertAlign val="subscript"/>
        <sz val="11"/>
        <color theme="1"/>
        <rFont val="Calibri"/>
        <family val="2"/>
      </rPr>
      <t>weld_h2_bot</t>
    </r>
    <r>
      <rPr>
        <sz val="11"/>
        <color theme="1"/>
        <rFont val="Calibri"/>
        <family val="2"/>
      </rPr>
      <t xml:space="preserve"> =</t>
    </r>
  </si>
  <si>
    <r>
      <t>L</t>
    </r>
    <r>
      <rPr>
        <vertAlign val="subscript"/>
        <sz val="11"/>
        <color theme="1"/>
        <rFont val="Calibri"/>
        <family val="2"/>
        <scheme val="minor"/>
      </rPr>
      <t xml:space="preserve">weld_v_bot </t>
    </r>
    <r>
      <rPr>
        <sz val="11"/>
        <color theme="1"/>
        <rFont val="Calibri"/>
        <family val="2"/>
        <scheme val="minor"/>
      </rPr>
      <t>=</t>
    </r>
  </si>
  <si>
    <r>
      <t>y</t>
    </r>
    <r>
      <rPr>
        <vertAlign val="subscript"/>
        <sz val="11"/>
        <color theme="1"/>
        <rFont val="Calibri"/>
        <family val="2"/>
        <scheme val="minor"/>
      </rPr>
      <t>bar_v_bot</t>
    </r>
    <r>
      <rPr>
        <sz val="11"/>
        <color theme="1"/>
        <rFont val="Calibri"/>
        <family val="2"/>
        <scheme val="minor"/>
      </rPr>
      <t xml:space="preserve"> =</t>
    </r>
  </si>
  <si>
    <r>
      <t>n</t>
    </r>
    <r>
      <rPr>
        <vertAlign val="subscript"/>
        <sz val="11"/>
        <color theme="1"/>
        <rFont val="Calibri"/>
        <family val="2"/>
        <scheme val="minor"/>
      </rPr>
      <t xml:space="preserve">_v_bot </t>
    </r>
    <r>
      <rPr>
        <sz val="11"/>
        <color theme="1"/>
        <rFont val="Calibri"/>
        <family val="2"/>
        <scheme val="minor"/>
      </rPr>
      <t>=</t>
    </r>
  </si>
  <si>
    <r>
      <t>ΣL</t>
    </r>
    <r>
      <rPr>
        <vertAlign val="subscript"/>
        <sz val="11"/>
        <color theme="1"/>
        <rFont val="Calibri"/>
        <family val="2"/>
      </rPr>
      <t>weld_v_bot</t>
    </r>
    <r>
      <rPr>
        <sz val="11"/>
        <color theme="1"/>
        <rFont val="Calibri"/>
        <family val="2"/>
      </rPr>
      <t xml:space="preserve"> =</t>
    </r>
  </si>
  <si>
    <r>
      <t>ΣL</t>
    </r>
    <r>
      <rPr>
        <vertAlign val="subscript"/>
        <sz val="11"/>
        <color theme="1"/>
        <rFont val="Calibri"/>
        <family val="2"/>
      </rPr>
      <t>weld_group_bot</t>
    </r>
    <r>
      <rPr>
        <sz val="11"/>
        <color theme="1"/>
        <rFont val="Calibri"/>
        <family val="2"/>
      </rPr>
      <t xml:space="preserve"> =</t>
    </r>
  </si>
  <si>
    <r>
      <t>ΣL</t>
    </r>
    <r>
      <rPr>
        <vertAlign val="subscript"/>
        <sz val="11"/>
        <color theme="1"/>
        <rFont val="Calibri"/>
        <family val="2"/>
      </rPr>
      <t>weld_v_bot*</t>
    </r>
    <r>
      <rPr>
        <sz val="11"/>
        <color theme="1"/>
        <rFont val="Calibri"/>
        <family val="2"/>
      </rPr>
      <t>y</t>
    </r>
    <r>
      <rPr>
        <vertAlign val="subscript"/>
        <sz val="11"/>
        <color theme="1"/>
        <rFont val="Calibri"/>
        <family val="2"/>
      </rPr>
      <t>bar_v_bot</t>
    </r>
    <r>
      <rPr>
        <sz val="11"/>
        <color theme="1"/>
        <rFont val="Calibri"/>
        <family val="2"/>
      </rPr>
      <t xml:space="preserve"> =</t>
    </r>
  </si>
  <si>
    <r>
      <t>y</t>
    </r>
    <r>
      <rPr>
        <vertAlign val="subscript"/>
        <sz val="11"/>
        <color theme="1"/>
        <rFont val="Calibri"/>
        <family val="2"/>
        <scheme val="minor"/>
      </rPr>
      <t>bar_weld_group_bot</t>
    </r>
    <r>
      <rPr>
        <sz val="11"/>
        <color theme="1"/>
        <rFont val="Calibri"/>
        <family val="2"/>
        <scheme val="minor"/>
      </rPr>
      <t xml:space="preserve"> =</t>
    </r>
  </si>
  <si>
    <r>
      <t>I</t>
    </r>
    <r>
      <rPr>
        <vertAlign val="subscript"/>
        <sz val="11"/>
        <color theme="1"/>
        <rFont val="Calibri"/>
        <family val="2"/>
        <scheme val="minor"/>
      </rPr>
      <t>_h1_bot</t>
    </r>
    <r>
      <rPr>
        <sz val="11"/>
        <color theme="1"/>
        <rFont val="Calibri"/>
        <family val="2"/>
        <scheme val="minor"/>
      </rPr>
      <t xml:space="preserve"> =</t>
    </r>
  </si>
  <si>
    <r>
      <t>I</t>
    </r>
    <r>
      <rPr>
        <vertAlign val="subscript"/>
        <sz val="11"/>
        <color theme="1"/>
        <rFont val="Calibri"/>
        <family val="2"/>
        <scheme val="minor"/>
      </rPr>
      <t>_h2_bot</t>
    </r>
    <r>
      <rPr>
        <sz val="11"/>
        <color theme="1"/>
        <rFont val="Calibri"/>
        <family val="2"/>
        <scheme val="minor"/>
      </rPr>
      <t xml:space="preserve"> =</t>
    </r>
  </si>
  <si>
    <r>
      <t>d</t>
    </r>
    <r>
      <rPr>
        <vertAlign val="subscript"/>
        <sz val="11"/>
        <color theme="1"/>
        <rFont val="Calibri"/>
        <family val="2"/>
        <scheme val="minor"/>
      </rPr>
      <t>v_bot</t>
    </r>
    <r>
      <rPr>
        <sz val="11"/>
        <color theme="1"/>
        <rFont val="Calibri"/>
        <family val="2"/>
        <scheme val="minor"/>
      </rPr>
      <t xml:space="preserve"> =</t>
    </r>
  </si>
  <si>
    <r>
      <t>I</t>
    </r>
    <r>
      <rPr>
        <vertAlign val="subscript"/>
        <sz val="11"/>
        <color theme="1"/>
        <rFont val="Calibri"/>
        <family val="2"/>
        <scheme val="minor"/>
      </rPr>
      <t>v_bot</t>
    </r>
    <r>
      <rPr>
        <sz val="11"/>
        <color theme="1"/>
        <rFont val="Calibri"/>
        <family val="2"/>
        <scheme val="minor"/>
      </rPr>
      <t xml:space="preserve"> =</t>
    </r>
  </si>
  <si>
    <r>
      <t>I</t>
    </r>
    <r>
      <rPr>
        <vertAlign val="subscript"/>
        <sz val="11"/>
        <color theme="1"/>
        <rFont val="Calibri"/>
        <family val="2"/>
        <scheme val="minor"/>
      </rPr>
      <t>weld_group_bot</t>
    </r>
    <r>
      <rPr>
        <sz val="11"/>
        <color theme="1"/>
        <rFont val="Calibri"/>
        <family val="2"/>
        <scheme val="minor"/>
      </rPr>
      <t xml:space="preserve"> =</t>
    </r>
  </si>
  <si>
    <r>
      <t>r</t>
    </r>
    <r>
      <rPr>
        <vertAlign val="subscript"/>
        <sz val="11"/>
        <color theme="1"/>
        <rFont val="Calibri"/>
        <family val="2"/>
        <scheme val="minor"/>
      </rPr>
      <t>p_bot</t>
    </r>
    <r>
      <rPr>
        <sz val="11"/>
        <color theme="1"/>
        <rFont val="Calibri"/>
        <family val="2"/>
        <scheme val="minor"/>
      </rPr>
      <t xml:space="preserve"> =</t>
    </r>
  </si>
  <si>
    <r>
      <t>c</t>
    </r>
    <r>
      <rPr>
        <vertAlign val="subscript"/>
        <sz val="11"/>
        <color theme="1"/>
        <rFont val="Calibri"/>
        <family val="2"/>
        <scheme val="minor"/>
      </rPr>
      <t>max_bot</t>
    </r>
    <r>
      <rPr>
        <sz val="11"/>
        <color theme="1"/>
        <rFont val="Calibri"/>
        <family val="2"/>
        <scheme val="minor"/>
      </rPr>
      <t xml:space="preserve"> =</t>
    </r>
  </si>
  <si>
    <r>
      <t>r</t>
    </r>
    <r>
      <rPr>
        <vertAlign val="subscript"/>
        <sz val="11"/>
        <color theme="1"/>
        <rFont val="Calibri"/>
        <family val="2"/>
        <scheme val="minor"/>
      </rPr>
      <t>m_bot</t>
    </r>
    <r>
      <rPr>
        <sz val="11"/>
        <color theme="1"/>
        <rFont val="Calibri"/>
        <family val="2"/>
        <scheme val="minor"/>
      </rPr>
      <t xml:space="preserve"> =</t>
    </r>
  </si>
  <si>
    <r>
      <t>r</t>
    </r>
    <r>
      <rPr>
        <vertAlign val="subscript"/>
        <sz val="11"/>
        <color theme="1"/>
        <rFont val="Calibri"/>
        <family val="2"/>
        <scheme val="minor"/>
      </rPr>
      <t>u_bot</t>
    </r>
    <r>
      <rPr>
        <sz val="11"/>
        <color theme="1"/>
        <rFont val="Calibri"/>
        <family val="2"/>
        <scheme val="minor"/>
      </rPr>
      <t xml:space="preserve"> =</t>
    </r>
  </si>
  <si>
    <r>
      <t>Rn</t>
    </r>
    <r>
      <rPr>
        <vertAlign val="subscript"/>
        <sz val="11"/>
        <color theme="1"/>
        <rFont val="Calibri"/>
        <family val="2"/>
        <scheme val="minor"/>
      </rPr>
      <t xml:space="preserve">weld_bot </t>
    </r>
    <r>
      <rPr>
        <sz val="11"/>
        <color theme="1"/>
        <rFont val="Calibri"/>
        <family val="2"/>
        <scheme val="minor"/>
      </rPr>
      <t>=</t>
    </r>
  </si>
  <si>
    <r>
      <t>ΦRn</t>
    </r>
    <r>
      <rPr>
        <vertAlign val="subscript"/>
        <sz val="11"/>
        <color theme="1"/>
        <rFont val="Calibri"/>
        <family val="2"/>
      </rPr>
      <t>weld_bot</t>
    </r>
    <r>
      <rPr>
        <sz val="11"/>
        <color theme="1"/>
        <rFont val="Calibri"/>
        <family val="2"/>
      </rPr>
      <t xml:space="preserve"> =</t>
    </r>
  </si>
  <si>
    <r>
      <t>r</t>
    </r>
    <r>
      <rPr>
        <b/>
        <vertAlign val="subscript"/>
        <sz val="11"/>
        <color theme="1"/>
        <rFont val="Calibri"/>
        <family val="2"/>
        <scheme val="minor"/>
      </rPr>
      <t>u_bot</t>
    </r>
    <r>
      <rPr>
        <b/>
        <sz val="11"/>
        <color theme="1"/>
        <rFont val="Calibri"/>
        <family val="2"/>
        <scheme val="minor"/>
      </rPr>
      <t xml:space="preserve"> =</t>
    </r>
  </si>
  <si>
    <r>
      <t>ΦRn</t>
    </r>
    <r>
      <rPr>
        <b/>
        <vertAlign val="subscript"/>
        <sz val="11"/>
        <color theme="1"/>
        <rFont val="Calibri"/>
        <family val="2"/>
      </rPr>
      <t>weld_bot</t>
    </r>
    <r>
      <rPr>
        <b/>
        <sz val="11"/>
        <color theme="1"/>
        <rFont val="Calibri"/>
        <family val="2"/>
      </rPr>
      <t xml:space="preserve"> =</t>
    </r>
  </si>
  <si>
    <r>
      <t>L</t>
    </r>
    <r>
      <rPr>
        <vertAlign val="subscript"/>
        <sz val="11"/>
        <color theme="1"/>
        <rFont val="Calibri"/>
        <family val="2"/>
        <scheme val="minor"/>
      </rPr>
      <t>weld_hstiffener_bot</t>
    </r>
    <r>
      <rPr>
        <sz val="11"/>
        <color theme="1"/>
        <rFont val="Calibri"/>
        <family val="2"/>
        <scheme val="minor"/>
      </rPr>
      <t xml:space="preserve"> =</t>
    </r>
  </si>
  <si>
    <r>
      <t>r</t>
    </r>
    <r>
      <rPr>
        <vertAlign val="subscript"/>
        <sz val="11"/>
        <color theme="1"/>
        <rFont val="Calibri"/>
        <family val="2"/>
        <scheme val="minor"/>
      </rPr>
      <t>h_bot</t>
    </r>
    <r>
      <rPr>
        <sz val="11"/>
        <color theme="1"/>
        <rFont val="Calibri"/>
        <family val="2"/>
        <scheme val="minor"/>
      </rPr>
      <t xml:space="preserve"> =</t>
    </r>
  </si>
  <si>
    <r>
      <t>A</t>
    </r>
    <r>
      <rPr>
        <vertAlign val="subscript"/>
        <sz val="11"/>
        <color theme="1"/>
        <rFont val="Calibri"/>
        <family val="2"/>
        <scheme val="minor"/>
      </rPr>
      <t>weld_h_bot</t>
    </r>
    <r>
      <rPr>
        <sz val="11"/>
        <color theme="1"/>
        <rFont val="Calibri"/>
        <family val="2"/>
        <scheme val="minor"/>
      </rPr>
      <t xml:space="preserve"> =</t>
    </r>
  </si>
  <si>
    <r>
      <t>Rn</t>
    </r>
    <r>
      <rPr>
        <vertAlign val="subscript"/>
        <sz val="11"/>
        <color theme="1"/>
        <rFont val="Calibri"/>
        <family val="2"/>
        <scheme val="minor"/>
      </rPr>
      <t xml:space="preserve">weld_h_bot </t>
    </r>
    <r>
      <rPr>
        <sz val="11"/>
        <color theme="1"/>
        <rFont val="Calibri"/>
        <family val="2"/>
        <scheme val="minor"/>
      </rPr>
      <t>=</t>
    </r>
  </si>
  <si>
    <r>
      <t>n</t>
    </r>
    <r>
      <rPr>
        <vertAlign val="subscript"/>
        <sz val="11"/>
        <color theme="1"/>
        <rFont val="Calibri"/>
        <family val="2"/>
        <scheme val="minor"/>
      </rPr>
      <t>weld_h_bot</t>
    </r>
    <r>
      <rPr>
        <sz val="11"/>
        <color theme="1"/>
        <rFont val="Calibri"/>
        <family val="2"/>
        <scheme val="minor"/>
      </rPr>
      <t xml:space="preserve"> =</t>
    </r>
  </si>
  <si>
    <r>
      <rPr>
        <sz val="11"/>
        <color theme="1"/>
        <rFont val="Calibri"/>
        <family val="2"/>
      </rPr>
      <t>Φ</t>
    </r>
    <r>
      <rPr>
        <sz val="11"/>
        <color theme="1"/>
        <rFont val="Calibri"/>
        <family val="2"/>
        <scheme val="minor"/>
      </rPr>
      <t>Rn</t>
    </r>
    <r>
      <rPr>
        <vertAlign val="subscript"/>
        <sz val="11"/>
        <color theme="1"/>
        <rFont val="Calibri"/>
        <family val="2"/>
        <scheme val="minor"/>
      </rPr>
      <t xml:space="preserve">weld_h_bot </t>
    </r>
    <r>
      <rPr>
        <sz val="11"/>
        <color theme="1"/>
        <rFont val="Calibri"/>
        <family val="2"/>
        <scheme val="minor"/>
      </rPr>
      <t>=</t>
    </r>
  </si>
  <si>
    <r>
      <t>r</t>
    </r>
    <r>
      <rPr>
        <b/>
        <vertAlign val="subscript"/>
        <sz val="11"/>
        <color theme="1"/>
        <rFont val="Calibri"/>
        <family val="2"/>
        <scheme val="minor"/>
      </rPr>
      <t>h_bot</t>
    </r>
    <r>
      <rPr>
        <b/>
        <sz val="11"/>
        <color theme="1"/>
        <rFont val="Calibri"/>
        <family val="2"/>
        <scheme val="minor"/>
      </rPr>
      <t xml:space="preserve"> =</t>
    </r>
  </si>
  <si>
    <r>
      <rPr>
        <b/>
        <sz val="11"/>
        <color theme="1"/>
        <rFont val="Calibri"/>
        <family val="2"/>
      </rPr>
      <t>Φ</t>
    </r>
    <r>
      <rPr>
        <b/>
        <sz val="11"/>
        <color theme="1"/>
        <rFont val="Calibri"/>
        <family val="2"/>
        <scheme val="minor"/>
      </rPr>
      <t>Rn</t>
    </r>
    <r>
      <rPr>
        <b/>
        <vertAlign val="subscript"/>
        <sz val="11"/>
        <color theme="1"/>
        <rFont val="Calibri"/>
        <family val="2"/>
        <scheme val="minor"/>
      </rPr>
      <t xml:space="preserve">weld_h_bot </t>
    </r>
    <r>
      <rPr>
        <b/>
        <sz val="11"/>
        <color theme="1"/>
        <rFont val="Calibri"/>
        <family val="2"/>
        <scheme val="minor"/>
      </rPr>
      <t>=</t>
    </r>
  </si>
  <si>
    <r>
      <rPr>
        <sz val="11"/>
        <color theme="1"/>
        <rFont val="Calibri"/>
        <family val="2"/>
      </rPr>
      <t>√</t>
    </r>
    <r>
      <rPr>
        <sz val="11"/>
        <color theme="1"/>
        <rFont val="Calibri"/>
        <family val="2"/>
        <scheme val="minor"/>
      </rPr>
      <t>(2)/2 * (D</t>
    </r>
    <r>
      <rPr>
        <vertAlign val="subscript"/>
        <sz val="11"/>
        <color theme="1"/>
        <rFont val="Calibri"/>
        <family val="2"/>
        <scheme val="minor"/>
      </rPr>
      <t xml:space="preserve">fillet_bot </t>
    </r>
    <r>
      <rPr>
        <sz val="11"/>
        <color theme="1"/>
        <rFont val="Calibri"/>
        <family val="2"/>
        <scheme val="minor"/>
      </rPr>
      <t>/ 16) * L</t>
    </r>
    <r>
      <rPr>
        <vertAlign val="subscript"/>
        <sz val="11"/>
        <color theme="1"/>
        <rFont val="Calibri"/>
        <family val="2"/>
        <scheme val="minor"/>
      </rPr>
      <t>weld_hstiffener_bot</t>
    </r>
  </si>
  <si>
    <r>
      <t>n</t>
    </r>
    <r>
      <rPr>
        <vertAlign val="subscript"/>
        <sz val="11"/>
        <color theme="1"/>
        <rFont val="Calibri"/>
        <family val="2"/>
        <scheme val="minor"/>
      </rPr>
      <t>weld_h_bot</t>
    </r>
    <r>
      <rPr>
        <sz val="11"/>
        <color theme="1"/>
        <rFont val="Calibri"/>
        <family val="2"/>
        <scheme val="minor"/>
      </rPr>
      <t xml:space="preserve"> * (Φw*Rn</t>
    </r>
    <r>
      <rPr>
        <vertAlign val="subscript"/>
        <sz val="11"/>
        <color theme="1"/>
        <rFont val="Calibri"/>
        <family val="2"/>
        <scheme val="minor"/>
      </rPr>
      <t>weld_h_bot</t>
    </r>
    <r>
      <rPr>
        <sz val="11"/>
        <color theme="1"/>
        <rFont val="Calibri"/>
        <family val="2"/>
        <scheme val="minor"/>
      </rPr>
      <t>)</t>
    </r>
  </si>
  <si>
    <r>
      <t>n</t>
    </r>
    <r>
      <rPr>
        <vertAlign val="subscript"/>
        <sz val="11"/>
        <color theme="1"/>
        <rFont val="Calibri"/>
        <family val="2"/>
        <scheme val="minor"/>
      </rPr>
      <t xml:space="preserve">_h1_bot </t>
    </r>
    <r>
      <rPr>
        <sz val="11"/>
        <color theme="1"/>
        <rFont val="Calibri"/>
        <family val="2"/>
        <scheme val="minor"/>
      </rPr>
      <t>* L</t>
    </r>
    <r>
      <rPr>
        <vertAlign val="subscript"/>
        <sz val="11"/>
        <color theme="1"/>
        <rFont val="Calibri"/>
        <family val="2"/>
        <scheme val="minor"/>
      </rPr>
      <t>weld_h1_bot</t>
    </r>
  </si>
  <si>
    <r>
      <t>ΣL</t>
    </r>
    <r>
      <rPr>
        <vertAlign val="subscript"/>
        <sz val="11"/>
        <color theme="1"/>
        <rFont val="Calibri"/>
        <family val="2"/>
        <scheme val="minor"/>
      </rPr>
      <t>weld_h1_bot</t>
    </r>
    <r>
      <rPr>
        <sz val="11"/>
        <color theme="1"/>
        <rFont val="Calibri"/>
        <family val="2"/>
        <scheme val="minor"/>
      </rPr>
      <t xml:space="preserve"> * y</t>
    </r>
    <r>
      <rPr>
        <vertAlign val="subscript"/>
        <sz val="11"/>
        <color theme="1"/>
        <rFont val="Calibri"/>
        <family val="2"/>
        <scheme val="minor"/>
      </rPr>
      <t>bar_h1_bot</t>
    </r>
  </si>
  <si>
    <r>
      <t>n</t>
    </r>
    <r>
      <rPr>
        <vertAlign val="subscript"/>
        <sz val="11"/>
        <color theme="1"/>
        <rFont val="Calibri"/>
        <family val="2"/>
        <scheme val="minor"/>
      </rPr>
      <t xml:space="preserve">_h2_bot </t>
    </r>
    <r>
      <rPr>
        <sz val="11"/>
        <color theme="1"/>
        <rFont val="Calibri"/>
        <family val="2"/>
        <scheme val="minor"/>
      </rPr>
      <t>* L</t>
    </r>
    <r>
      <rPr>
        <vertAlign val="subscript"/>
        <sz val="11"/>
        <color theme="1"/>
        <rFont val="Calibri"/>
        <family val="2"/>
        <scheme val="minor"/>
      </rPr>
      <t>weld_h2</t>
    </r>
    <r>
      <rPr>
        <sz val="11"/>
        <color theme="1"/>
        <rFont val="Calibri"/>
        <family val="2"/>
        <scheme val="minor"/>
      </rPr>
      <t>_bot</t>
    </r>
  </si>
  <si>
    <r>
      <t>ΣL</t>
    </r>
    <r>
      <rPr>
        <vertAlign val="subscript"/>
        <sz val="11"/>
        <color theme="1"/>
        <rFont val="Calibri"/>
        <family val="2"/>
      </rPr>
      <t xml:space="preserve">weld_h2_bot </t>
    </r>
    <r>
      <rPr>
        <sz val="11"/>
        <color theme="1"/>
        <rFont val="Calibri"/>
        <family val="2"/>
      </rPr>
      <t>* y</t>
    </r>
    <r>
      <rPr>
        <vertAlign val="subscript"/>
        <sz val="11"/>
        <color theme="1"/>
        <rFont val="Calibri"/>
        <family val="2"/>
      </rPr>
      <t>bar_h2_bot</t>
    </r>
  </si>
  <si>
    <r>
      <t>t</t>
    </r>
    <r>
      <rPr>
        <vertAlign val="subscript"/>
        <sz val="11"/>
        <color theme="1"/>
        <rFont val="Calibri"/>
        <family val="2"/>
        <scheme val="minor"/>
      </rPr>
      <t>flange_bot</t>
    </r>
    <r>
      <rPr>
        <sz val="11"/>
        <color theme="1"/>
        <rFont val="Calibri"/>
        <family val="2"/>
        <scheme val="minor"/>
      </rPr>
      <t xml:space="preserve"> + notch</t>
    </r>
    <r>
      <rPr>
        <vertAlign val="subscript"/>
        <sz val="11"/>
        <color theme="1"/>
        <rFont val="Calibri"/>
        <family val="2"/>
        <scheme val="minor"/>
      </rPr>
      <t>stiffener_bot</t>
    </r>
    <r>
      <rPr>
        <sz val="11"/>
        <color theme="1"/>
        <rFont val="Calibri"/>
        <family val="2"/>
        <scheme val="minor"/>
      </rPr>
      <t xml:space="preserve"> + L</t>
    </r>
    <r>
      <rPr>
        <vertAlign val="subscript"/>
        <sz val="11"/>
        <color theme="1"/>
        <rFont val="Calibri"/>
        <family val="2"/>
        <scheme val="minor"/>
      </rPr>
      <t xml:space="preserve">weld_v_bot </t>
    </r>
    <r>
      <rPr>
        <sz val="11"/>
        <color theme="1"/>
        <rFont val="Calibri"/>
        <family val="2"/>
        <scheme val="minor"/>
      </rPr>
      <t>/ 2</t>
    </r>
  </si>
  <si>
    <r>
      <t>n</t>
    </r>
    <r>
      <rPr>
        <vertAlign val="subscript"/>
        <sz val="11"/>
        <color theme="1"/>
        <rFont val="Calibri"/>
        <family val="2"/>
        <scheme val="minor"/>
      </rPr>
      <t>_v_bot</t>
    </r>
    <r>
      <rPr>
        <sz val="11"/>
        <color theme="1"/>
        <rFont val="Calibri"/>
        <family val="2"/>
        <scheme val="minor"/>
      </rPr>
      <t xml:space="preserve"> * L</t>
    </r>
    <r>
      <rPr>
        <vertAlign val="subscript"/>
        <sz val="11"/>
        <color theme="1"/>
        <rFont val="Calibri"/>
        <family val="2"/>
        <scheme val="minor"/>
      </rPr>
      <t>weld_v_bot</t>
    </r>
  </si>
  <si>
    <r>
      <t>ΣL</t>
    </r>
    <r>
      <rPr>
        <vertAlign val="subscript"/>
        <sz val="11"/>
        <color theme="1"/>
        <rFont val="Calibri"/>
        <family val="2"/>
        <scheme val="minor"/>
      </rPr>
      <t>weld_v_bot</t>
    </r>
    <r>
      <rPr>
        <sz val="11"/>
        <color theme="1"/>
        <rFont val="Calibri"/>
        <family val="2"/>
        <scheme val="minor"/>
      </rPr>
      <t xml:space="preserve"> * L</t>
    </r>
    <r>
      <rPr>
        <vertAlign val="subscript"/>
        <sz val="11"/>
        <color theme="1"/>
        <rFont val="Calibri"/>
        <family val="2"/>
        <scheme val="minor"/>
      </rPr>
      <t>weld_v_bot</t>
    </r>
  </si>
  <si>
    <r>
      <t>ΣL</t>
    </r>
    <r>
      <rPr>
        <vertAlign val="subscript"/>
        <sz val="11"/>
        <color theme="1"/>
        <rFont val="Calibri"/>
        <family val="2"/>
        <scheme val="minor"/>
      </rPr>
      <t>weld_h1_bot</t>
    </r>
    <r>
      <rPr>
        <sz val="11"/>
        <color theme="1"/>
        <rFont val="Calibri"/>
        <family val="2"/>
        <scheme val="minor"/>
      </rPr>
      <t xml:space="preserve"> + ΣL</t>
    </r>
    <r>
      <rPr>
        <vertAlign val="subscript"/>
        <sz val="11"/>
        <color theme="1"/>
        <rFont val="Calibri"/>
        <family val="2"/>
        <scheme val="minor"/>
      </rPr>
      <t>weld_h2_bot</t>
    </r>
    <r>
      <rPr>
        <sz val="11"/>
        <color theme="1"/>
        <rFont val="Calibri"/>
        <family val="2"/>
        <scheme val="minor"/>
      </rPr>
      <t xml:space="preserve"> + ΣL</t>
    </r>
    <r>
      <rPr>
        <vertAlign val="subscript"/>
        <sz val="11"/>
        <color theme="1"/>
        <rFont val="Calibri"/>
        <family val="2"/>
        <scheme val="minor"/>
      </rPr>
      <t>weld_v_bot</t>
    </r>
  </si>
  <si>
    <r>
      <t>(ΣL</t>
    </r>
    <r>
      <rPr>
        <vertAlign val="subscript"/>
        <sz val="11"/>
        <color theme="1"/>
        <rFont val="Calibri"/>
        <family val="2"/>
        <scheme val="minor"/>
      </rPr>
      <t>weld_h1_bot</t>
    </r>
    <r>
      <rPr>
        <sz val="11"/>
        <color theme="1"/>
        <rFont val="Calibri"/>
        <family val="2"/>
        <scheme val="minor"/>
      </rPr>
      <t>*y</t>
    </r>
    <r>
      <rPr>
        <vertAlign val="subscript"/>
        <sz val="11"/>
        <color theme="1"/>
        <rFont val="Calibri"/>
        <family val="2"/>
        <scheme val="minor"/>
      </rPr>
      <t xml:space="preserve">bar_h1_bot </t>
    </r>
    <r>
      <rPr>
        <sz val="11"/>
        <color theme="1"/>
        <rFont val="Calibri"/>
        <family val="2"/>
        <scheme val="minor"/>
      </rPr>
      <t>+ ΣL</t>
    </r>
    <r>
      <rPr>
        <vertAlign val="subscript"/>
        <sz val="11"/>
        <color theme="1"/>
        <rFont val="Calibri"/>
        <family val="2"/>
        <scheme val="minor"/>
      </rPr>
      <t>weld_h2_bot</t>
    </r>
    <r>
      <rPr>
        <sz val="11"/>
        <color theme="1"/>
        <rFont val="Calibri"/>
        <family val="2"/>
        <scheme val="minor"/>
      </rPr>
      <t>*y</t>
    </r>
    <r>
      <rPr>
        <vertAlign val="subscript"/>
        <sz val="11"/>
        <color theme="1"/>
        <rFont val="Calibri"/>
        <family val="2"/>
        <scheme val="minor"/>
      </rPr>
      <t xml:space="preserve">bar_h2_bot </t>
    </r>
    <r>
      <rPr>
        <sz val="11"/>
        <color theme="1"/>
        <rFont val="Calibri"/>
        <family val="2"/>
        <scheme val="minor"/>
      </rPr>
      <t>+ ΣL</t>
    </r>
    <r>
      <rPr>
        <vertAlign val="subscript"/>
        <sz val="11"/>
        <color theme="1"/>
        <rFont val="Calibri"/>
        <family val="2"/>
        <scheme val="minor"/>
      </rPr>
      <t>weld_v_bot</t>
    </r>
    <r>
      <rPr>
        <sz val="11"/>
        <color theme="1"/>
        <rFont val="Calibri"/>
        <family val="2"/>
        <scheme val="minor"/>
      </rPr>
      <t>*y</t>
    </r>
    <r>
      <rPr>
        <vertAlign val="subscript"/>
        <sz val="11"/>
        <color theme="1"/>
        <rFont val="Calibri"/>
        <family val="2"/>
        <scheme val="minor"/>
      </rPr>
      <t>bar_v_bot</t>
    </r>
    <r>
      <rPr>
        <sz val="11"/>
        <color theme="1"/>
        <rFont val="Calibri"/>
        <family val="2"/>
        <scheme val="minor"/>
      </rPr>
      <t>) / ΣL</t>
    </r>
    <r>
      <rPr>
        <vertAlign val="subscript"/>
        <sz val="11"/>
        <color theme="1"/>
        <rFont val="Calibri"/>
        <family val="2"/>
        <scheme val="minor"/>
      </rPr>
      <t>weld_group_bot</t>
    </r>
  </si>
  <si>
    <r>
      <t>L</t>
    </r>
    <r>
      <rPr>
        <vertAlign val="subscript"/>
        <sz val="11"/>
        <color theme="1"/>
        <rFont val="Calibri"/>
        <family val="2"/>
        <scheme val="minor"/>
      </rPr>
      <t>weld_h1_bot</t>
    </r>
    <r>
      <rPr>
        <sz val="11"/>
        <color theme="1"/>
        <rFont val="Calibri"/>
        <family val="2"/>
        <scheme val="minor"/>
      </rPr>
      <t xml:space="preserve"> * (y</t>
    </r>
    <r>
      <rPr>
        <vertAlign val="subscript"/>
        <sz val="11"/>
        <color theme="1"/>
        <rFont val="Calibri"/>
        <family val="2"/>
        <scheme val="minor"/>
      </rPr>
      <t>bar_weld_group_bot</t>
    </r>
    <r>
      <rPr>
        <sz val="11"/>
        <color theme="1"/>
        <rFont val="Calibri"/>
        <family val="2"/>
        <scheme val="minor"/>
      </rPr>
      <t>)</t>
    </r>
    <r>
      <rPr>
        <vertAlign val="superscript"/>
        <sz val="11"/>
        <color theme="1"/>
        <rFont val="Calibri"/>
        <family val="2"/>
        <scheme val="minor"/>
      </rPr>
      <t>2</t>
    </r>
  </si>
  <si>
    <r>
      <t>L</t>
    </r>
    <r>
      <rPr>
        <vertAlign val="subscript"/>
        <sz val="11"/>
        <color theme="1"/>
        <rFont val="Calibri"/>
        <family val="2"/>
        <scheme val="minor"/>
      </rPr>
      <t xml:space="preserve">weld_h2_bot </t>
    </r>
    <r>
      <rPr>
        <sz val="11"/>
        <color theme="1"/>
        <rFont val="Calibri"/>
        <family val="2"/>
        <scheme val="minor"/>
      </rPr>
      <t>* (y</t>
    </r>
    <r>
      <rPr>
        <vertAlign val="subscript"/>
        <sz val="11"/>
        <color theme="1"/>
        <rFont val="Calibri"/>
        <family val="2"/>
        <scheme val="minor"/>
      </rPr>
      <t>bar_weld_group_bot</t>
    </r>
    <r>
      <rPr>
        <sz val="11"/>
        <color theme="1"/>
        <rFont val="Calibri"/>
        <family val="2"/>
        <scheme val="minor"/>
      </rPr>
      <t xml:space="preserve"> - t</t>
    </r>
    <r>
      <rPr>
        <vertAlign val="subscript"/>
        <sz val="11"/>
        <color theme="1"/>
        <rFont val="Calibri"/>
        <family val="2"/>
        <scheme val="minor"/>
      </rPr>
      <t>flange_bot</t>
    </r>
    <r>
      <rPr>
        <sz val="11"/>
        <color theme="1"/>
        <rFont val="Calibri"/>
        <family val="2"/>
        <scheme val="minor"/>
      </rPr>
      <t>)</t>
    </r>
    <r>
      <rPr>
        <vertAlign val="superscript"/>
        <sz val="11"/>
        <color theme="1"/>
        <rFont val="Calibri"/>
        <family val="2"/>
        <scheme val="minor"/>
      </rPr>
      <t>2</t>
    </r>
  </si>
  <si>
    <r>
      <t>|y</t>
    </r>
    <r>
      <rPr>
        <vertAlign val="subscript"/>
        <sz val="11"/>
        <color theme="1"/>
        <rFont val="Calibri"/>
        <family val="2"/>
        <scheme val="minor"/>
      </rPr>
      <t>bar_v_bot</t>
    </r>
    <r>
      <rPr>
        <sz val="11"/>
        <color theme="1"/>
        <rFont val="Calibri"/>
        <family val="2"/>
        <scheme val="minor"/>
      </rPr>
      <t xml:space="preserve"> - y</t>
    </r>
    <r>
      <rPr>
        <vertAlign val="subscript"/>
        <sz val="11"/>
        <color theme="1"/>
        <rFont val="Calibri"/>
        <family val="2"/>
        <scheme val="minor"/>
      </rPr>
      <t>bar_weld_group_bot</t>
    </r>
    <r>
      <rPr>
        <sz val="11"/>
        <color theme="1"/>
        <rFont val="Calibri"/>
        <family val="2"/>
        <scheme val="minor"/>
      </rPr>
      <t>|</t>
    </r>
  </si>
  <si>
    <r>
      <t>4 * (L</t>
    </r>
    <r>
      <rPr>
        <vertAlign val="subscript"/>
        <sz val="11"/>
        <color theme="1"/>
        <rFont val="Calibri"/>
        <family val="2"/>
        <scheme val="minor"/>
      </rPr>
      <t>weld_v</t>
    </r>
    <r>
      <rPr>
        <vertAlign val="superscript"/>
        <sz val="11"/>
        <color theme="1"/>
        <rFont val="Calibri"/>
        <family val="2"/>
        <scheme val="minor"/>
      </rPr>
      <t xml:space="preserve">3_bot </t>
    </r>
    <r>
      <rPr>
        <sz val="11"/>
        <color theme="1"/>
        <rFont val="Calibri"/>
        <family val="2"/>
        <scheme val="minor"/>
      </rPr>
      <t>/ 12 + L</t>
    </r>
    <r>
      <rPr>
        <vertAlign val="subscript"/>
        <sz val="11"/>
        <color theme="1"/>
        <rFont val="Calibri"/>
        <family val="2"/>
        <scheme val="minor"/>
      </rPr>
      <t xml:space="preserve">weld_v_bot </t>
    </r>
    <r>
      <rPr>
        <sz val="11"/>
        <color theme="1"/>
        <rFont val="Calibri"/>
        <family val="2"/>
        <scheme val="minor"/>
      </rPr>
      <t>* d</t>
    </r>
    <r>
      <rPr>
        <vertAlign val="subscript"/>
        <sz val="11"/>
        <color theme="1"/>
        <rFont val="Calibri"/>
        <family val="2"/>
        <scheme val="minor"/>
      </rPr>
      <t>v</t>
    </r>
    <r>
      <rPr>
        <vertAlign val="superscript"/>
        <sz val="11"/>
        <color theme="1"/>
        <rFont val="Calibri"/>
        <family val="2"/>
        <scheme val="minor"/>
      </rPr>
      <t>2_bot</t>
    </r>
    <r>
      <rPr>
        <sz val="11"/>
        <color theme="1"/>
        <rFont val="Calibri"/>
        <family val="2"/>
        <scheme val="minor"/>
      </rPr>
      <t>)</t>
    </r>
  </si>
  <si>
    <r>
      <t>I</t>
    </r>
    <r>
      <rPr>
        <vertAlign val="subscript"/>
        <sz val="11"/>
        <color theme="1"/>
        <rFont val="Calibri"/>
        <family val="2"/>
        <scheme val="minor"/>
      </rPr>
      <t>_h1_bot</t>
    </r>
    <r>
      <rPr>
        <sz val="11"/>
        <color theme="1"/>
        <rFont val="Calibri"/>
        <family val="2"/>
        <scheme val="minor"/>
      </rPr>
      <t xml:space="preserve"> + I</t>
    </r>
    <r>
      <rPr>
        <vertAlign val="subscript"/>
        <sz val="11"/>
        <color theme="1"/>
        <rFont val="Calibri"/>
        <family val="2"/>
        <scheme val="minor"/>
      </rPr>
      <t>_h2_bot</t>
    </r>
    <r>
      <rPr>
        <sz val="11"/>
        <color theme="1"/>
        <rFont val="Calibri"/>
        <family val="2"/>
        <scheme val="minor"/>
      </rPr>
      <t xml:space="preserve"> + I</t>
    </r>
    <r>
      <rPr>
        <vertAlign val="subscript"/>
        <sz val="11"/>
        <color theme="1"/>
        <rFont val="Calibri"/>
        <family val="2"/>
        <scheme val="minor"/>
      </rPr>
      <t>v_bot</t>
    </r>
  </si>
  <si>
    <r>
      <t>P</t>
    </r>
    <r>
      <rPr>
        <vertAlign val="subscript"/>
        <sz val="11"/>
        <color theme="1"/>
        <rFont val="Calibri"/>
        <family val="2"/>
        <scheme val="minor"/>
      </rPr>
      <t>mod_sp</t>
    </r>
    <r>
      <rPr>
        <sz val="11"/>
        <color theme="1"/>
        <rFont val="Calibri"/>
        <family val="2"/>
        <scheme val="minor"/>
      </rPr>
      <t xml:space="preserve"> / ΣL</t>
    </r>
    <r>
      <rPr>
        <vertAlign val="subscript"/>
        <sz val="11"/>
        <color theme="1"/>
        <rFont val="Calibri"/>
        <family val="2"/>
        <scheme val="minor"/>
      </rPr>
      <t>weld_group</t>
    </r>
    <r>
      <rPr>
        <sz val="11"/>
        <color theme="1"/>
        <rFont val="Calibri"/>
        <family val="2"/>
        <scheme val="minor"/>
      </rPr>
      <t>_bot</t>
    </r>
  </si>
  <si>
    <r>
      <t>MAX(y</t>
    </r>
    <r>
      <rPr>
        <vertAlign val="subscript"/>
        <sz val="11"/>
        <color theme="1"/>
        <rFont val="Calibri"/>
        <family val="2"/>
        <scheme val="minor"/>
      </rPr>
      <t>bar_weld_group_bot</t>
    </r>
    <r>
      <rPr>
        <sz val="11"/>
        <color theme="1"/>
        <rFont val="Calibri"/>
        <family val="2"/>
        <scheme val="minor"/>
      </rPr>
      <t xml:space="preserve"> , t</t>
    </r>
    <r>
      <rPr>
        <vertAlign val="subscript"/>
        <sz val="11"/>
        <color theme="1"/>
        <rFont val="Calibri"/>
        <family val="2"/>
        <scheme val="minor"/>
      </rPr>
      <t xml:space="preserve">flange_bot </t>
    </r>
    <r>
      <rPr>
        <sz val="11"/>
        <color theme="1"/>
        <rFont val="Calibri"/>
        <family val="2"/>
        <scheme val="minor"/>
      </rPr>
      <t>+ notch</t>
    </r>
    <r>
      <rPr>
        <vertAlign val="subscript"/>
        <sz val="11"/>
        <color theme="1"/>
        <rFont val="Calibri"/>
        <family val="2"/>
        <scheme val="minor"/>
      </rPr>
      <t xml:space="preserve">stiffener_bot </t>
    </r>
    <r>
      <rPr>
        <sz val="11"/>
        <color theme="1"/>
        <rFont val="Calibri"/>
        <family val="2"/>
        <scheme val="minor"/>
      </rPr>
      <t>+ L</t>
    </r>
    <r>
      <rPr>
        <vertAlign val="subscript"/>
        <sz val="11"/>
        <color theme="1"/>
        <rFont val="Calibri"/>
        <family val="2"/>
        <scheme val="minor"/>
      </rPr>
      <t xml:space="preserve">weld_v_bot </t>
    </r>
    <r>
      <rPr>
        <sz val="11"/>
        <color theme="1"/>
        <rFont val="Calibri"/>
        <family val="2"/>
        <scheme val="minor"/>
      </rPr>
      <t>- y</t>
    </r>
    <r>
      <rPr>
        <vertAlign val="subscript"/>
        <sz val="11"/>
        <color theme="1"/>
        <rFont val="Calibri"/>
        <family val="2"/>
        <scheme val="minor"/>
      </rPr>
      <t>bar_weld_group_bot</t>
    </r>
    <r>
      <rPr>
        <sz val="11"/>
        <color theme="1"/>
        <rFont val="Calibri"/>
        <family val="2"/>
        <scheme val="minor"/>
      </rPr>
      <t>)</t>
    </r>
  </si>
  <si>
    <r>
      <t>(P</t>
    </r>
    <r>
      <rPr>
        <vertAlign val="subscript"/>
        <sz val="11"/>
        <color theme="1"/>
        <rFont val="Calibri"/>
        <family val="2"/>
        <scheme val="minor"/>
      </rPr>
      <t>mod_sp</t>
    </r>
    <r>
      <rPr>
        <sz val="11"/>
        <color theme="1"/>
        <rFont val="Calibri"/>
        <family val="2"/>
        <scheme val="minor"/>
      </rPr>
      <t xml:space="preserve"> * arm</t>
    </r>
    <r>
      <rPr>
        <vertAlign val="subscript"/>
        <sz val="11"/>
        <color theme="1"/>
        <rFont val="Calibri"/>
        <family val="2"/>
        <scheme val="minor"/>
      </rPr>
      <t>sp_bot</t>
    </r>
    <r>
      <rPr>
        <sz val="11"/>
        <color theme="1"/>
        <rFont val="Calibri"/>
        <family val="2"/>
        <scheme val="minor"/>
      </rPr>
      <t xml:space="preserve"> * c</t>
    </r>
    <r>
      <rPr>
        <vertAlign val="subscript"/>
        <sz val="11"/>
        <color theme="1"/>
        <rFont val="Calibri"/>
        <family val="2"/>
        <scheme val="minor"/>
      </rPr>
      <t>max_bot</t>
    </r>
    <r>
      <rPr>
        <sz val="11"/>
        <color theme="1"/>
        <rFont val="Calibri"/>
        <family val="2"/>
        <scheme val="minor"/>
      </rPr>
      <t>) / I</t>
    </r>
    <r>
      <rPr>
        <vertAlign val="subscript"/>
        <sz val="11"/>
        <color theme="1"/>
        <rFont val="Calibri"/>
        <family val="2"/>
        <scheme val="minor"/>
      </rPr>
      <t>weld_group_bot</t>
    </r>
  </si>
  <si>
    <r>
      <t>D</t>
    </r>
    <r>
      <rPr>
        <vertAlign val="subscript"/>
        <sz val="11"/>
        <color theme="1"/>
        <rFont val="Calibri"/>
        <family val="2"/>
        <scheme val="minor"/>
      </rPr>
      <t>fillet_bot</t>
    </r>
    <r>
      <rPr>
        <sz val="11"/>
        <color theme="1"/>
        <rFont val="Calibri"/>
        <family val="2"/>
        <scheme val="minor"/>
      </rPr>
      <t xml:space="preserve"> =</t>
    </r>
  </si>
  <si>
    <r>
      <t>F</t>
    </r>
    <r>
      <rPr>
        <vertAlign val="subscript"/>
        <sz val="11"/>
        <color theme="1"/>
        <rFont val="Calibri"/>
        <family val="2"/>
        <scheme val="minor"/>
      </rPr>
      <t xml:space="preserve">EXX_bot </t>
    </r>
    <r>
      <rPr>
        <sz val="11"/>
        <color theme="1"/>
        <rFont val="Calibri"/>
        <family val="2"/>
        <scheme val="minor"/>
      </rPr>
      <t>=</t>
    </r>
  </si>
  <si>
    <r>
      <t>0.6 * F</t>
    </r>
    <r>
      <rPr>
        <vertAlign val="subscript"/>
        <sz val="11"/>
        <color theme="1"/>
        <rFont val="Calibri"/>
        <family val="2"/>
        <scheme val="minor"/>
      </rPr>
      <t xml:space="preserve">EXX_bot </t>
    </r>
    <r>
      <rPr>
        <sz val="11"/>
        <color theme="1"/>
        <rFont val="Calibri"/>
        <family val="2"/>
        <scheme val="minor"/>
      </rPr>
      <t xml:space="preserve">* </t>
    </r>
    <r>
      <rPr>
        <sz val="11"/>
        <color theme="1"/>
        <rFont val="Calibri"/>
        <family val="2"/>
      </rPr>
      <t>√</t>
    </r>
    <r>
      <rPr>
        <sz val="11"/>
        <color theme="1"/>
        <rFont val="Calibri"/>
        <family val="2"/>
        <scheme val="minor"/>
      </rPr>
      <t>(2)/2 * (D</t>
    </r>
    <r>
      <rPr>
        <vertAlign val="subscript"/>
        <sz val="11"/>
        <color theme="1"/>
        <rFont val="Calibri"/>
        <family val="2"/>
        <scheme val="minor"/>
      </rPr>
      <t xml:space="preserve">fillet_bot </t>
    </r>
    <r>
      <rPr>
        <sz val="11"/>
        <color theme="1"/>
        <rFont val="Calibri"/>
        <family val="2"/>
        <scheme val="minor"/>
      </rPr>
      <t>/ 16)</t>
    </r>
  </si>
  <si>
    <r>
      <t>0.6 * F</t>
    </r>
    <r>
      <rPr>
        <vertAlign val="subscript"/>
        <sz val="11"/>
        <color theme="1"/>
        <rFont val="Calibri"/>
        <family val="2"/>
        <scheme val="minor"/>
      </rPr>
      <t>EXX_bot</t>
    </r>
    <r>
      <rPr>
        <sz val="11"/>
        <color theme="1"/>
        <rFont val="Calibri"/>
        <family val="2"/>
        <scheme val="minor"/>
      </rPr>
      <t xml:space="preserve"> * A</t>
    </r>
    <r>
      <rPr>
        <vertAlign val="subscript"/>
        <sz val="11"/>
        <color theme="1"/>
        <rFont val="Calibri"/>
        <family val="2"/>
        <scheme val="minor"/>
      </rPr>
      <t>weld_h_bot</t>
    </r>
  </si>
  <si>
    <r>
      <t>n</t>
    </r>
    <r>
      <rPr>
        <vertAlign val="subscript"/>
        <sz val="11"/>
        <color theme="1"/>
        <rFont val="Calibri"/>
        <family val="2"/>
        <scheme val="minor"/>
      </rPr>
      <t>bolts_existing_bot</t>
    </r>
    <r>
      <rPr>
        <sz val="11"/>
        <color theme="1"/>
        <rFont val="Calibri"/>
        <family val="2"/>
        <scheme val="minor"/>
      </rPr>
      <t xml:space="preserve"> =</t>
    </r>
  </si>
  <si>
    <r>
      <t>T</t>
    </r>
    <r>
      <rPr>
        <vertAlign val="subscript"/>
        <sz val="11"/>
        <color theme="1"/>
        <rFont val="Calibri"/>
        <family val="2"/>
        <scheme val="minor"/>
      </rPr>
      <t>threadedrod_distributed_bot</t>
    </r>
    <r>
      <rPr>
        <sz val="11"/>
        <color theme="1"/>
        <rFont val="Calibri"/>
        <family val="2"/>
        <scheme val="minor"/>
      </rPr>
      <t xml:space="preserve"> =</t>
    </r>
  </si>
  <si>
    <r>
      <t>r</t>
    </r>
    <r>
      <rPr>
        <vertAlign val="subscript"/>
        <sz val="11"/>
        <color theme="1"/>
        <rFont val="Calibri"/>
        <family val="2"/>
        <scheme val="minor"/>
      </rPr>
      <t>p_tens_bot</t>
    </r>
    <r>
      <rPr>
        <sz val="11"/>
        <color theme="1"/>
        <rFont val="Calibri"/>
        <family val="2"/>
        <scheme val="minor"/>
      </rPr>
      <t xml:space="preserve"> =</t>
    </r>
  </si>
  <si>
    <r>
      <t>r</t>
    </r>
    <r>
      <rPr>
        <vertAlign val="subscript"/>
        <sz val="11"/>
        <color theme="1"/>
        <rFont val="Calibri"/>
        <family val="2"/>
        <scheme val="minor"/>
      </rPr>
      <t>m_tens_bot</t>
    </r>
    <r>
      <rPr>
        <sz val="11"/>
        <color theme="1"/>
        <rFont val="Calibri"/>
        <family val="2"/>
        <scheme val="minor"/>
      </rPr>
      <t xml:space="preserve"> =</t>
    </r>
  </si>
  <si>
    <r>
      <t>r</t>
    </r>
    <r>
      <rPr>
        <vertAlign val="subscript"/>
        <sz val="11"/>
        <color theme="1"/>
        <rFont val="Calibri"/>
        <family val="2"/>
        <scheme val="minor"/>
      </rPr>
      <t>u_tens_bot</t>
    </r>
    <r>
      <rPr>
        <sz val="11"/>
        <color theme="1"/>
        <rFont val="Calibri"/>
        <family val="2"/>
        <scheme val="minor"/>
      </rPr>
      <t xml:space="preserve"> =</t>
    </r>
  </si>
  <si>
    <r>
      <t>Rn</t>
    </r>
    <r>
      <rPr>
        <vertAlign val="subscript"/>
        <sz val="11"/>
        <color theme="1"/>
        <rFont val="Calibri"/>
        <family val="2"/>
        <scheme val="minor"/>
      </rPr>
      <t xml:space="preserve">weld_tens_bot </t>
    </r>
    <r>
      <rPr>
        <sz val="11"/>
        <color theme="1"/>
        <rFont val="Calibri"/>
        <family val="2"/>
        <scheme val="minor"/>
      </rPr>
      <t>=</t>
    </r>
  </si>
  <si>
    <r>
      <rPr>
        <sz val="11"/>
        <color theme="1"/>
        <rFont val="Calibri"/>
        <family val="2"/>
      </rPr>
      <t>Φ</t>
    </r>
    <r>
      <rPr>
        <sz val="11"/>
        <color theme="1"/>
        <rFont val="Calibri"/>
        <family val="2"/>
        <scheme val="minor"/>
      </rPr>
      <t>Rn</t>
    </r>
    <r>
      <rPr>
        <vertAlign val="subscript"/>
        <sz val="11"/>
        <color theme="1"/>
        <rFont val="Calibri"/>
        <family val="2"/>
        <scheme val="minor"/>
      </rPr>
      <t xml:space="preserve">weld_tens_bot </t>
    </r>
    <r>
      <rPr>
        <sz val="11"/>
        <color theme="1"/>
        <rFont val="Calibri"/>
        <family val="2"/>
        <scheme val="minor"/>
      </rPr>
      <t>=</t>
    </r>
  </si>
  <si>
    <r>
      <t>Ratio</t>
    </r>
    <r>
      <rPr>
        <vertAlign val="subscript"/>
        <sz val="11"/>
        <color theme="1"/>
        <rFont val="Calibri"/>
        <family val="2"/>
        <scheme val="minor"/>
      </rPr>
      <t xml:space="preserve">mod </t>
    </r>
    <r>
      <rPr>
        <sz val="11"/>
        <color theme="1"/>
        <rFont val="Calibri"/>
        <family val="2"/>
        <scheme val="minor"/>
      </rPr>
      <t>* (Φtr * n</t>
    </r>
    <r>
      <rPr>
        <vertAlign val="subscript"/>
        <sz val="11"/>
        <color theme="1"/>
        <rFont val="Calibri"/>
        <family val="2"/>
        <scheme val="minor"/>
      </rPr>
      <t>bolts_existing_bot</t>
    </r>
    <r>
      <rPr>
        <sz val="11"/>
        <color theme="1"/>
        <rFont val="Calibri"/>
        <family val="2"/>
        <scheme val="minor"/>
      </rPr>
      <t xml:space="preserve"> * Fu</t>
    </r>
    <r>
      <rPr>
        <vertAlign val="subscript"/>
        <sz val="11"/>
        <color theme="1"/>
        <rFont val="Calibri"/>
        <family val="2"/>
        <scheme val="minor"/>
      </rPr>
      <t>threadedrod_bot</t>
    </r>
    <r>
      <rPr>
        <sz val="11"/>
        <color theme="1"/>
        <rFont val="Calibri"/>
        <family val="2"/>
        <scheme val="minor"/>
      </rPr>
      <t xml:space="preserve"> * A</t>
    </r>
    <r>
      <rPr>
        <vertAlign val="subscript"/>
        <sz val="11"/>
        <color theme="1"/>
        <rFont val="Calibri"/>
        <family val="2"/>
        <scheme val="minor"/>
      </rPr>
      <t>threadedrod_net_bot</t>
    </r>
    <r>
      <rPr>
        <sz val="11"/>
        <color theme="1"/>
        <rFont val="Calibri"/>
        <family val="2"/>
        <scheme val="minor"/>
      </rPr>
      <t>)</t>
    </r>
  </si>
  <si>
    <r>
      <t>T</t>
    </r>
    <r>
      <rPr>
        <vertAlign val="subscript"/>
        <sz val="11"/>
        <color theme="1"/>
        <rFont val="Calibri"/>
        <family val="2"/>
        <scheme val="minor"/>
      </rPr>
      <t>threadedrod_distributed_bot</t>
    </r>
    <r>
      <rPr>
        <sz val="11"/>
        <color theme="1"/>
        <rFont val="Calibri"/>
        <family val="2"/>
        <scheme val="minor"/>
      </rPr>
      <t xml:space="preserve"> / ΣL</t>
    </r>
    <r>
      <rPr>
        <vertAlign val="subscript"/>
        <sz val="11"/>
        <color theme="1"/>
        <rFont val="Calibri"/>
        <family val="2"/>
        <scheme val="minor"/>
      </rPr>
      <t>weld_group_bot</t>
    </r>
  </si>
  <si>
    <r>
      <t>(T</t>
    </r>
    <r>
      <rPr>
        <vertAlign val="subscript"/>
        <sz val="11"/>
        <color theme="1"/>
        <rFont val="Calibri"/>
        <family val="2"/>
        <scheme val="minor"/>
      </rPr>
      <t>threadedrod_distributed_bot</t>
    </r>
    <r>
      <rPr>
        <sz val="11"/>
        <color theme="1"/>
        <rFont val="Calibri"/>
        <family val="2"/>
        <scheme val="minor"/>
      </rPr>
      <t xml:space="preserve"> * arm</t>
    </r>
    <r>
      <rPr>
        <vertAlign val="subscript"/>
        <sz val="11"/>
        <color theme="1"/>
        <rFont val="Calibri"/>
        <family val="2"/>
        <scheme val="minor"/>
      </rPr>
      <t>sp_bot_bot</t>
    </r>
    <r>
      <rPr>
        <sz val="11"/>
        <color theme="1"/>
        <rFont val="Calibri"/>
        <family val="2"/>
        <scheme val="minor"/>
      </rPr>
      <t>*c</t>
    </r>
    <r>
      <rPr>
        <vertAlign val="subscript"/>
        <sz val="11"/>
        <color theme="1"/>
        <rFont val="Calibri"/>
        <family val="2"/>
        <scheme val="minor"/>
      </rPr>
      <t>max_bot</t>
    </r>
    <r>
      <rPr>
        <sz val="11"/>
        <color theme="1"/>
        <rFont val="Calibri"/>
        <family val="2"/>
        <scheme val="minor"/>
      </rPr>
      <t>) / I</t>
    </r>
    <r>
      <rPr>
        <vertAlign val="subscript"/>
        <sz val="11"/>
        <color theme="1"/>
        <rFont val="Calibri"/>
        <family val="2"/>
        <scheme val="minor"/>
      </rPr>
      <t>weld_group_bot</t>
    </r>
  </si>
  <si>
    <r>
      <rPr>
        <sz val="11"/>
        <color theme="1"/>
        <rFont val="Calibri"/>
        <family val="2"/>
      </rPr>
      <t>√</t>
    </r>
    <r>
      <rPr>
        <sz val="11"/>
        <color theme="1"/>
        <rFont val="Calibri"/>
        <family val="2"/>
        <scheme val="minor"/>
      </rPr>
      <t>(r</t>
    </r>
    <r>
      <rPr>
        <vertAlign val="subscript"/>
        <sz val="11"/>
        <color theme="1"/>
        <rFont val="Calibri"/>
        <family val="2"/>
        <scheme val="minor"/>
      </rPr>
      <t>p_tens_bot</t>
    </r>
    <r>
      <rPr>
        <vertAlign val="superscript"/>
        <sz val="11"/>
        <color theme="1"/>
        <rFont val="Calibri"/>
        <family val="2"/>
        <scheme val="minor"/>
      </rPr>
      <t>2</t>
    </r>
    <r>
      <rPr>
        <sz val="11"/>
        <color theme="1"/>
        <rFont val="Calibri"/>
        <family val="2"/>
        <scheme val="minor"/>
      </rPr>
      <t xml:space="preserve"> + r</t>
    </r>
    <r>
      <rPr>
        <vertAlign val="subscript"/>
        <sz val="11"/>
        <color theme="1"/>
        <rFont val="Calibri"/>
        <family val="2"/>
        <scheme val="minor"/>
      </rPr>
      <t>m_tens_bot</t>
    </r>
    <r>
      <rPr>
        <vertAlign val="superscript"/>
        <sz val="11"/>
        <color theme="1"/>
        <rFont val="Calibri"/>
        <family val="2"/>
        <scheme val="minor"/>
      </rPr>
      <t>2</t>
    </r>
    <r>
      <rPr>
        <sz val="11"/>
        <color theme="1"/>
        <rFont val="Calibri"/>
        <family val="2"/>
        <scheme val="minor"/>
      </rPr>
      <t>)</t>
    </r>
  </si>
  <si>
    <r>
      <t>0.6 * F</t>
    </r>
    <r>
      <rPr>
        <vertAlign val="subscript"/>
        <sz val="11"/>
        <color theme="1"/>
        <rFont val="Calibri"/>
        <family val="2"/>
        <scheme val="minor"/>
      </rPr>
      <t xml:space="preserve">EXX_bot </t>
    </r>
    <r>
      <rPr>
        <sz val="11"/>
        <color theme="1"/>
        <rFont val="Calibri"/>
        <family val="2"/>
        <scheme val="minor"/>
      </rPr>
      <t xml:space="preserve">* </t>
    </r>
    <r>
      <rPr>
        <sz val="11"/>
        <color theme="1"/>
        <rFont val="Calibri"/>
        <family val="2"/>
      </rPr>
      <t>√</t>
    </r>
    <r>
      <rPr>
        <sz val="11"/>
        <color theme="1"/>
        <rFont val="Calibri"/>
        <family val="2"/>
        <scheme val="minor"/>
      </rPr>
      <t>(2) / 2 * (D</t>
    </r>
    <r>
      <rPr>
        <vertAlign val="subscript"/>
        <sz val="11"/>
        <color theme="1"/>
        <rFont val="Calibri"/>
        <family val="2"/>
        <scheme val="minor"/>
      </rPr>
      <t>fillet_bot</t>
    </r>
    <r>
      <rPr>
        <sz val="11"/>
        <color theme="1"/>
        <rFont val="Calibri"/>
        <family val="2"/>
        <scheme val="minor"/>
      </rPr>
      <t xml:space="preserve"> / 16)</t>
    </r>
  </si>
  <si>
    <r>
      <t>Φw * Rn</t>
    </r>
    <r>
      <rPr>
        <vertAlign val="subscript"/>
        <sz val="11"/>
        <color theme="1"/>
        <rFont val="Calibri"/>
        <family val="2"/>
        <scheme val="minor"/>
      </rPr>
      <t>weld_tens_bot</t>
    </r>
  </si>
  <si>
    <r>
      <t>r</t>
    </r>
    <r>
      <rPr>
        <vertAlign val="subscript"/>
        <sz val="11"/>
        <color theme="1"/>
        <rFont val="Calibri"/>
        <family val="2"/>
        <scheme val="minor"/>
      </rPr>
      <t>h_tens_v_bot</t>
    </r>
    <r>
      <rPr>
        <sz val="11"/>
        <color theme="1"/>
        <rFont val="Calibri"/>
        <family val="2"/>
        <scheme val="minor"/>
      </rPr>
      <t xml:space="preserve"> =</t>
    </r>
  </si>
  <si>
    <r>
      <t>n</t>
    </r>
    <r>
      <rPr>
        <vertAlign val="subscript"/>
        <sz val="11"/>
        <color theme="1"/>
        <rFont val="Calibri"/>
        <family val="2"/>
        <scheme val="minor"/>
      </rPr>
      <t>weld_h_bot</t>
    </r>
    <r>
      <rPr>
        <sz val="11"/>
        <color theme="1"/>
        <rFont val="Calibri"/>
        <family val="2"/>
        <scheme val="minor"/>
      </rPr>
      <t xml:space="preserve"> * (r</t>
    </r>
    <r>
      <rPr>
        <vertAlign val="subscript"/>
        <sz val="11"/>
        <color theme="1"/>
        <rFont val="Calibri"/>
        <family val="2"/>
        <scheme val="minor"/>
      </rPr>
      <t>p_tens_bot</t>
    </r>
    <r>
      <rPr>
        <sz val="11"/>
        <color theme="1"/>
        <rFont val="Calibri"/>
        <family val="2"/>
        <scheme val="minor"/>
      </rPr>
      <t xml:space="preserve"> * L</t>
    </r>
    <r>
      <rPr>
        <vertAlign val="subscript"/>
        <sz val="11"/>
        <color theme="1"/>
        <rFont val="Calibri"/>
        <family val="2"/>
        <scheme val="minor"/>
      </rPr>
      <t>weld_v_bot</t>
    </r>
    <r>
      <rPr>
        <sz val="11"/>
        <color theme="1"/>
        <rFont val="Calibri"/>
        <family val="2"/>
        <scheme val="minor"/>
      </rPr>
      <t>)</t>
    </r>
  </si>
  <si>
    <r>
      <t>r</t>
    </r>
    <r>
      <rPr>
        <vertAlign val="subscript"/>
        <sz val="11"/>
        <color theme="1"/>
        <rFont val="Calibri"/>
        <family val="2"/>
        <scheme val="minor"/>
      </rPr>
      <t>h_tens_bot</t>
    </r>
    <r>
      <rPr>
        <sz val="11"/>
        <color theme="1"/>
        <rFont val="Calibri"/>
        <family val="2"/>
        <scheme val="minor"/>
      </rPr>
      <t xml:space="preserve"> =</t>
    </r>
  </si>
  <si>
    <r>
      <t>r</t>
    </r>
    <r>
      <rPr>
        <b/>
        <vertAlign val="subscript"/>
        <sz val="11"/>
        <color theme="1"/>
        <rFont val="Calibri"/>
        <family val="2"/>
        <scheme val="minor"/>
      </rPr>
      <t>h_tens_bot</t>
    </r>
    <r>
      <rPr>
        <b/>
        <sz val="11"/>
        <color theme="1"/>
        <rFont val="Calibri"/>
        <family val="2"/>
        <scheme val="minor"/>
      </rPr>
      <t xml:space="preserve"> =</t>
    </r>
  </si>
  <si>
    <r>
      <t>P</t>
    </r>
    <r>
      <rPr>
        <vertAlign val="subscript"/>
        <sz val="11"/>
        <color theme="1"/>
        <rFont val="Calibri"/>
        <family val="2"/>
        <scheme val="minor"/>
      </rPr>
      <t>mod_sp</t>
    </r>
    <r>
      <rPr>
        <sz val="11"/>
        <color theme="1"/>
        <rFont val="Calibri"/>
        <family val="2"/>
        <scheme val="minor"/>
      </rPr>
      <t xml:space="preserve"> / n</t>
    </r>
    <r>
      <rPr>
        <vertAlign val="subscript"/>
        <sz val="11"/>
        <color theme="1"/>
        <rFont val="Calibri"/>
        <family val="2"/>
        <scheme val="minor"/>
      </rPr>
      <t>threadedrod_bot</t>
    </r>
  </si>
  <si>
    <r>
      <t>x</t>
    </r>
    <r>
      <rPr>
        <vertAlign val="subscript"/>
        <sz val="11"/>
        <color theme="1"/>
        <rFont val="Calibri"/>
        <family val="2"/>
        <scheme val="minor"/>
      </rPr>
      <t>arm_pos_bot</t>
    </r>
    <r>
      <rPr>
        <sz val="11"/>
        <color theme="1"/>
        <rFont val="Calibri"/>
        <family val="2"/>
        <scheme val="minor"/>
      </rPr>
      <t xml:space="preserve"> =</t>
    </r>
  </si>
  <si>
    <r>
      <t>x</t>
    </r>
    <r>
      <rPr>
        <vertAlign val="subscript"/>
        <sz val="11"/>
        <color theme="1"/>
        <rFont val="Calibri"/>
        <family val="2"/>
        <scheme val="minor"/>
      </rPr>
      <t>arm_neg_bot</t>
    </r>
    <r>
      <rPr>
        <sz val="11"/>
        <color theme="1"/>
        <rFont val="Calibri"/>
        <family val="2"/>
        <scheme val="minor"/>
      </rPr>
      <t xml:space="preserve"> =</t>
    </r>
  </si>
  <si>
    <r>
      <t>P</t>
    </r>
    <r>
      <rPr>
        <vertAlign val="subscript"/>
        <sz val="11"/>
        <color theme="1"/>
        <rFont val="Calibri"/>
        <family val="2"/>
        <scheme val="minor"/>
      </rPr>
      <t>threadedrod_bot</t>
    </r>
    <r>
      <rPr>
        <sz val="11"/>
        <color theme="1"/>
        <rFont val="Calibri"/>
        <family val="2"/>
        <scheme val="minor"/>
      </rPr>
      <t xml:space="preserve"> =</t>
    </r>
  </si>
  <si>
    <r>
      <t>M</t>
    </r>
    <r>
      <rPr>
        <vertAlign val="subscript"/>
        <sz val="11"/>
        <color theme="1"/>
        <rFont val="Calibri"/>
        <family val="2"/>
        <scheme val="minor"/>
      </rPr>
      <t>threadedrod_bot</t>
    </r>
    <r>
      <rPr>
        <sz val="11"/>
        <color theme="1"/>
        <rFont val="Calibri"/>
        <family val="2"/>
        <scheme val="minor"/>
      </rPr>
      <t xml:space="preserve"> =</t>
    </r>
  </si>
  <si>
    <r>
      <t>T</t>
    </r>
    <r>
      <rPr>
        <vertAlign val="subscript"/>
        <sz val="11"/>
        <color theme="1"/>
        <rFont val="Calibri"/>
        <family val="2"/>
        <scheme val="minor"/>
      </rPr>
      <t>Ubolt_bot</t>
    </r>
    <r>
      <rPr>
        <sz val="11"/>
        <color theme="1"/>
        <rFont val="Calibri"/>
        <family val="2"/>
        <scheme val="minor"/>
      </rPr>
      <t xml:space="preserve"> =</t>
    </r>
  </si>
  <si>
    <r>
      <t>F</t>
    </r>
    <r>
      <rPr>
        <vertAlign val="subscript"/>
        <sz val="11"/>
        <color theme="1"/>
        <rFont val="Calibri"/>
        <family val="2"/>
        <scheme val="minor"/>
      </rPr>
      <t xml:space="preserve">EXX_top </t>
    </r>
    <r>
      <rPr>
        <sz val="11"/>
        <color theme="1"/>
        <rFont val="Calibri"/>
        <family val="2"/>
        <scheme val="minor"/>
      </rPr>
      <t>=</t>
    </r>
  </si>
  <si>
    <r>
      <t>D</t>
    </r>
    <r>
      <rPr>
        <vertAlign val="subscript"/>
        <sz val="11"/>
        <color theme="1"/>
        <rFont val="Calibri"/>
        <family val="2"/>
        <scheme val="minor"/>
      </rPr>
      <t>fillet_top</t>
    </r>
    <r>
      <rPr>
        <sz val="11"/>
        <color theme="1"/>
        <rFont val="Calibri"/>
        <family val="2"/>
        <scheme val="minor"/>
      </rPr>
      <t xml:space="preserve"> =</t>
    </r>
  </si>
  <si>
    <r>
      <t>arm</t>
    </r>
    <r>
      <rPr>
        <vertAlign val="subscript"/>
        <sz val="11"/>
        <color theme="1"/>
        <rFont val="Calibri"/>
        <family val="2"/>
        <scheme val="minor"/>
      </rPr>
      <t xml:space="preserve">sp_top </t>
    </r>
    <r>
      <rPr>
        <sz val="11"/>
        <color theme="1"/>
        <rFont val="Calibri"/>
        <family val="2"/>
        <scheme val="minor"/>
      </rPr>
      <t>=</t>
    </r>
  </si>
  <si>
    <r>
      <t>L</t>
    </r>
    <r>
      <rPr>
        <vertAlign val="subscript"/>
        <sz val="11"/>
        <color theme="1"/>
        <rFont val="Calibri"/>
        <family val="2"/>
        <scheme val="minor"/>
      </rPr>
      <t>weld_h1_top</t>
    </r>
    <r>
      <rPr>
        <sz val="11"/>
        <color theme="1"/>
        <rFont val="Calibri"/>
        <family val="2"/>
        <scheme val="minor"/>
      </rPr>
      <t xml:space="preserve"> =</t>
    </r>
  </si>
  <si>
    <r>
      <t>y</t>
    </r>
    <r>
      <rPr>
        <vertAlign val="subscript"/>
        <sz val="11"/>
        <color theme="1"/>
        <rFont val="Calibri"/>
        <family val="2"/>
        <scheme val="minor"/>
      </rPr>
      <t>bar_h1_top</t>
    </r>
    <r>
      <rPr>
        <sz val="11"/>
        <color theme="1"/>
        <rFont val="Calibri"/>
        <family val="2"/>
        <scheme val="minor"/>
      </rPr>
      <t xml:space="preserve"> =</t>
    </r>
  </si>
  <si>
    <r>
      <t>n</t>
    </r>
    <r>
      <rPr>
        <vertAlign val="subscript"/>
        <sz val="11"/>
        <color theme="1"/>
        <rFont val="Calibri"/>
        <family val="2"/>
        <scheme val="minor"/>
      </rPr>
      <t>_h1_top</t>
    </r>
    <r>
      <rPr>
        <sz val="11"/>
        <color theme="1"/>
        <rFont val="Calibri"/>
        <family val="2"/>
        <scheme val="minor"/>
      </rPr>
      <t xml:space="preserve"> =</t>
    </r>
  </si>
  <si>
    <r>
      <t>ΣL</t>
    </r>
    <r>
      <rPr>
        <vertAlign val="subscript"/>
        <sz val="11"/>
        <color theme="1"/>
        <rFont val="Calibri"/>
        <family val="2"/>
      </rPr>
      <t>weld_h1_top</t>
    </r>
    <r>
      <rPr>
        <sz val="11"/>
        <color theme="1"/>
        <rFont val="Calibri"/>
        <family val="2"/>
      </rPr>
      <t xml:space="preserve"> =</t>
    </r>
  </si>
  <si>
    <r>
      <t>L</t>
    </r>
    <r>
      <rPr>
        <vertAlign val="subscript"/>
        <sz val="11"/>
        <color theme="1"/>
        <rFont val="Calibri"/>
        <family val="2"/>
        <scheme val="minor"/>
      </rPr>
      <t>weld_h2_top</t>
    </r>
    <r>
      <rPr>
        <sz val="11"/>
        <color theme="1"/>
        <rFont val="Calibri"/>
        <family val="2"/>
        <scheme val="minor"/>
      </rPr>
      <t xml:space="preserve"> =</t>
    </r>
  </si>
  <si>
    <r>
      <t>y</t>
    </r>
    <r>
      <rPr>
        <vertAlign val="subscript"/>
        <sz val="11"/>
        <color theme="1"/>
        <rFont val="Calibri"/>
        <family val="2"/>
        <scheme val="minor"/>
      </rPr>
      <t>bar_h2_top</t>
    </r>
    <r>
      <rPr>
        <sz val="11"/>
        <color theme="1"/>
        <rFont val="Calibri"/>
        <family val="2"/>
        <scheme val="minor"/>
      </rPr>
      <t xml:space="preserve"> =</t>
    </r>
  </si>
  <si>
    <r>
      <t>n</t>
    </r>
    <r>
      <rPr>
        <vertAlign val="subscript"/>
        <sz val="11"/>
        <color theme="1"/>
        <rFont val="Calibri"/>
        <family val="2"/>
        <scheme val="minor"/>
      </rPr>
      <t>_h2_top</t>
    </r>
    <r>
      <rPr>
        <sz val="11"/>
        <color theme="1"/>
        <rFont val="Calibri"/>
        <family val="2"/>
        <scheme val="minor"/>
      </rPr>
      <t xml:space="preserve"> =</t>
    </r>
  </si>
  <si>
    <r>
      <t>ΣL</t>
    </r>
    <r>
      <rPr>
        <vertAlign val="subscript"/>
        <sz val="11"/>
        <color theme="1"/>
        <rFont val="Calibri"/>
        <family val="2"/>
      </rPr>
      <t>weld_h2_top</t>
    </r>
    <r>
      <rPr>
        <sz val="11"/>
        <color theme="1"/>
        <rFont val="Calibri"/>
        <family val="2"/>
      </rPr>
      <t xml:space="preserve"> =</t>
    </r>
  </si>
  <si>
    <r>
      <t>L</t>
    </r>
    <r>
      <rPr>
        <vertAlign val="subscript"/>
        <sz val="11"/>
        <color theme="1"/>
        <rFont val="Calibri"/>
        <family val="2"/>
        <scheme val="minor"/>
      </rPr>
      <t xml:space="preserve">weld_v_top </t>
    </r>
    <r>
      <rPr>
        <sz val="11"/>
        <color theme="1"/>
        <rFont val="Calibri"/>
        <family val="2"/>
        <scheme val="minor"/>
      </rPr>
      <t>=</t>
    </r>
  </si>
  <si>
    <r>
      <t>y</t>
    </r>
    <r>
      <rPr>
        <vertAlign val="subscript"/>
        <sz val="11"/>
        <color theme="1"/>
        <rFont val="Calibri"/>
        <family val="2"/>
        <scheme val="minor"/>
      </rPr>
      <t>bar_v_top</t>
    </r>
    <r>
      <rPr>
        <sz val="11"/>
        <color theme="1"/>
        <rFont val="Calibri"/>
        <family val="2"/>
        <scheme val="minor"/>
      </rPr>
      <t xml:space="preserve"> =</t>
    </r>
  </si>
  <si>
    <r>
      <t>n</t>
    </r>
    <r>
      <rPr>
        <vertAlign val="subscript"/>
        <sz val="11"/>
        <color theme="1"/>
        <rFont val="Calibri"/>
        <family val="2"/>
        <scheme val="minor"/>
      </rPr>
      <t xml:space="preserve">_v_top </t>
    </r>
    <r>
      <rPr>
        <sz val="11"/>
        <color theme="1"/>
        <rFont val="Calibri"/>
        <family val="2"/>
        <scheme val="minor"/>
      </rPr>
      <t>=</t>
    </r>
  </si>
  <si>
    <r>
      <t>ΣL</t>
    </r>
    <r>
      <rPr>
        <vertAlign val="subscript"/>
        <sz val="11"/>
        <color theme="1"/>
        <rFont val="Calibri"/>
        <family val="2"/>
      </rPr>
      <t>weld_v_top</t>
    </r>
    <r>
      <rPr>
        <sz val="11"/>
        <color theme="1"/>
        <rFont val="Calibri"/>
        <family val="2"/>
      </rPr>
      <t xml:space="preserve"> =</t>
    </r>
  </si>
  <si>
    <r>
      <t>ΣL</t>
    </r>
    <r>
      <rPr>
        <vertAlign val="subscript"/>
        <sz val="11"/>
        <color theme="1"/>
        <rFont val="Calibri"/>
        <family val="2"/>
      </rPr>
      <t>weld_v_top*</t>
    </r>
    <r>
      <rPr>
        <sz val="11"/>
        <color theme="1"/>
        <rFont val="Calibri"/>
        <family val="2"/>
      </rPr>
      <t>y</t>
    </r>
    <r>
      <rPr>
        <vertAlign val="subscript"/>
        <sz val="11"/>
        <color theme="1"/>
        <rFont val="Calibri"/>
        <family val="2"/>
      </rPr>
      <t>bar_v_top</t>
    </r>
    <r>
      <rPr>
        <sz val="11"/>
        <color theme="1"/>
        <rFont val="Calibri"/>
        <family val="2"/>
      </rPr>
      <t xml:space="preserve"> =</t>
    </r>
  </si>
  <si>
    <r>
      <t>ΣL</t>
    </r>
    <r>
      <rPr>
        <vertAlign val="subscript"/>
        <sz val="11"/>
        <color theme="1"/>
        <rFont val="Calibri"/>
        <family val="2"/>
      </rPr>
      <t>weld_h2_top</t>
    </r>
    <r>
      <rPr>
        <sz val="11"/>
        <color theme="1"/>
        <rFont val="Calibri"/>
        <family val="2"/>
      </rPr>
      <t>*y</t>
    </r>
    <r>
      <rPr>
        <vertAlign val="subscript"/>
        <sz val="11"/>
        <color theme="1"/>
        <rFont val="Calibri"/>
        <family val="2"/>
      </rPr>
      <t>bar_h2_top</t>
    </r>
    <r>
      <rPr>
        <sz val="11"/>
        <color theme="1"/>
        <rFont val="Calibri"/>
        <family val="2"/>
      </rPr>
      <t xml:space="preserve"> =</t>
    </r>
  </si>
  <si>
    <r>
      <t>ΣL</t>
    </r>
    <r>
      <rPr>
        <vertAlign val="subscript"/>
        <sz val="11"/>
        <color theme="1"/>
        <rFont val="Calibri"/>
        <family val="2"/>
      </rPr>
      <t>weld_h1_top</t>
    </r>
    <r>
      <rPr>
        <sz val="11"/>
        <color theme="1"/>
        <rFont val="Calibri"/>
        <family val="2"/>
      </rPr>
      <t>*y</t>
    </r>
    <r>
      <rPr>
        <vertAlign val="subscript"/>
        <sz val="11"/>
        <color theme="1"/>
        <rFont val="Calibri"/>
        <family val="2"/>
      </rPr>
      <t>bar_h1_top</t>
    </r>
    <r>
      <rPr>
        <sz val="11"/>
        <color theme="1"/>
        <rFont val="Calibri"/>
        <family val="2"/>
      </rPr>
      <t xml:space="preserve"> =</t>
    </r>
  </si>
  <si>
    <r>
      <t>ΣL</t>
    </r>
    <r>
      <rPr>
        <vertAlign val="subscript"/>
        <sz val="11"/>
        <color theme="1"/>
        <rFont val="Calibri"/>
        <family val="2"/>
      </rPr>
      <t>weld_h1_bot</t>
    </r>
    <r>
      <rPr>
        <sz val="11"/>
        <color theme="1"/>
        <rFont val="Calibri"/>
        <family val="2"/>
      </rPr>
      <t>*y</t>
    </r>
    <r>
      <rPr>
        <vertAlign val="subscript"/>
        <sz val="11"/>
        <color theme="1"/>
        <rFont val="Calibri"/>
        <family val="2"/>
      </rPr>
      <t>bar_h1_bot</t>
    </r>
    <r>
      <rPr>
        <sz val="11"/>
        <color theme="1"/>
        <rFont val="Calibri"/>
        <family val="2"/>
      </rPr>
      <t xml:space="preserve"> =</t>
    </r>
  </si>
  <si>
    <r>
      <t>ΣL</t>
    </r>
    <r>
      <rPr>
        <vertAlign val="subscript"/>
        <sz val="11"/>
        <color theme="1"/>
        <rFont val="Calibri"/>
        <family val="2"/>
      </rPr>
      <t>weld_h2_bot</t>
    </r>
    <r>
      <rPr>
        <sz val="11"/>
        <color theme="1"/>
        <rFont val="Calibri"/>
        <family val="2"/>
      </rPr>
      <t>*y</t>
    </r>
    <r>
      <rPr>
        <vertAlign val="subscript"/>
        <sz val="11"/>
        <color theme="1"/>
        <rFont val="Calibri"/>
        <family val="2"/>
      </rPr>
      <t>bar_h2_bot</t>
    </r>
    <r>
      <rPr>
        <sz val="11"/>
        <color theme="1"/>
        <rFont val="Calibri"/>
        <family val="2"/>
      </rPr>
      <t xml:space="preserve"> =</t>
    </r>
  </si>
  <si>
    <r>
      <t>ΣL</t>
    </r>
    <r>
      <rPr>
        <vertAlign val="subscript"/>
        <sz val="11"/>
        <color theme="1"/>
        <rFont val="Calibri"/>
        <family val="2"/>
      </rPr>
      <t>weld_group_top</t>
    </r>
    <r>
      <rPr>
        <sz val="11"/>
        <color theme="1"/>
        <rFont val="Calibri"/>
        <family val="2"/>
      </rPr>
      <t xml:space="preserve"> =</t>
    </r>
  </si>
  <si>
    <r>
      <t>y</t>
    </r>
    <r>
      <rPr>
        <vertAlign val="subscript"/>
        <sz val="11"/>
        <color theme="1"/>
        <rFont val="Calibri"/>
        <family val="2"/>
        <scheme val="minor"/>
      </rPr>
      <t>bar_weld_group_top</t>
    </r>
    <r>
      <rPr>
        <sz val="11"/>
        <color theme="1"/>
        <rFont val="Calibri"/>
        <family val="2"/>
        <scheme val="minor"/>
      </rPr>
      <t xml:space="preserve"> =</t>
    </r>
  </si>
  <si>
    <r>
      <t>I</t>
    </r>
    <r>
      <rPr>
        <vertAlign val="subscript"/>
        <sz val="11"/>
        <color theme="1"/>
        <rFont val="Calibri"/>
        <family val="2"/>
        <scheme val="minor"/>
      </rPr>
      <t>_h1_top</t>
    </r>
    <r>
      <rPr>
        <sz val="11"/>
        <color theme="1"/>
        <rFont val="Calibri"/>
        <family val="2"/>
        <scheme val="minor"/>
      </rPr>
      <t xml:space="preserve"> =</t>
    </r>
  </si>
  <si>
    <r>
      <t>I</t>
    </r>
    <r>
      <rPr>
        <vertAlign val="subscript"/>
        <sz val="11"/>
        <color theme="1"/>
        <rFont val="Calibri"/>
        <family val="2"/>
        <scheme val="minor"/>
      </rPr>
      <t>_h2_top</t>
    </r>
    <r>
      <rPr>
        <sz val="11"/>
        <color theme="1"/>
        <rFont val="Calibri"/>
        <family val="2"/>
        <scheme val="minor"/>
      </rPr>
      <t xml:space="preserve"> =</t>
    </r>
  </si>
  <si>
    <r>
      <t>d</t>
    </r>
    <r>
      <rPr>
        <vertAlign val="subscript"/>
        <sz val="11"/>
        <color theme="1"/>
        <rFont val="Calibri"/>
        <family val="2"/>
        <scheme val="minor"/>
      </rPr>
      <t>v_top</t>
    </r>
    <r>
      <rPr>
        <sz val="11"/>
        <color theme="1"/>
        <rFont val="Calibri"/>
        <family val="2"/>
        <scheme val="minor"/>
      </rPr>
      <t xml:space="preserve"> =</t>
    </r>
  </si>
  <si>
    <r>
      <t>I</t>
    </r>
    <r>
      <rPr>
        <vertAlign val="subscript"/>
        <sz val="11"/>
        <color theme="1"/>
        <rFont val="Calibri"/>
        <family val="2"/>
        <scheme val="minor"/>
      </rPr>
      <t>v_top</t>
    </r>
    <r>
      <rPr>
        <sz val="11"/>
        <color theme="1"/>
        <rFont val="Calibri"/>
        <family val="2"/>
        <scheme val="minor"/>
      </rPr>
      <t xml:space="preserve"> =</t>
    </r>
  </si>
  <si>
    <r>
      <t>I</t>
    </r>
    <r>
      <rPr>
        <vertAlign val="subscript"/>
        <sz val="11"/>
        <color theme="1"/>
        <rFont val="Calibri"/>
        <family val="2"/>
        <scheme val="minor"/>
      </rPr>
      <t>weld_group_top</t>
    </r>
    <r>
      <rPr>
        <sz val="11"/>
        <color theme="1"/>
        <rFont val="Calibri"/>
        <family val="2"/>
        <scheme val="minor"/>
      </rPr>
      <t xml:space="preserve"> =</t>
    </r>
  </si>
  <si>
    <r>
      <t>r</t>
    </r>
    <r>
      <rPr>
        <vertAlign val="subscript"/>
        <sz val="11"/>
        <color theme="1"/>
        <rFont val="Calibri"/>
        <family val="2"/>
        <scheme val="minor"/>
      </rPr>
      <t>p_top</t>
    </r>
    <r>
      <rPr>
        <sz val="11"/>
        <color theme="1"/>
        <rFont val="Calibri"/>
        <family val="2"/>
        <scheme val="minor"/>
      </rPr>
      <t xml:space="preserve"> =</t>
    </r>
  </si>
  <si>
    <r>
      <t>c</t>
    </r>
    <r>
      <rPr>
        <vertAlign val="subscript"/>
        <sz val="11"/>
        <color theme="1"/>
        <rFont val="Calibri"/>
        <family val="2"/>
        <scheme val="minor"/>
      </rPr>
      <t>max_top</t>
    </r>
    <r>
      <rPr>
        <sz val="11"/>
        <color theme="1"/>
        <rFont val="Calibri"/>
        <family val="2"/>
        <scheme val="minor"/>
      </rPr>
      <t xml:space="preserve"> =</t>
    </r>
  </si>
  <si>
    <r>
      <t>r</t>
    </r>
    <r>
      <rPr>
        <vertAlign val="subscript"/>
        <sz val="11"/>
        <color theme="1"/>
        <rFont val="Calibri"/>
        <family val="2"/>
        <scheme val="minor"/>
      </rPr>
      <t>m_top</t>
    </r>
    <r>
      <rPr>
        <sz val="11"/>
        <color theme="1"/>
        <rFont val="Calibri"/>
        <family val="2"/>
        <scheme val="minor"/>
      </rPr>
      <t xml:space="preserve"> =</t>
    </r>
  </si>
  <si>
    <r>
      <t>r</t>
    </r>
    <r>
      <rPr>
        <vertAlign val="subscript"/>
        <sz val="11"/>
        <color theme="1"/>
        <rFont val="Calibri"/>
        <family val="2"/>
        <scheme val="minor"/>
      </rPr>
      <t>u_top</t>
    </r>
    <r>
      <rPr>
        <sz val="11"/>
        <color theme="1"/>
        <rFont val="Calibri"/>
        <family val="2"/>
        <scheme val="minor"/>
      </rPr>
      <t xml:space="preserve"> =</t>
    </r>
  </si>
  <si>
    <r>
      <t>Rn</t>
    </r>
    <r>
      <rPr>
        <vertAlign val="subscript"/>
        <sz val="11"/>
        <color theme="1"/>
        <rFont val="Calibri"/>
        <family val="2"/>
        <scheme val="minor"/>
      </rPr>
      <t xml:space="preserve">weld_top </t>
    </r>
    <r>
      <rPr>
        <sz val="11"/>
        <color theme="1"/>
        <rFont val="Calibri"/>
        <family val="2"/>
        <scheme val="minor"/>
      </rPr>
      <t>=</t>
    </r>
  </si>
  <si>
    <r>
      <t>ΦRn</t>
    </r>
    <r>
      <rPr>
        <vertAlign val="subscript"/>
        <sz val="11"/>
        <color theme="1"/>
        <rFont val="Calibri"/>
        <family val="2"/>
      </rPr>
      <t>weld_top</t>
    </r>
    <r>
      <rPr>
        <sz val="11"/>
        <color theme="1"/>
        <rFont val="Calibri"/>
        <family val="2"/>
      </rPr>
      <t xml:space="preserve"> =</t>
    </r>
  </si>
  <si>
    <r>
      <t>Φ</t>
    </r>
    <r>
      <rPr>
        <vertAlign val="subscript"/>
        <sz val="11"/>
        <color theme="1"/>
        <rFont val="Calibri"/>
        <family val="2"/>
        <scheme val="minor"/>
      </rPr>
      <t>w</t>
    </r>
    <r>
      <rPr>
        <sz val="11"/>
        <color theme="1"/>
        <rFont val="Calibri"/>
        <family val="2"/>
        <scheme val="minor"/>
      </rPr>
      <t xml:space="preserve"> * Rn</t>
    </r>
    <r>
      <rPr>
        <vertAlign val="subscript"/>
        <sz val="11"/>
        <color theme="1"/>
        <rFont val="Calibri"/>
        <family val="2"/>
        <scheme val="minor"/>
      </rPr>
      <t>weld_bot</t>
    </r>
  </si>
  <si>
    <r>
      <t>BC</t>
    </r>
    <r>
      <rPr>
        <vertAlign val="subscript"/>
        <sz val="11"/>
        <color theme="1"/>
        <rFont val="Calibri"/>
        <family val="2"/>
        <scheme val="minor"/>
      </rPr>
      <t xml:space="preserve">threadedrod_top </t>
    </r>
    <r>
      <rPr>
        <sz val="11"/>
        <color theme="1"/>
        <rFont val="Calibri"/>
        <family val="2"/>
        <scheme val="minor"/>
      </rPr>
      <t>/ 2 - D</t>
    </r>
    <r>
      <rPr>
        <vertAlign val="subscript"/>
        <sz val="11"/>
        <color theme="1"/>
        <rFont val="Calibri"/>
        <family val="2"/>
        <scheme val="minor"/>
      </rPr>
      <t>leg</t>
    </r>
    <r>
      <rPr>
        <sz val="11"/>
        <color theme="1"/>
        <rFont val="Calibri"/>
        <family val="2"/>
        <scheme val="minor"/>
      </rPr>
      <t xml:space="preserve"> / 2 - T</t>
    </r>
    <r>
      <rPr>
        <vertAlign val="subscript"/>
        <sz val="11"/>
        <color theme="1"/>
        <rFont val="Calibri"/>
        <family val="2"/>
        <scheme val="minor"/>
      </rPr>
      <t>rein</t>
    </r>
  </si>
  <si>
    <r>
      <t>n</t>
    </r>
    <r>
      <rPr>
        <vertAlign val="subscript"/>
        <sz val="11"/>
        <color theme="1"/>
        <rFont val="Calibri"/>
        <family val="2"/>
        <scheme val="minor"/>
      </rPr>
      <t xml:space="preserve">_h1_top </t>
    </r>
    <r>
      <rPr>
        <sz val="11"/>
        <color theme="1"/>
        <rFont val="Calibri"/>
        <family val="2"/>
        <scheme val="minor"/>
      </rPr>
      <t>* L</t>
    </r>
    <r>
      <rPr>
        <vertAlign val="subscript"/>
        <sz val="11"/>
        <color theme="1"/>
        <rFont val="Calibri"/>
        <family val="2"/>
        <scheme val="minor"/>
      </rPr>
      <t>weld_h1_top</t>
    </r>
  </si>
  <si>
    <r>
      <t>ΣL</t>
    </r>
    <r>
      <rPr>
        <vertAlign val="subscript"/>
        <sz val="11"/>
        <color theme="1"/>
        <rFont val="Calibri"/>
        <family val="2"/>
        <scheme val="minor"/>
      </rPr>
      <t>weld_h1_top</t>
    </r>
    <r>
      <rPr>
        <sz val="11"/>
        <color theme="1"/>
        <rFont val="Calibri"/>
        <family val="2"/>
        <scheme val="minor"/>
      </rPr>
      <t xml:space="preserve"> * y</t>
    </r>
    <r>
      <rPr>
        <vertAlign val="subscript"/>
        <sz val="11"/>
        <color theme="1"/>
        <rFont val="Calibri"/>
        <family val="2"/>
        <scheme val="minor"/>
      </rPr>
      <t>bar_h1_top</t>
    </r>
  </si>
  <si>
    <r>
      <t>t</t>
    </r>
    <r>
      <rPr>
        <vertAlign val="subscript"/>
        <sz val="11"/>
        <color theme="1"/>
        <rFont val="Calibri"/>
        <family val="2"/>
        <scheme val="minor"/>
      </rPr>
      <t>flange_top</t>
    </r>
  </si>
  <si>
    <r>
      <t>n</t>
    </r>
    <r>
      <rPr>
        <vertAlign val="subscript"/>
        <sz val="11"/>
        <color theme="1"/>
        <rFont val="Calibri"/>
        <family val="2"/>
        <scheme val="minor"/>
      </rPr>
      <t xml:space="preserve">_h2_top </t>
    </r>
    <r>
      <rPr>
        <sz val="11"/>
        <color theme="1"/>
        <rFont val="Calibri"/>
        <family val="2"/>
        <scheme val="minor"/>
      </rPr>
      <t>* L</t>
    </r>
    <r>
      <rPr>
        <vertAlign val="subscript"/>
        <sz val="11"/>
        <color theme="1"/>
        <rFont val="Calibri"/>
        <family val="2"/>
        <scheme val="minor"/>
      </rPr>
      <t>weld_h2</t>
    </r>
    <r>
      <rPr>
        <sz val="11"/>
        <color theme="1"/>
        <rFont val="Calibri"/>
        <family val="2"/>
        <scheme val="minor"/>
      </rPr>
      <t>_top</t>
    </r>
  </si>
  <si>
    <r>
      <t>ΣL</t>
    </r>
    <r>
      <rPr>
        <vertAlign val="subscript"/>
        <sz val="11"/>
        <color theme="1"/>
        <rFont val="Calibri"/>
        <family val="2"/>
      </rPr>
      <t xml:space="preserve">weld_h2_top </t>
    </r>
    <r>
      <rPr>
        <sz val="11"/>
        <color theme="1"/>
        <rFont val="Calibri"/>
        <family val="2"/>
      </rPr>
      <t>* y</t>
    </r>
    <r>
      <rPr>
        <vertAlign val="subscript"/>
        <sz val="11"/>
        <color theme="1"/>
        <rFont val="Calibri"/>
        <family val="2"/>
      </rPr>
      <t>bar_h2_top</t>
    </r>
  </si>
  <si>
    <r>
      <t>h</t>
    </r>
    <r>
      <rPr>
        <vertAlign val="subscript"/>
        <sz val="11"/>
        <color theme="1"/>
        <rFont val="Calibri"/>
        <family val="2"/>
        <scheme val="minor"/>
      </rPr>
      <t>stiffener_top</t>
    </r>
    <r>
      <rPr>
        <sz val="11"/>
        <color theme="1"/>
        <rFont val="Calibri"/>
        <family val="2"/>
        <scheme val="minor"/>
      </rPr>
      <t xml:space="preserve"> - notch</t>
    </r>
    <r>
      <rPr>
        <vertAlign val="subscript"/>
        <sz val="11"/>
        <color theme="1"/>
        <rFont val="Calibri"/>
        <family val="2"/>
        <scheme val="minor"/>
      </rPr>
      <t>stiffener_top</t>
    </r>
  </si>
  <si>
    <r>
      <t>t</t>
    </r>
    <r>
      <rPr>
        <vertAlign val="subscript"/>
        <sz val="11"/>
        <color theme="1"/>
        <rFont val="Calibri"/>
        <family val="2"/>
        <scheme val="minor"/>
      </rPr>
      <t>flange_top</t>
    </r>
    <r>
      <rPr>
        <sz val="11"/>
        <color theme="1"/>
        <rFont val="Calibri"/>
        <family val="2"/>
        <scheme val="minor"/>
      </rPr>
      <t xml:space="preserve"> + notch</t>
    </r>
    <r>
      <rPr>
        <vertAlign val="subscript"/>
        <sz val="11"/>
        <color theme="1"/>
        <rFont val="Calibri"/>
        <family val="2"/>
        <scheme val="minor"/>
      </rPr>
      <t>stiffener_top</t>
    </r>
    <r>
      <rPr>
        <sz val="11"/>
        <color theme="1"/>
        <rFont val="Calibri"/>
        <family val="2"/>
        <scheme val="minor"/>
      </rPr>
      <t xml:space="preserve"> + L</t>
    </r>
    <r>
      <rPr>
        <vertAlign val="subscript"/>
        <sz val="11"/>
        <color theme="1"/>
        <rFont val="Calibri"/>
        <family val="2"/>
        <scheme val="minor"/>
      </rPr>
      <t xml:space="preserve">weld_v_top </t>
    </r>
    <r>
      <rPr>
        <sz val="11"/>
        <color theme="1"/>
        <rFont val="Calibri"/>
        <family val="2"/>
        <scheme val="minor"/>
      </rPr>
      <t>/ 2</t>
    </r>
  </si>
  <si>
    <r>
      <t>n</t>
    </r>
    <r>
      <rPr>
        <vertAlign val="subscript"/>
        <sz val="11"/>
        <color theme="1"/>
        <rFont val="Calibri"/>
        <family val="2"/>
        <scheme val="minor"/>
      </rPr>
      <t>_v_top</t>
    </r>
    <r>
      <rPr>
        <sz val="11"/>
        <color theme="1"/>
        <rFont val="Calibri"/>
        <family val="2"/>
        <scheme val="minor"/>
      </rPr>
      <t xml:space="preserve"> * L</t>
    </r>
    <r>
      <rPr>
        <vertAlign val="subscript"/>
        <sz val="11"/>
        <color theme="1"/>
        <rFont val="Calibri"/>
        <family val="2"/>
        <scheme val="minor"/>
      </rPr>
      <t>weld_v_top</t>
    </r>
  </si>
  <si>
    <r>
      <t>ΣL</t>
    </r>
    <r>
      <rPr>
        <vertAlign val="subscript"/>
        <sz val="11"/>
        <color theme="1"/>
        <rFont val="Calibri"/>
        <family val="2"/>
        <scheme val="minor"/>
      </rPr>
      <t>weld_v_top</t>
    </r>
    <r>
      <rPr>
        <sz val="11"/>
        <color theme="1"/>
        <rFont val="Calibri"/>
        <family val="2"/>
        <scheme val="minor"/>
      </rPr>
      <t xml:space="preserve"> * L</t>
    </r>
    <r>
      <rPr>
        <vertAlign val="subscript"/>
        <sz val="11"/>
        <color theme="1"/>
        <rFont val="Calibri"/>
        <family val="2"/>
        <scheme val="minor"/>
      </rPr>
      <t>weld_v_top</t>
    </r>
  </si>
  <si>
    <r>
      <t>ΣL</t>
    </r>
    <r>
      <rPr>
        <vertAlign val="subscript"/>
        <sz val="11"/>
        <color theme="1"/>
        <rFont val="Calibri"/>
        <family val="2"/>
        <scheme val="minor"/>
      </rPr>
      <t>weld_h1_top</t>
    </r>
    <r>
      <rPr>
        <sz val="11"/>
        <color theme="1"/>
        <rFont val="Calibri"/>
        <family val="2"/>
        <scheme val="minor"/>
      </rPr>
      <t xml:space="preserve"> + ΣL</t>
    </r>
    <r>
      <rPr>
        <vertAlign val="subscript"/>
        <sz val="11"/>
        <color theme="1"/>
        <rFont val="Calibri"/>
        <family val="2"/>
        <scheme val="minor"/>
      </rPr>
      <t>weld_h2_top</t>
    </r>
    <r>
      <rPr>
        <sz val="11"/>
        <color theme="1"/>
        <rFont val="Calibri"/>
        <family val="2"/>
        <scheme val="minor"/>
      </rPr>
      <t xml:space="preserve"> + ΣL</t>
    </r>
    <r>
      <rPr>
        <vertAlign val="subscript"/>
        <sz val="11"/>
        <color theme="1"/>
        <rFont val="Calibri"/>
        <family val="2"/>
        <scheme val="minor"/>
      </rPr>
      <t>weld_v_top</t>
    </r>
  </si>
  <si>
    <r>
      <t>(ΣL</t>
    </r>
    <r>
      <rPr>
        <vertAlign val="subscript"/>
        <sz val="11"/>
        <color theme="1"/>
        <rFont val="Calibri"/>
        <family val="2"/>
        <scheme val="minor"/>
      </rPr>
      <t>weld_h1_top</t>
    </r>
    <r>
      <rPr>
        <sz val="11"/>
        <color theme="1"/>
        <rFont val="Calibri"/>
        <family val="2"/>
        <scheme val="minor"/>
      </rPr>
      <t>*y</t>
    </r>
    <r>
      <rPr>
        <vertAlign val="subscript"/>
        <sz val="11"/>
        <color theme="1"/>
        <rFont val="Calibri"/>
        <family val="2"/>
        <scheme val="minor"/>
      </rPr>
      <t xml:space="preserve">bar_h1_top </t>
    </r>
    <r>
      <rPr>
        <sz val="11"/>
        <color theme="1"/>
        <rFont val="Calibri"/>
        <family val="2"/>
        <scheme val="minor"/>
      </rPr>
      <t>+ ΣL</t>
    </r>
    <r>
      <rPr>
        <vertAlign val="subscript"/>
        <sz val="11"/>
        <color theme="1"/>
        <rFont val="Calibri"/>
        <family val="2"/>
        <scheme val="minor"/>
      </rPr>
      <t>weld_h2_top</t>
    </r>
    <r>
      <rPr>
        <sz val="11"/>
        <color theme="1"/>
        <rFont val="Calibri"/>
        <family val="2"/>
        <scheme val="minor"/>
      </rPr>
      <t>*y</t>
    </r>
    <r>
      <rPr>
        <vertAlign val="subscript"/>
        <sz val="11"/>
        <color theme="1"/>
        <rFont val="Calibri"/>
        <family val="2"/>
        <scheme val="minor"/>
      </rPr>
      <t xml:space="preserve">bar_h2_top </t>
    </r>
    <r>
      <rPr>
        <sz val="11"/>
        <color theme="1"/>
        <rFont val="Calibri"/>
        <family val="2"/>
        <scheme val="minor"/>
      </rPr>
      <t>+ ΣL</t>
    </r>
    <r>
      <rPr>
        <vertAlign val="subscript"/>
        <sz val="11"/>
        <color theme="1"/>
        <rFont val="Calibri"/>
        <family val="2"/>
        <scheme val="minor"/>
      </rPr>
      <t>weld_v_top</t>
    </r>
    <r>
      <rPr>
        <sz val="11"/>
        <color theme="1"/>
        <rFont val="Calibri"/>
        <family val="2"/>
        <scheme val="minor"/>
      </rPr>
      <t>*y</t>
    </r>
    <r>
      <rPr>
        <vertAlign val="subscript"/>
        <sz val="11"/>
        <color theme="1"/>
        <rFont val="Calibri"/>
        <family val="2"/>
        <scheme val="minor"/>
      </rPr>
      <t>bar_v_top</t>
    </r>
    <r>
      <rPr>
        <sz val="11"/>
        <color theme="1"/>
        <rFont val="Calibri"/>
        <family val="2"/>
        <scheme val="minor"/>
      </rPr>
      <t>) / ΣL</t>
    </r>
    <r>
      <rPr>
        <vertAlign val="subscript"/>
        <sz val="11"/>
        <color theme="1"/>
        <rFont val="Calibri"/>
        <family val="2"/>
        <scheme val="minor"/>
      </rPr>
      <t>weld_group_top</t>
    </r>
  </si>
  <si>
    <r>
      <t>L</t>
    </r>
    <r>
      <rPr>
        <vertAlign val="subscript"/>
        <sz val="11"/>
        <color theme="1"/>
        <rFont val="Calibri"/>
        <family val="2"/>
        <scheme val="minor"/>
      </rPr>
      <t>weld_h1_top</t>
    </r>
    <r>
      <rPr>
        <sz val="11"/>
        <color theme="1"/>
        <rFont val="Calibri"/>
        <family val="2"/>
        <scheme val="minor"/>
      </rPr>
      <t xml:space="preserve"> * (y</t>
    </r>
    <r>
      <rPr>
        <vertAlign val="subscript"/>
        <sz val="11"/>
        <color theme="1"/>
        <rFont val="Calibri"/>
        <family val="2"/>
        <scheme val="minor"/>
      </rPr>
      <t>bar_weld_group_top</t>
    </r>
    <r>
      <rPr>
        <sz val="11"/>
        <color theme="1"/>
        <rFont val="Calibri"/>
        <family val="2"/>
        <scheme val="minor"/>
      </rPr>
      <t>)</t>
    </r>
    <r>
      <rPr>
        <vertAlign val="superscript"/>
        <sz val="11"/>
        <color theme="1"/>
        <rFont val="Calibri"/>
        <family val="2"/>
        <scheme val="minor"/>
      </rPr>
      <t>2</t>
    </r>
  </si>
  <si>
    <r>
      <t>L</t>
    </r>
    <r>
      <rPr>
        <vertAlign val="subscript"/>
        <sz val="11"/>
        <color theme="1"/>
        <rFont val="Calibri"/>
        <family val="2"/>
        <scheme val="minor"/>
      </rPr>
      <t xml:space="preserve">weld_h2_top </t>
    </r>
    <r>
      <rPr>
        <sz val="11"/>
        <color theme="1"/>
        <rFont val="Calibri"/>
        <family val="2"/>
        <scheme val="minor"/>
      </rPr>
      <t>* (y</t>
    </r>
    <r>
      <rPr>
        <vertAlign val="subscript"/>
        <sz val="11"/>
        <color theme="1"/>
        <rFont val="Calibri"/>
        <family val="2"/>
        <scheme val="minor"/>
      </rPr>
      <t>bar_weld_group_top</t>
    </r>
    <r>
      <rPr>
        <sz val="11"/>
        <color theme="1"/>
        <rFont val="Calibri"/>
        <family val="2"/>
        <scheme val="minor"/>
      </rPr>
      <t xml:space="preserve"> - t</t>
    </r>
    <r>
      <rPr>
        <vertAlign val="subscript"/>
        <sz val="11"/>
        <color theme="1"/>
        <rFont val="Calibri"/>
        <family val="2"/>
        <scheme val="minor"/>
      </rPr>
      <t>flange_top</t>
    </r>
    <r>
      <rPr>
        <sz val="11"/>
        <color theme="1"/>
        <rFont val="Calibri"/>
        <family val="2"/>
        <scheme val="minor"/>
      </rPr>
      <t>)</t>
    </r>
    <r>
      <rPr>
        <vertAlign val="superscript"/>
        <sz val="11"/>
        <color theme="1"/>
        <rFont val="Calibri"/>
        <family val="2"/>
        <scheme val="minor"/>
      </rPr>
      <t>2</t>
    </r>
  </si>
  <si>
    <r>
      <t>|y</t>
    </r>
    <r>
      <rPr>
        <vertAlign val="subscript"/>
        <sz val="11"/>
        <color theme="1"/>
        <rFont val="Calibri"/>
        <family val="2"/>
        <scheme val="minor"/>
      </rPr>
      <t>bar_v_top</t>
    </r>
    <r>
      <rPr>
        <sz val="11"/>
        <color theme="1"/>
        <rFont val="Calibri"/>
        <family val="2"/>
        <scheme val="minor"/>
      </rPr>
      <t xml:space="preserve"> - y</t>
    </r>
    <r>
      <rPr>
        <vertAlign val="subscript"/>
        <sz val="11"/>
        <color theme="1"/>
        <rFont val="Calibri"/>
        <family val="2"/>
        <scheme val="minor"/>
      </rPr>
      <t>bar_weld_group_top</t>
    </r>
    <r>
      <rPr>
        <sz val="11"/>
        <color theme="1"/>
        <rFont val="Calibri"/>
        <family val="2"/>
        <scheme val="minor"/>
      </rPr>
      <t>|</t>
    </r>
  </si>
  <si>
    <r>
      <t>4 * (L</t>
    </r>
    <r>
      <rPr>
        <vertAlign val="subscript"/>
        <sz val="11"/>
        <color theme="1"/>
        <rFont val="Calibri"/>
        <family val="2"/>
        <scheme val="minor"/>
      </rPr>
      <t>weld_v</t>
    </r>
    <r>
      <rPr>
        <vertAlign val="superscript"/>
        <sz val="11"/>
        <color theme="1"/>
        <rFont val="Calibri"/>
        <family val="2"/>
        <scheme val="minor"/>
      </rPr>
      <t xml:space="preserve">3_top </t>
    </r>
    <r>
      <rPr>
        <sz val="11"/>
        <color theme="1"/>
        <rFont val="Calibri"/>
        <family val="2"/>
        <scheme val="minor"/>
      </rPr>
      <t>/ 12 + L</t>
    </r>
    <r>
      <rPr>
        <vertAlign val="subscript"/>
        <sz val="11"/>
        <color theme="1"/>
        <rFont val="Calibri"/>
        <family val="2"/>
        <scheme val="minor"/>
      </rPr>
      <t xml:space="preserve">weld_v_bot </t>
    </r>
    <r>
      <rPr>
        <sz val="11"/>
        <color theme="1"/>
        <rFont val="Calibri"/>
        <family val="2"/>
        <scheme val="minor"/>
      </rPr>
      <t>* d</t>
    </r>
    <r>
      <rPr>
        <vertAlign val="subscript"/>
        <sz val="11"/>
        <color theme="1"/>
        <rFont val="Calibri"/>
        <family val="2"/>
        <scheme val="minor"/>
      </rPr>
      <t>v</t>
    </r>
    <r>
      <rPr>
        <vertAlign val="superscript"/>
        <sz val="11"/>
        <color theme="1"/>
        <rFont val="Calibri"/>
        <family val="2"/>
        <scheme val="minor"/>
      </rPr>
      <t>2_top</t>
    </r>
    <r>
      <rPr>
        <sz val="11"/>
        <color theme="1"/>
        <rFont val="Calibri"/>
        <family val="2"/>
        <scheme val="minor"/>
      </rPr>
      <t>)</t>
    </r>
  </si>
  <si>
    <r>
      <t>I</t>
    </r>
    <r>
      <rPr>
        <vertAlign val="subscript"/>
        <sz val="11"/>
        <color theme="1"/>
        <rFont val="Calibri"/>
        <family val="2"/>
        <scheme val="minor"/>
      </rPr>
      <t>_h1_top</t>
    </r>
    <r>
      <rPr>
        <sz val="11"/>
        <color theme="1"/>
        <rFont val="Calibri"/>
        <family val="2"/>
        <scheme val="minor"/>
      </rPr>
      <t xml:space="preserve"> + I</t>
    </r>
    <r>
      <rPr>
        <vertAlign val="subscript"/>
        <sz val="11"/>
        <color theme="1"/>
        <rFont val="Calibri"/>
        <family val="2"/>
        <scheme val="minor"/>
      </rPr>
      <t>_h2_top</t>
    </r>
    <r>
      <rPr>
        <sz val="11"/>
        <color theme="1"/>
        <rFont val="Calibri"/>
        <family val="2"/>
        <scheme val="minor"/>
      </rPr>
      <t xml:space="preserve"> + I</t>
    </r>
    <r>
      <rPr>
        <vertAlign val="subscript"/>
        <sz val="11"/>
        <color theme="1"/>
        <rFont val="Calibri"/>
        <family val="2"/>
        <scheme val="minor"/>
      </rPr>
      <t>v_top</t>
    </r>
  </si>
  <si>
    <r>
      <t>P</t>
    </r>
    <r>
      <rPr>
        <vertAlign val="subscript"/>
        <sz val="11"/>
        <color theme="1"/>
        <rFont val="Calibri"/>
        <family val="2"/>
        <scheme val="minor"/>
      </rPr>
      <t>mod_sp</t>
    </r>
    <r>
      <rPr>
        <sz val="11"/>
        <color theme="1"/>
        <rFont val="Calibri"/>
        <family val="2"/>
        <scheme val="minor"/>
      </rPr>
      <t xml:space="preserve"> / ΣL</t>
    </r>
    <r>
      <rPr>
        <vertAlign val="subscript"/>
        <sz val="11"/>
        <color theme="1"/>
        <rFont val="Calibri"/>
        <family val="2"/>
        <scheme val="minor"/>
      </rPr>
      <t>weld_group</t>
    </r>
    <r>
      <rPr>
        <sz val="11"/>
        <color theme="1"/>
        <rFont val="Calibri"/>
        <family val="2"/>
        <scheme val="minor"/>
      </rPr>
      <t>_top</t>
    </r>
  </si>
  <si>
    <r>
      <t>MAX(y</t>
    </r>
    <r>
      <rPr>
        <vertAlign val="subscript"/>
        <sz val="11"/>
        <color theme="1"/>
        <rFont val="Calibri"/>
        <family val="2"/>
        <scheme val="minor"/>
      </rPr>
      <t>bar_weld_group_top</t>
    </r>
    <r>
      <rPr>
        <sz val="11"/>
        <color theme="1"/>
        <rFont val="Calibri"/>
        <family val="2"/>
        <scheme val="minor"/>
      </rPr>
      <t xml:space="preserve"> , t</t>
    </r>
    <r>
      <rPr>
        <vertAlign val="subscript"/>
        <sz val="11"/>
        <color theme="1"/>
        <rFont val="Calibri"/>
        <family val="2"/>
        <scheme val="minor"/>
      </rPr>
      <t xml:space="preserve">flange_top </t>
    </r>
    <r>
      <rPr>
        <sz val="11"/>
        <color theme="1"/>
        <rFont val="Calibri"/>
        <family val="2"/>
        <scheme val="minor"/>
      </rPr>
      <t>+ notch</t>
    </r>
    <r>
      <rPr>
        <vertAlign val="subscript"/>
        <sz val="11"/>
        <color theme="1"/>
        <rFont val="Calibri"/>
        <family val="2"/>
        <scheme val="minor"/>
      </rPr>
      <t xml:space="preserve">stiffener_top </t>
    </r>
    <r>
      <rPr>
        <sz val="11"/>
        <color theme="1"/>
        <rFont val="Calibri"/>
        <family val="2"/>
        <scheme val="minor"/>
      </rPr>
      <t>+ L</t>
    </r>
    <r>
      <rPr>
        <vertAlign val="subscript"/>
        <sz val="11"/>
        <color theme="1"/>
        <rFont val="Calibri"/>
        <family val="2"/>
        <scheme val="minor"/>
      </rPr>
      <t xml:space="preserve">weld_v_top </t>
    </r>
    <r>
      <rPr>
        <sz val="11"/>
        <color theme="1"/>
        <rFont val="Calibri"/>
        <family val="2"/>
        <scheme val="minor"/>
      </rPr>
      <t>- y</t>
    </r>
    <r>
      <rPr>
        <vertAlign val="subscript"/>
        <sz val="11"/>
        <color theme="1"/>
        <rFont val="Calibri"/>
        <family val="2"/>
        <scheme val="minor"/>
      </rPr>
      <t>bar_weld_group_top</t>
    </r>
    <r>
      <rPr>
        <sz val="11"/>
        <color theme="1"/>
        <rFont val="Calibri"/>
        <family val="2"/>
        <scheme val="minor"/>
      </rPr>
      <t>)</t>
    </r>
  </si>
  <si>
    <r>
      <t>(P</t>
    </r>
    <r>
      <rPr>
        <vertAlign val="subscript"/>
        <sz val="11"/>
        <color theme="1"/>
        <rFont val="Calibri"/>
        <family val="2"/>
        <scheme val="minor"/>
      </rPr>
      <t>mod_sp</t>
    </r>
    <r>
      <rPr>
        <sz val="11"/>
        <color theme="1"/>
        <rFont val="Calibri"/>
        <family val="2"/>
        <scheme val="minor"/>
      </rPr>
      <t xml:space="preserve"> * arm</t>
    </r>
    <r>
      <rPr>
        <vertAlign val="subscript"/>
        <sz val="11"/>
        <color theme="1"/>
        <rFont val="Calibri"/>
        <family val="2"/>
        <scheme val="minor"/>
      </rPr>
      <t>sp_top</t>
    </r>
    <r>
      <rPr>
        <sz val="11"/>
        <color theme="1"/>
        <rFont val="Calibri"/>
        <family val="2"/>
        <scheme val="minor"/>
      </rPr>
      <t xml:space="preserve"> * c</t>
    </r>
    <r>
      <rPr>
        <vertAlign val="subscript"/>
        <sz val="11"/>
        <color theme="1"/>
        <rFont val="Calibri"/>
        <family val="2"/>
        <scheme val="minor"/>
      </rPr>
      <t>max_top</t>
    </r>
    <r>
      <rPr>
        <sz val="11"/>
        <color theme="1"/>
        <rFont val="Calibri"/>
        <family val="2"/>
        <scheme val="minor"/>
      </rPr>
      <t>) / I</t>
    </r>
    <r>
      <rPr>
        <vertAlign val="subscript"/>
        <sz val="11"/>
        <color theme="1"/>
        <rFont val="Calibri"/>
        <family val="2"/>
        <scheme val="minor"/>
      </rPr>
      <t>weld_group_top</t>
    </r>
  </si>
  <si>
    <r>
      <rPr>
        <sz val="11"/>
        <color theme="1"/>
        <rFont val="Calibri"/>
        <family val="2"/>
      </rPr>
      <t>√</t>
    </r>
    <r>
      <rPr>
        <sz val="11"/>
        <color theme="1"/>
        <rFont val="Calibri"/>
        <family val="2"/>
        <scheme val="minor"/>
      </rPr>
      <t>(r</t>
    </r>
    <r>
      <rPr>
        <vertAlign val="subscript"/>
        <sz val="11"/>
        <color theme="1"/>
        <rFont val="Calibri"/>
        <family val="2"/>
        <scheme val="minor"/>
      </rPr>
      <t>p</t>
    </r>
    <r>
      <rPr>
        <vertAlign val="superscript"/>
        <sz val="11"/>
        <color theme="1"/>
        <rFont val="Calibri"/>
        <family val="2"/>
        <scheme val="minor"/>
      </rPr>
      <t>2</t>
    </r>
    <r>
      <rPr>
        <vertAlign val="subscript"/>
        <sz val="11"/>
        <color theme="1"/>
        <rFont val="Calibri"/>
        <family val="2"/>
        <scheme val="minor"/>
      </rPr>
      <t xml:space="preserve">_top </t>
    </r>
    <r>
      <rPr>
        <sz val="11"/>
        <color theme="1"/>
        <rFont val="Calibri"/>
        <family val="2"/>
        <scheme val="minor"/>
      </rPr>
      <t>+ r</t>
    </r>
    <r>
      <rPr>
        <vertAlign val="subscript"/>
        <sz val="11"/>
        <color theme="1"/>
        <rFont val="Calibri"/>
        <family val="2"/>
        <scheme val="minor"/>
      </rPr>
      <t>m</t>
    </r>
    <r>
      <rPr>
        <vertAlign val="superscript"/>
        <sz val="11"/>
        <color theme="1"/>
        <rFont val="Calibri"/>
        <family val="2"/>
        <scheme val="minor"/>
      </rPr>
      <t>2</t>
    </r>
    <r>
      <rPr>
        <vertAlign val="subscript"/>
        <sz val="11"/>
        <color theme="1"/>
        <rFont val="Calibri"/>
        <family val="2"/>
        <scheme val="minor"/>
      </rPr>
      <t>_top</t>
    </r>
    <r>
      <rPr>
        <sz val="11"/>
        <color theme="1"/>
        <rFont val="Calibri"/>
        <family val="2"/>
        <scheme val="minor"/>
      </rPr>
      <t>)</t>
    </r>
  </si>
  <si>
    <r>
      <rPr>
        <sz val="11"/>
        <color theme="1"/>
        <rFont val="Calibri"/>
        <family val="2"/>
      </rPr>
      <t>√</t>
    </r>
    <r>
      <rPr>
        <sz val="11"/>
        <color theme="1"/>
        <rFont val="Calibri"/>
        <family val="2"/>
        <scheme val="minor"/>
      </rPr>
      <t>(r</t>
    </r>
    <r>
      <rPr>
        <vertAlign val="subscript"/>
        <sz val="11"/>
        <color theme="1"/>
        <rFont val="Calibri"/>
        <family val="2"/>
        <scheme val="minor"/>
      </rPr>
      <t>p</t>
    </r>
    <r>
      <rPr>
        <vertAlign val="superscript"/>
        <sz val="11"/>
        <color theme="1"/>
        <rFont val="Calibri"/>
        <family val="2"/>
        <scheme val="minor"/>
      </rPr>
      <t>2</t>
    </r>
    <r>
      <rPr>
        <vertAlign val="subscript"/>
        <sz val="11"/>
        <color theme="1"/>
        <rFont val="Calibri"/>
        <family val="2"/>
        <scheme val="minor"/>
      </rPr>
      <t>_bot</t>
    </r>
    <r>
      <rPr>
        <vertAlign val="superscript"/>
        <sz val="11"/>
        <color theme="1"/>
        <rFont val="Calibri"/>
        <family val="2"/>
        <scheme val="minor"/>
      </rPr>
      <t xml:space="preserve"> </t>
    </r>
    <r>
      <rPr>
        <sz val="11"/>
        <color theme="1"/>
        <rFont val="Calibri"/>
        <family val="2"/>
        <scheme val="minor"/>
      </rPr>
      <t>+ r</t>
    </r>
    <r>
      <rPr>
        <vertAlign val="subscript"/>
        <sz val="11"/>
        <color theme="1"/>
        <rFont val="Calibri"/>
        <family val="2"/>
        <scheme val="minor"/>
      </rPr>
      <t>m</t>
    </r>
    <r>
      <rPr>
        <vertAlign val="superscript"/>
        <sz val="11"/>
        <color theme="1"/>
        <rFont val="Calibri"/>
        <family val="2"/>
        <scheme val="minor"/>
      </rPr>
      <t>2</t>
    </r>
    <r>
      <rPr>
        <vertAlign val="subscript"/>
        <sz val="11"/>
        <color theme="1"/>
        <rFont val="Calibri"/>
        <family val="2"/>
        <scheme val="minor"/>
      </rPr>
      <t>_bot</t>
    </r>
    <r>
      <rPr>
        <sz val="11"/>
        <color theme="1"/>
        <rFont val="Calibri"/>
        <family val="2"/>
        <scheme val="minor"/>
      </rPr>
      <t>)</t>
    </r>
  </si>
  <si>
    <r>
      <t>0.6 * F</t>
    </r>
    <r>
      <rPr>
        <vertAlign val="subscript"/>
        <sz val="11"/>
        <color theme="1"/>
        <rFont val="Calibri"/>
        <family val="2"/>
        <scheme val="minor"/>
      </rPr>
      <t xml:space="preserve">EXX_top </t>
    </r>
    <r>
      <rPr>
        <sz val="11"/>
        <color theme="1"/>
        <rFont val="Calibri"/>
        <family val="2"/>
        <scheme val="minor"/>
      </rPr>
      <t xml:space="preserve">* </t>
    </r>
    <r>
      <rPr>
        <sz val="11"/>
        <color theme="1"/>
        <rFont val="Calibri"/>
        <family val="2"/>
      </rPr>
      <t>√</t>
    </r>
    <r>
      <rPr>
        <sz val="11"/>
        <color theme="1"/>
        <rFont val="Calibri"/>
        <family val="2"/>
        <scheme val="minor"/>
      </rPr>
      <t>(2)/2 * (D</t>
    </r>
    <r>
      <rPr>
        <vertAlign val="subscript"/>
        <sz val="11"/>
        <color theme="1"/>
        <rFont val="Calibri"/>
        <family val="2"/>
        <scheme val="minor"/>
      </rPr>
      <t xml:space="preserve">fillet_top </t>
    </r>
    <r>
      <rPr>
        <sz val="11"/>
        <color theme="1"/>
        <rFont val="Calibri"/>
        <family val="2"/>
        <scheme val="minor"/>
      </rPr>
      <t>/ 16)</t>
    </r>
  </si>
  <si>
    <r>
      <t>Φ</t>
    </r>
    <r>
      <rPr>
        <vertAlign val="subscript"/>
        <sz val="11"/>
        <color theme="1"/>
        <rFont val="Calibri"/>
        <family val="2"/>
        <scheme val="minor"/>
      </rPr>
      <t>w</t>
    </r>
    <r>
      <rPr>
        <sz val="11"/>
        <color theme="1"/>
        <rFont val="Calibri"/>
        <family val="2"/>
        <scheme val="minor"/>
      </rPr>
      <t xml:space="preserve"> * Rn</t>
    </r>
    <r>
      <rPr>
        <vertAlign val="subscript"/>
        <sz val="11"/>
        <color theme="1"/>
        <rFont val="Calibri"/>
        <family val="2"/>
        <scheme val="minor"/>
      </rPr>
      <t>weld_top</t>
    </r>
  </si>
  <si>
    <r>
      <t>r</t>
    </r>
    <r>
      <rPr>
        <b/>
        <vertAlign val="subscript"/>
        <sz val="11"/>
        <color theme="1"/>
        <rFont val="Calibri"/>
        <family val="2"/>
        <scheme val="minor"/>
      </rPr>
      <t>u_top</t>
    </r>
    <r>
      <rPr>
        <b/>
        <sz val="11"/>
        <color theme="1"/>
        <rFont val="Calibri"/>
        <family val="2"/>
        <scheme val="minor"/>
      </rPr>
      <t xml:space="preserve"> =</t>
    </r>
  </si>
  <si>
    <r>
      <t>ΦRn</t>
    </r>
    <r>
      <rPr>
        <b/>
        <vertAlign val="subscript"/>
        <sz val="11"/>
        <color theme="1"/>
        <rFont val="Calibri"/>
        <family val="2"/>
      </rPr>
      <t>weld_top</t>
    </r>
    <r>
      <rPr>
        <b/>
        <sz val="11"/>
        <color theme="1"/>
        <rFont val="Calibri"/>
        <family val="2"/>
      </rPr>
      <t xml:space="preserve"> =</t>
    </r>
  </si>
  <si>
    <r>
      <t>L</t>
    </r>
    <r>
      <rPr>
        <vertAlign val="subscript"/>
        <sz val="11"/>
        <color theme="1"/>
        <rFont val="Calibri"/>
        <family val="2"/>
        <scheme val="minor"/>
      </rPr>
      <t>weld_hstiffener_top</t>
    </r>
    <r>
      <rPr>
        <sz val="11"/>
        <color theme="1"/>
        <rFont val="Calibri"/>
        <family val="2"/>
        <scheme val="minor"/>
      </rPr>
      <t xml:space="preserve"> =</t>
    </r>
  </si>
  <si>
    <r>
      <t>r</t>
    </r>
    <r>
      <rPr>
        <vertAlign val="subscript"/>
        <sz val="11"/>
        <color theme="1"/>
        <rFont val="Calibri"/>
        <family val="2"/>
        <scheme val="minor"/>
      </rPr>
      <t>h_top</t>
    </r>
    <r>
      <rPr>
        <sz val="11"/>
        <color theme="1"/>
        <rFont val="Calibri"/>
        <family val="2"/>
        <scheme val="minor"/>
      </rPr>
      <t xml:space="preserve"> =</t>
    </r>
  </si>
  <si>
    <r>
      <t>A</t>
    </r>
    <r>
      <rPr>
        <vertAlign val="subscript"/>
        <sz val="11"/>
        <color theme="1"/>
        <rFont val="Calibri"/>
        <family val="2"/>
        <scheme val="minor"/>
      </rPr>
      <t>weld_h_top</t>
    </r>
    <r>
      <rPr>
        <sz val="11"/>
        <color theme="1"/>
        <rFont val="Calibri"/>
        <family val="2"/>
        <scheme val="minor"/>
      </rPr>
      <t xml:space="preserve"> =</t>
    </r>
  </si>
  <si>
    <r>
      <t>Rn</t>
    </r>
    <r>
      <rPr>
        <vertAlign val="subscript"/>
        <sz val="11"/>
        <color theme="1"/>
        <rFont val="Calibri"/>
        <family val="2"/>
        <scheme val="minor"/>
      </rPr>
      <t xml:space="preserve">weld_h_top </t>
    </r>
    <r>
      <rPr>
        <sz val="11"/>
        <color theme="1"/>
        <rFont val="Calibri"/>
        <family val="2"/>
        <scheme val="minor"/>
      </rPr>
      <t>=</t>
    </r>
  </si>
  <si>
    <r>
      <t>n</t>
    </r>
    <r>
      <rPr>
        <vertAlign val="subscript"/>
        <sz val="11"/>
        <color theme="1"/>
        <rFont val="Calibri"/>
        <family val="2"/>
        <scheme val="minor"/>
      </rPr>
      <t>weld_h_top</t>
    </r>
    <r>
      <rPr>
        <sz val="11"/>
        <color theme="1"/>
        <rFont val="Calibri"/>
        <family val="2"/>
        <scheme val="minor"/>
      </rPr>
      <t xml:space="preserve"> =</t>
    </r>
  </si>
  <si>
    <r>
      <rPr>
        <sz val="11"/>
        <color theme="1"/>
        <rFont val="Calibri"/>
        <family val="2"/>
      </rPr>
      <t>Φ</t>
    </r>
    <r>
      <rPr>
        <sz val="11"/>
        <color theme="1"/>
        <rFont val="Calibri"/>
        <family val="2"/>
        <scheme val="minor"/>
      </rPr>
      <t>Rn</t>
    </r>
    <r>
      <rPr>
        <vertAlign val="subscript"/>
        <sz val="11"/>
        <color theme="1"/>
        <rFont val="Calibri"/>
        <family val="2"/>
        <scheme val="minor"/>
      </rPr>
      <t xml:space="preserve">weld_h_top </t>
    </r>
    <r>
      <rPr>
        <sz val="11"/>
        <color theme="1"/>
        <rFont val="Calibri"/>
        <family val="2"/>
        <scheme val="minor"/>
      </rPr>
      <t>=</t>
    </r>
  </si>
  <si>
    <r>
      <t>L</t>
    </r>
    <r>
      <rPr>
        <vertAlign val="subscript"/>
        <sz val="11"/>
        <color theme="1"/>
        <rFont val="Calibri"/>
        <family val="2"/>
        <scheme val="minor"/>
      </rPr>
      <t>stiffener_top</t>
    </r>
    <r>
      <rPr>
        <sz val="11"/>
        <color theme="1"/>
        <rFont val="Calibri"/>
        <family val="2"/>
        <scheme val="minor"/>
      </rPr>
      <t xml:space="preserve"> - notch</t>
    </r>
    <r>
      <rPr>
        <vertAlign val="subscript"/>
        <sz val="11"/>
        <color theme="1"/>
        <rFont val="Calibri"/>
        <family val="2"/>
        <scheme val="minor"/>
      </rPr>
      <t>stiffener_top</t>
    </r>
  </si>
  <si>
    <r>
      <t>r</t>
    </r>
    <r>
      <rPr>
        <vertAlign val="subscript"/>
        <sz val="11"/>
        <color theme="1"/>
        <rFont val="Calibri"/>
        <family val="2"/>
        <scheme val="minor"/>
      </rPr>
      <t>p_top</t>
    </r>
    <r>
      <rPr>
        <sz val="11"/>
        <color theme="1"/>
        <rFont val="Calibri"/>
        <family val="2"/>
        <scheme val="minor"/>
      </rPr>
      <t xml:space="preserve"> * 2 * L</t>
    </r>
    <r>
      <rPr>
        <vertAlign val="subscript"/>
        <sz val="11"/>
        <color theme="1"/>
        <rFont val="Calibri"/>
        <family val="2"/>
        <scheme val="minor"/>
      </rPr>
      <t>weld_v_top</t>
    </r>
  </si>
  <si>
    <r>
      <t>r</t>
    </r>
    <r>
      <rPr>
        <vertAlign val="subscript"/>
        <sz val="11"/>
        <color theme="1"/>
        <rFont val="Calibri"/>
        <family val="2"/>
        <scheme val="minor"/>
      </rPr>
      <t>p_bot</t>
    </r>
    <r>
      <rPr>
        <sz val="11"/>
        <color theme="1"/>
        <rFont val="Calibri"/>
        <family val="2"/>
        <scheme val="minor"/>
      </rPr>
      <t xml:space="preserve"> * 2 * L</t>
    </r>
    <r>
      <rPr>
        <vertAlign val="subscript"/>
        <sz val="11"/>
        <color theme="1"/>
        <rFont val="Calibri"/>
        <family val="2"/>
        <scheme val="minor"/>
      </rPr>
      <t>weld_v_bot</t>
    </r>
  </si>
  <si>
    <r>
      <rPr>
        <sz val="11"/>
        <color theme="1"/>
        <rFont val="Calibri"/>
        <family val="2"/>
      </rPr>
      <t>√</t>
    </r>
    <r>
      <rPr>
        <sz val="11"/>
        <color theme="1"/>
        <rFont val="Calibri"/>
        <family val="2"/>
        <scheme val="minor"/>
      </rPr>
      <t>(2)/2 * (D</t>
    </r>
    <r>
      <rPr>
        <vertAlign val="subscript"/>
        <sz val="11"/>
        <color theme="1"/>
        <rFont val="Calibri"/>
        <family val="2"/>
        <scheme val="minor"/>
      </rPr>
      <t xml:space="preserve">fillet_top </t>
    </r>
    <r>
      <rPr>
        <sz val="11"/>
        <color theme="1"/>
        <rFont val="Calibri"/>
        <family val="2"/>
        <scheme val="minor"/>
      </rPr>
      <t>/ 16) * L</t>
    </r>
    <r>
      <rPr>
        <vertAlign val="subscript"/>
        <sz val="11"/>
        <color theme="1"/>
        <rFont val="Calibri"/>
        <family val="2"/>
        <scheme val="minor"/>
      </rPr>
      <t>weld_hstiffener_top</t>
    </r>
  </si>
  <si>
    <r>
      <t>0.6 * F</t>
    </r>
    <r>
      <rPr>
        <vertAlign val="subscript"/>
        <sz val="11"/>
        <color theme="1"/>
        <rFont val="Calibri"/>
        <family val="2"/>
        <scheme val="minor"/>
      </rPr>
      <t>EXX_top</t>
    </r>
    <r>
      <rPr>
        <sz val="11"/>
        <color theme="1"/>
        <rFont val="Calibri"/>
        <family val="2"/>
        <scheme val="minor"/>
      </rPr>
      <t xml:space="preserve"> * A</t>
    </r>
    <r>
      <rPr>
        <vertAlign val="subscript"/>
        <sz val="11"/>
        <color theme="1"/>
        <rFont val="Calibri"/>
        <family val="2"/>
        <scheme val="minor"/>
      </rPr>
      <t>weld_h_top</t>
    </r>
  </si>
  <si>
    <r>
      <t>n</t>
    </r>
    <r>
      <rPr>
        <vertAlign val="subscript"/>
        <sz val="11"/>
        <color theme="1"/>
        <rFont val="Calibri"/>
        <family val="2"/>
        <scheme val="minor"/>
      </rPr>
      <t>weld_h_top</t>
    </r>
    <r>
      <rPr>
        <sz val="11"/>
        <color theme="1"/>
        <rFont val="Calibri"/>
        <family val="2"/>
        <scheme val="minor"/>
      </rPr>
      <t xml:space="preserve"> * (Φw*Rn</t>
    </r>
    <r>
      <rPr>
        <vertAlign val="subscript"/>
        <sz val="11"/>
        <color theme="1"/>
        <rFont val="Calibri"/>
        <family val="2"/>
        <scheme val="minor"/>
      </rPr>
      <t>weld_h_top</t>
    </r>
    <r>
      <rPr>
        <sz val="11"/>
        <color theme="1"/>
        <rFont val="Calibri"/>
        <family val="2"/>
        <scheme val="minor"/>
      </rPr>
      <t>)</t>
    </r>
  </si>
  <si>
    <r>
      <t>r</t>
    </r>
    <r>
      <rPr>
        <b/>
        <vertAlign val="subscript"/>
        <sz val="11"/>
        <color theme="1"/>
        <rFont val="Calibri"/>
        <family val="2"/>
        <scheme val="minor"/>
      </rPr>
      <t>h_top</t>
    </r>
    <r>
      <rPr>
        <b/>
        <sz val="11"/>
        <color theme="1"/>
        <rFont val="Calibri"/>
        <family val="2"/>
        <scheme val="minor"/>
      </rPr>
      <t xml:space="preserve"> =</t>
    </r>
  </si>
  <si>
    <r>
      <rPr>
        <b/>
        <sz val="11"/>
        <color theme="1"/>
        <rFont val="Calibri"/>
        <family val="2"/>
      </rPr>
      <t>Φ</t>
    </r>
    <r>
      <rPr>
        <b/>
        <sz val="11"/>
        <color theme="1"/>
        <rFont val="Calibri"/>
        <family val="2"/>
        <scheme val="minor"/>
      </rPr>
      <t>Rn</t>
    </r>
    <r>
      <rPr>
        <b/>
        <vertAlign val="subscript"/>
        <sz val="11"/>
        <color theme="1"/>
        <rFont val="Calibri"/>
        <family val="2"/>
        <scheme val="minor"/>
      </rPr>
      <t xml:space="preserve">weld_h_top </t>
    </r>
    <r>
      <rPr>
        <b/>
        <sz val="11"/>
        <color theme="1"/>
        <rFont val="Calibri"/>
        <family val="2"/>
        <scheme val="minor"/>
      </rPr>
      <t>=</t>
    </r>
  </si>
  <si>
    <r>
      <t>n</t>
    </r>
    <r>
      <rPr>
        <vertAlign val="subscript"/>
        <sz val="11"/>
        <color theme="1"/>
        <rFont val="Calibri"/>
        <family val="2"/>
        <scheme val="minor"/>
      </rPr>
      <t>bolts_existing_top</t>
    </r>
    <r>
      <rPr>
        <sz val="11"/>
        <color theme="1"/>
        <rFont val="Calibri"/>
        <family val="2"/>
        <scheme val="minor"/>
      </rPr>
      <t xml:space="preserve"> =</t>
    </r>
  </si>
  <si>
    <r>
      <t>T</t>
    </r>
    <r>
      <rPr>
        <vertAlign val="subscript"/>
        <sz val="11"/>
        <color theme="1"/>
        <rFont val="Calibri"/>
        <family val="2"/>
        <scheme val="minor"/>
      </rPr>
      <t>threadedrod_distributed_top</t>
    </r>
    <r>
      <rPr>
        <sz val="11"/>
        <color theme="1"/>
        <rFont val="Calibri"/>
        <family val="2"/>
        <scheme val="minor"/>
      </rPr>
      <t xml:space="preserve"> =</t>
    </r>
  </si>
  <si>
    <r>
      <t>r</t>
    </r>
    <r>
      <rPr>
        <vertAlign val="subscript"/>
        <sz val="11"/>
        <color theme="1"/>
        <rFont val="Calibri"/>
        <family val="2"/>
        <scheme val="minor"/>
      </rPr>
      <t>p_tens_top</t>
    </r>
    <r>
      <rPr>
        <sz val="11"/>
        <color theme="1"/>
        <rFont val="Calibri"/>
        <family val="2"/>
        <scheme val="minor"/>
      </rPr>
      <t xml:space="preserve"> =</t>
    </r>
  </si>
  <si>
    <r>
      <t>r</t>
    </r>
    <r>
      <rPr>
        <vertAlign val="subscript"/>
        <sz val="11"/>
        <color theme="1"/>
        <rFont val="Calibri"/>
        <family val="2"/>
        <scheme val="minor"/>
      </rPr>
      <t>m_tens_top</t>
    </r>
    <r>
      <rPr>
        <sz val="11"/>
        <color theme="1"/>
        <rFont val="Calibri"/>
        <family val="2"/>
        <scheme val="minor"/>
      </rPr>
      <t xml:space="preserve"> =</t>
    </r>
  </si>
  <si>
    <r>
      <t>r</t>
    </r>
    <r>
      <rPr>
        <vertAlign val="subscript"/>
        <sz val="11"/>
        <color theme="1"/>
        <rFont val="Calibri"/>
        <family val="2"/>
        <scheme val="minor"/>
      </rPr>
      <t>u_tens_top</t>
    </r>
    <r>
      <rPr>
        <sz val="11"/>
        <color theme="1"/>
        <rFont val="Calibri"/>
        <family val="2"/>
        <scheme val="minor"/>
      </rPr>
      <t xml:space="preserve"> =</t>
    </r>
  </si>
  <si>
    <r>
      <t>Rn</t>
    </r>
    <r>
      <rPr>
        <vertAlign val="subscript"/>
        <sz val="11"/>
        <color theme="1"/>
        <rFont val="Calibri"/>
        <family val="2"/>
        <scheme val="minor"/>
      </rPr>
      <t xml:space="preserve">weld_tens_top </t>
    </r>
    <r>
      <rPr>
        <sz val="11"/>
        <color theme="1"/>
        <rFont val="Calibri"/>
        <family val="2"/>
        <scheme val="minor"/>
      </rPr>
      <t>=</t>
    </r>
  </si>
  <si>
    <r>
      <rPr>
        <sz val="11"/>
        <color theme="1"/>
        <rFont val="Calibri"/>
        <family val="2"/>
      </rPr>
      <t>Φ</t>
    </r>
    <r>
      <rPr>
        <sz val="11"/>
        <color theme="1"/>
        <rFont val="Calibri"/>
        <family val="2"/>
        <scheme val="minor"/>
      </rPr>
      <t>Rn</t>
    </r>
    <r>
      <rPr>
        <vertAlign val="subscript"/>
        <sz val="11"/>
        <color theme="1"/>
        <rFont val="Calibri"/>
        <family val="2"/>
        <scheme val="minor"/>
      </rPr>
      <t xml:space="preserve">weld_tens_top </t>
    </r>
    <r>
      <rPr>
        <sz val="11"/>
        <color theme="1"/>
        <rFont val="Calibri"/>
        <family val="2"/>
        <scheme val="minor"/>
      </rPr>
      <t>=</t>
    </r>
  </si>
  <si>
    <r>
      <t>Ratio</t>
    </r>
    <r>
      <rPr>
        <vertAlign val="subscript"/>
        <sz val="11"/>
        <color theme="1"/>
        <rFont val="Calibri"/>
        <family val="2"/>
        <scheme val="minor"/>
      </rPr>
      <t xml:space="preserve">mod </t>
    </r>
    <r>
      <rPr>
        <sz val="11"/>
        <color theme="1"/>
        <rFont val="Calibri"/>
        <family val="2"/>
        <scheme val="minor"/>
      </rPr>
      <t>* (Φtr * n</t>
    </r>
    <r>
      <rPr>
        <vertAlign val="subscript"/>
        <sz val="11"/>
        <color theme="1"/>
        <rFont val="Calibri"/>
        <family val="2"/>
        <scheme val="minor"/>
      </rPr>
      <t>bolts_existing_top</t>
    </r>
    <r>
      <rPr>
        <sz val="11"/>
        <color theme="1"/>
        <rFont val="Calibri"/>
        <family val="2"/>
        <scheme val="minor"/>
      </rPr>
      <t xml:space="preserve"> * Fu</t>
    </r>
    <r>
      <rPr>
        <vertAlign val="subscript"/>
        <sz val="11"/>
        <color theme="1"/>
        <rFont val="Calibri"/>
        <family val="2"/>
        <scheme val="minor"/>
      </rPr>
      <t>threadedrod_top</t>
    </r>
    <r>
      <rPr>
        <sz val="11"/>
        <color theme="1"/>
        <rFont val="Calibri"/>
        <family val="2"/>
        <scheme val="minor"/>
      </rPr>
      <t xml:space="preserve"> * A</t>
    </r>
    <r>
      <rPr>
        <vertAlign val="subscript"/>
        <sz val="11"/>
        <color theme="1"/>
        <rFont val="Calibri"/>
        <family val="2"/>
        <scheme val="minor"/>
      </rPr>
      <t>threadedrod_net_top</t>
    </r>
    <r>
      <rPr>
        <sz val="11"/>
        <color theme="1"/>
        <rFont val="Calibri"/>
        <family val="2"/>
        <scheme val="minor"/>
      </rPr>
      <t>)</t>
    </r>
  </si>
  <si>
    <r>
      <t>T</t>
    </r>
    <r>
      <rPr>
        <vertAlign val="subscript"/>
        <sz val="11"/>
        <color theme="1"/>
        <rFont val="Calibri"/>
        <family val="2"/>
        <scheme val="minor"/>
      </rPr>
      <t>threadedrod_distributed_top</t>
    </r>
    <r>
      <rPr>
        <sz val="11"/>
        <color theme="1"/>
        <rFont val="Calibri"/>
        <family val="2"/>
        <scheme val="minor"/>
      </rPr>
      <t xml:space="preserve"> / ΣL</t>
    </r>
    <r>
      <rPr>
        <vertAlign val="subscript"/>
        <sz val="11"/>
        <color theme="1"/>
        <rFont val="Calibri"/>
        <family val="2"/>
        <scheme val="minor"/>
      </rPr>
      <t>weld_group_top</t>
    </r>
  </si>
  <si>
    <r>
      <t>(T</t>
    </r>
    <r>
      <rPr>
        <vertAlign val="subscript"/>
        <sz val="11"/>
        <color theme="1"/>
        <rFont val="Calibri"/>
        <family val="2"/>
        <scheme val="minor"/>
      </rPr>
      <t>threadedrod_distributed_top</t>
    </r>
    <r>
      <rPr>
        <sz val="11"/>
        <color theme="1"/>
        <rFont val="Calibri"/>
        <family val="2"/>
        <scheme val="minor"/>
      </rPr>
      <t xml:space="preserve"> * arm</t>
    </r>
    <r>
      <rPr>
        <vertAlign val="subscript"/>
        <sz val="11"/>
        <color theme="1"/>
        <rFont val="Calibri"/>
        <family val="2"/>
        <scheme val="minor"/>
      </rPr>
      <t>sp_bot_top</t>
    </r>
    <r>
      <rPr>
        <sz val="11"/>
        <color theme="1"/>
        <rFont val="Calibri"/>
        <family val="2"/>
        <scheme val="minor"/>
      </rPr>
      <t>*c</t>
    </r>
    <r>
      <rPr>
        <vertAlign val="subscript"/>
        <sz val="11"/>
        <color theme="1"/>
        <rFont val="Calibri"/>
        <family val="2"/>
        <scheme val="minor"/>
      </rPr>
      <t>max_top</t>
    </r>
    <r>
      <rPr>
        <sz val="11"/>
        <color theme="1"/>
        <rFont val="Calibri"/>
        <family val="2"/>
        <scheme val="minor"/>
      </rPr>
      <t>) / I</t>
    </r>
    <r>
      <rPr>
        <vertAlign val="subscript"/>
        <sz val="11"/>
        <color theme="1"/>
        <rFont val="Calibri"/>
        <family val="2"/>
        <scheme val="minor"/>
      </rPr>
      <t>weld_group_top</t>
    </r>
  </si>
  <si>
    <r>
      <rPr>
        <sz val="11"/>
        <color theme="1"/>
        <rFont val="Calibri"/>
        <family val="2"/>
      </rPr>
      <t>√</t>
    </r>
    <r>
      <rPr>
        <sz val="11"/>
        <color theme="1"/>
        <rFont val="Calibri"/>
        <family val="2"/>
        <scheme val="minor"/>
      </rPr>
      <t>(r</t>
    </r>
    <r>
      <rPr>
        <vertAlign val="subscript"/>
        <sz val="11"/>
        <color theme="1"/>
        <rFont val="Calibri"/>
        <family val="2"/>
        <scheme val="minor"/>
      </rPr>
      <t>p_tens_top</t>
    </r>
    <r>
      <rPr>
        <vertAlign val="superscript"/>
        <sz val="11"/>
        <color theme="1"/>
        <rFont val="Calibri"/>
        <family val="2"/>
        <scheme val="minor"/>
      </rPr>
      <t>2</t>
    </r>
    <r>
      <rPr>
        <sz val="11"/>
        <color theme="1"/>
        <rFont val="Calibri"/>
        <family val="2"/>
        <scheme val="minor"/>
      </rPr>
      <t xml:space="preserve"> + r</t>
    </r>
    <r>
      <rPr>
        <vertAlign val="subscript"/>
        <sz val="11"/>
        <color theme="1"/>
        <rFont val="Calibri"/>
        <family val="2"/>
        <scheme val="minor"/>
      </rPr>
      <t>m_tens_top</t>
    </r>
    <r>
      <rPr>
        <vertAlign val="superscript"/>
        <sz val="11"/>
        <color theme="1"/>
        <rFont val="Calibri"/>
        <family val="2"/>
        <scheme val="minor"/>
      </rPr>
      <t>2</t>
    </r>
    <r>
      <rPr>
        <sz val="11"/>
        <color theme="1"/>
        <rFont val="Calibri"/>
        <family val="2"/>
        <scheme val="minor"/>
      </rPr>
      <t>)</t>
    </r>
  </si>
  <si>
    <r>
      <t>0.6 * F</t>
    </r>
    <r>
      <rPr>
        <vertAlign val="subscript"/>
        <sz val="11"/>
        <color theme="1"/>
        <rFont val="Calibri"/>
        <family val="2"/>
        <scheme val="minor"/>
      </rPr>
      <t xml:space="preserve">EXX_top </t>
    </r>
    <r>
      <rPr>
        <sz val="11"/>
        <color theme="1"/>
        <rFont val="Calibri"/>
        <family val="2"/>
        <scheme val="minor"/>
      </rPr>
      <t xml:space="preserve">* </t>
    </r>
    <r>
      <rPr>
        <sz val="11"/>
        <color theme="1"/>
        <rFont val="Calibri"/>
        <family val="2"/>
      </rPr>
      <t>√</t>
    </r>
    <r>
      <rPr>
        <sz val="11"/>
        <color theme="1"/>
        <rFont val="Calibri"/>
        <family val="2"/>
        <scheme val="minor"/>
      </rPr>
      <t>(2) / 2 * (D</t>
    </r>
    <r>
      <rPr>
        <vertAlign val="subscript"/>
        <sz val="11"/>
        <color theme="1"/>
        <rFont val="Calibri"/>
        <family val="2"/>
        <scheme val="minor"/>
      </rPr>
      <t>fillet_top</t>
    </r>
    <r>
      <rPr>
        <sz val="11"/>
        <color theme="1"/>
        <rFont val="Calibri"/>
        <family val="2"/>
        <scheme val="minor"/>
      </rPr>
      <t xml:space="preserve"> / 16)</t>
    </r>
  </si>
  <si>
    <r>
      <t>Φw * Rn</t>
    </r>
    <r>
      <rPr>
        <vertAlign val="subscript"/>
        <sz val="11"/>
        <color theme="1"/>
        <rFont val="Calibri"/>
        <family val="2"/>
        <scheme val="minor"/>
      </rPr>
      <t>weld_tens_top</t>
    </r>
  </si>
  <si>
    <r>
      <t>r</t>
    </r>
    <r>
      <rPr>
        <b/>
        <vertAlign val="subscript"/>
        <sz val="11"/>
        <color theme="1"/>
        <rFont val="Calibri"/>
        <family val="2"/>
        <scheme val="minor"/>
      </rPr>
      <t>u_tens_top</t>
    </r>
    <r>
      <rPr>
        <b/>
        <sz val="11"/>
        <color theme="1"/>
        <rFont val="Calibri"/>
        <family val="2"/>
        <scheme val="minor"/>
      </rPr>
      <t xml:space="preserve"> =</t>
    </r>
  </si>
  <si>
    <r>
      <rPr>
        <b/>
        <sz val="11"/>
        <color theme="1"/>
        <rFont val="Calibri"/>
        <family val="2"/>
      </rPr>
      <t>Φ</t>
    </r>
    <r>
      <rPr>
        <b/>
        <sz val="11"/>
        <color theme="1"/>
        <rFont val="Calibri"/>
        <family val="2"/>
        <scheme val="minor"/>
      </rPr>
      <t>Rn</t>
    </r>
    <r>
      <rPr>
        <b/>
        <vertAlign val="subscript"/>
        <sz val="11"/>
        <color theme="1"/>
        <rFont val="Calibri"/>
        <family val="2"/>
        <scheme val="minor"/>
      </rPr>
      <t xml:space="preserve">weld_tens_top </t>
    </r>
    <r>
      <rPr>
        <b/>
        <sz val="11"/>
        <color theme="1"/>
        <rFont val="Calibri"/>
        <family val="2"/>
        <scheme val="minor"/>
      </rPr>
      <t>=</t>
    </r>
  </si>
  <si>
    <r>
      <t>r</t>
    </r>
    <r>
      <rPr>
        <vertAlign val="subscript"/>
        <sz val="11"/>
        <color theme="1"/>
        <rFont val="Calibri"/>
        <family val="2"/>
        <scheme val="minor"/>
      </rPr>
      <t>h_tens_top</t>
    </r>
    <r>
      <rPr>
        <sz val="11"/>
        <color theme="1"/>
        <rFont val="Calibri"/>
        <family val="2"/>
        <scheme val="minor"/>
      </rPr>
      <t xml:space="preserve"> =</t>
    </r>
  </si>
  <si>
    <r>
      <t>n</t>
    </r>
    <r>
      <rPr>
        <vertAlign val="subscript"/>
        <sz val="11"/>
        <color theme="1"/>
        <rFont val="Calibri"/>
        <family val="2"/>
        <scheme val="minor"/>
      </rPr>
      <t>weld_h_top</t>
    </r>
    <r>
      <rPr>
        <sz val="11"/>
        <color theme="1"/>
        <rFont val="Calibri"/>
        <family val="2"/>
        <scheme val="minor"/>
      </rPr>
      <t xml:space="preserve"> * (r</t>
    </r>
    <r>
      <rPr>
        <vertAlign val="subscript"/>
        <sz val="11"/>
        <color theme="1"/>
        <rFont val="Calibri"/>
        <family val="2"/>
        <scheme val="minor"/>
      </rPr>
      <t>p_tens_top</t>
    </r>
    <r>
      <rPr>
        <sz val="11"/>
        <color theme="1"/>
        <rFont val="Calibri"/>
        <family val="2"/>
        <scheme val="minor"/>
      </rPr>
      <t xml:space="preserve"> * L</t>
    </r>
    <r>
      <rPr>
        <vertAlign val="subscript"/>
        <sz val="11"/>
        <color theme="1"/>
        <rFont val="Calibri"/>
        <family val="2"/>
        <scheme val="minor"/>
      </rPr>
      <t>weld_v_top</t>
    </r>
    <r>
      <rPr>
        <sz val="11"/>
        <color theme="1"/>
        <rFont val="Calibri"/>
        <family val="2"/>
        <scheme val="minor"/>
      </rPr>
      <t>)</t>
    </r>
  </si>
  <si>
    <r>
      <t>r</t>
    </r>
    <r>
      <rPr>
        <b/>
        <vertAlign val="subscript"/>
        <sz val="11"/>
        <color theme="1"/>
        <rFont val="Calibri"/>
        <family val="2"/>
        <scheme val="minor"/>
      </rPr>
      <t>h_tens_top</t>
    </r>
    <r>
      <rPr>
        <b/>
        <sz val="11"/>
        <color theme="1"/>
        <rFont val="Calibri"/>
        <family val="2"/>
        <scheme val="minor"/>
      </rPr>
      <t xml:space="preserve"> =</t>
    </r>
  </si>
  <si>
    <r>
      <t>r</t>
    </r>
    <r>
      <rPr>
        <vertAlign val="subscript"/>
        <sz val="11"/>
        <color theme="1"/>
        <rFont val="Calibri"/>
        <family val="2"/>
        <scheme val="minor"/>
      </rPr>
      <t>h_tens_v_top</t>
    </r>
    <r>
      <rPr>
        <sz val="11"/>
        <color theme="1"/>
        <rFont val="Calibri"/>
        <family val="2"/>
        <scheme val="minor"/>
      </rPr>
      <t xml:space="preserve"> =</t>
    </r>
  </si>
  <si>
    <r>
      <t>|M</t>
    </r>
    <r>
      <rPr>
        <vertAlign val="subscript"/>
        <sz val="11"/>
        <color theme="1"/>
        <rFont val="Calibri"/>
        <family val="2"/>
        <scheme val="minor"/>
      </rPr>
      <t>threadedrod_bot</t>
    </r>
    <r>
      <rPr>
        <sz val="11"/>
        <color theme="1"/>
        <rFont val="Calibri"/>
        <family val="2"/>
        <scheme val="minor"/>
      </rPr>
      <t>/a</t>
    </r>
    <r>
      <rPr>
        <vertAlign val="subscript"/>
        <sz val="11"/>
        <color theme="1"/>
        <rFont val="Calibri"/>
        <family val="2"/>
        <scheme val="minor"/>
      </rPr>
      <t>i</t>
    </r>
    <r>
      <rPr>
        <sz val="11"/>
        <color theme="1"/>
        <rFont val="Calibri"/>
        <family val="2"/>
        <scheme val="minor"/>
      </rPr>
      <t>|</t>
    </r>
  </si>
  <si>
    <r>
      <t>x</t>
    </r>
    <r>
      <rPr>
        <vertAlign val="subscript"/>
        <sz val="11"/>
        <color theme="1"/>
        <rFont val="Calibri"/>
        <family val="2"/>
        <scheme val="minor"/>
      </rPr>
      <t>arm_pos_top</t>
    </r>
    <r>
      <rPr>
        <sz val="11"/>
        <color theme="1"/>
        <rFont val="Calibri"/>
        <family val="2"/>
        <scheme val="minor"/>
      </rPr>
      <t xml:space="preserve"> =</t>
    </r>
  </si>
  <si>
    <r>
      <t>x</t>
    </r>
    <r>
      <rPr>
        <vertAlign val="subscript"/>
        <sz val="11"/>
        <color theme="1"/>
        <rFont val="Calibri"/>
        <family val="2"/>
        <scheme val="minor"/>
      </rPr>
      <t>arm_neg_top</t>
    </r>
    <r>
      <rPr>
        <sz val="11"/>
        <color theme="1"/>
        <rFont val="Calibri"/>
        <family val="2"/>
        <scheme val="minor"/>
      </rPr>
      <t xml:space="preserve"> =</t>
    </r>
  </si>
  <si>
    <r>
      <t>P</t>
    </r>
    <r>
      <rPr>
        <vertAlign val="subscript"/>
        <sz val="11"/>
        <color theme="1"/>
        <rFont val="Calibri"/>
        <family val="2"/>
        <scheme val="minor"/>
      </rPr>
      <t>threadedrod_top</t>
    </r>
    <r>
      <rPr>
        <sz val="11"/>
        <color theme="1"/>
        <rFont val="Calibri"/>
        <family val="2"/>
        <scheme val="minor"/>
      </rPr>
      <t xml:space="preserve"> =</t>
    </r>
  </si>
  <si>
    <r>
      <t>M</t>
    </r>
    <r>
      <rPr>
        <vertAlign val="subscript"/>
        <sz val="11"/>
        <color theme="1"/>
        <rFont val="Calibri"/>
        <family val="2"/>
        <scheme val="minor"/>
      </rPr>
      <t>threadedrod_top</t>
    </r>
    <r>
      <rPr>
        <sz val="11"/>
        <color theme="1"/>
        <rFont val="Calibri"/>
        <family val="2"/>
        <scheme val="minor"/>
      </rPr>
      <t xml:space="preserve"> =</t>
    </r>
  </si>
  <si>
    <r>
      <t>T</t>
    </r>
    <r>
      <rPr>
        <vertAlign val="subscript"/>
        <sz val="11"/>
        <color theme="1"/>
        <rFont val="Calibri"/>
        <family val="2"/>
        <scheme val="minor"/>
      </rPr>
      <t>Ubolt_top</t>
    </r>
    <r>
      <rPr>
        <sz val="11"/>
        <color theme="1"/>
        <rFont val="Calibri"/>
        <family val="2"/>
        <scheme val="minor"/>
      </rPr>
      <t xml:space="preserve"> =</t>
    </r>
  </si>
  <si>
    <r>
      <t>P</t>
    </r>
    <r>
      <rPr>
        <vertAlign val="subscript"/>
        <sz val="11"/>
        <color theme="1"/>
        <rFont val="Calibri"/>
        <family val="2"/>
        <scheme val="minor"/>
      </rPr>
      <t>threadedrod_bot</t>
    </r>
    <r>
      <rPr>
        <sz val="11"/>
        <color theme="1"/>
        <rFont val="Calibri"/>
        <family val="2"/>
        <scheme val="minor"/>
      </rPr>
      <t xml:space="preserve"> * (x</t>
    </r>
    <r>
      <rPr>
        <vertAlign val="subscript"/>
        <sz val="11"/>
        <color theme="1"/>
        <rFont val="Calibri"/>
        <family val="2"/>
        <scheme val="minor"/>
      </rPr>
      <t>arm_pos_bot</t>
    </r>
    <r>
      <rPr>
        <sz val="11"/>
        <color theme="1"/>
        <rFont val="Calibri"/>
        <family val="2"/>
        <scheme val="minor"/>
      </rPr>
      <t xml:space="preserve"> + 2*x</t>
    </r>
    <r>
      <rPr>
        <vertAlign val="subscript"/>
        <sz val="11"/>
        <color theme="1"/>
        <rFont val="Calibri"/>
        <family val="2"/>
        <scheme val="minor"/>
      </rPr>
      <t>arm_neg_bot</t>
    </r>
    <r>
      <rPr>
        <sz val="11"/>
        <color theme="1"/>
        <rFont val="Calibri"/>
        <family val="2"/>
        <scheme val="minor"/>
      </rPr>
      <t>)</t>
    </r>
  </si>
  <si>
    <r>
      <t>P</t>
    </r>
    <r>
      <rPr>
        <vertAlign val="subscript"/>
        <sz val="11"/>
        <color theme="1"/>
        <rFont val="Calibri"/>
        <family val="2"/>
        <scheme val="minor"/>
      </rPr>
      <t>threadedrod_top</t>
    </r>
    <r>
      <rPr>
        <sz val="11"/>
        <color theme="1"/>
        <rFont val="Calibri"/>
        <family val="2"/>
        <scheme val="minor"/>
      </rPr>
      <t xml:space="preserve"> * (x</t>
    </r>
    <r>
      <rPr>
        <vertAlign val="subscript"/>
        <sz val="11"/>
        <color theme="1"/>
        <rFont val="Calibri"/>
        <family val="2"/>
        <scheme val="minor"/>
      </rPr>
      <t>arm_pos_top</t>
    </r>
    <r>
      <rPr>
        <sz val="11"/>
        <color theme="1"/>
        <rFont val="Calibri"/>
        <family val="2"/>
        <scheme val="minor"/>
      </rPr>
      <t xml:space="preserve"> + 2*x</t>
    </r>
    <r>
      <rPr>
        <vertAlign val="subscript"/>
        <sz val="11"/>
        <color theme="1"/>
        <rFont val="Calibri"/>
        <family val="2"/>
        <scheme val="minor"/>
      </rPr>
      <t>arm_neg_top</t>
    </r>
    <r>
      <rPr>
        <sz val="11"/>
        <color theme="1"/>
        <rFont val="Calibri"/>
        <family val="2"/>
        <scheme val="minor"/>
      </rPr>
      <t>)</t>
    </r>
  </si>
  <si>
    <r>
      <t>|M</t>
    </r>
    <r>
      <rPr>
        <vertAlign val="subscript"/>
        <sz val="11"/>
        <color theme="1"/>
        <rFont val="Calibri"/>
        <family val="2"/>
        <scheme val="minor"/>
      </rPr>
      <t>threadedrod_top</t>
    </r>
    <r>
      <rPr>
        <sz val="11"/>
        <color theme="1"/>
        <rFont val="Calibri"/>
        <family val="2"/>
        <scheme val="minor"/>
      </rPr>
      <t>/a</t>
    </r>
    <r>
      <rPr>
        <vertAlign val="subscript"/>
        <sz val="11"/>
        <color theme="1"/>
        <rFont val="Calibri"/>
        <family val="2"/>
        <scheme val="minor"/>
      </rPr>
      <t>i</t>
    </r>
    <r>
      <rPr>
        <sz val="11"/>
        <color theme="1"/>
        <rFont val="Calibri"/>
        <family val="2"/>
        <scheme val="minor"/>
      </rPr>
      <t>|</t>
    </r>
  </si>
  <si>
    <r>
      <t>n</t>
    </r>
    <r>
      <rPr>
        <vertAlign val="subscript"/>
        <sz val="11"/>
        <color theme="1"/>
        <rFont val="Calibri"/>
        <family val="2"/>
        <scheme val="minor"/>
      </rPr>
      <t>weld_h_bot</t>
    </r>
    <r>
      <rPr>
        <sz val="11"/>
        <color theme="1"/>
        <rFont val="Calibri"/>
        <family val="2"/>
        <scheme val="minor"/>
      </rPr>
      <t xml:space="preserve"> * (f</t>
    </r>
    <r>
      <rPr>
        <vertAlign val="subscript"/>
        <sz val="11"/>
        <color theme="1"/>
        <rFont val="Calibri"/>
        <family val="2"/>
        <scheme val="minor"/>
      </rPr>
      <t>1</t>
    </r>
    <r>
      <rPr>
        <sz val="11"/>
        <color theme="1"/>
        <rFont val="Calibri"/>
        <family val="2"/>
        <scheme val="minor"/>
      </rPr>
      <t xml:space="preserve"> + f</t>
    </r>
    <r>
      <rPr>
        <vertAlign val="subscript"/>
        <sz val="11"/>
        <color theme="1"/>
        <rFont val="Calibri"/>
        <family val="2"/>
        <scheme val="minor"/>
      </rPr>
      <t>2</t>
    </r>
    <r>
      <rPr>
        <sz val="11"/>
        <color theme="1"/>
        <rFont val="Calibri"/>
        <family val="2"/>
        <scheme val="minor"/>
      </rPr>
      <t>) * L</t>
    </r>
    <r>
      <rPr>
        <vertAlign val="subscript"/>
        <sz val="11"/>
        <color theme="1"/>
        <rFont val="Calibri"/>
        <family val="2"/>
        <scheme val="minor"/>
      </rPr>
      <t>weld_hstiffener_bot</t>
    </r>
    <r>
      <rPr>
        <sz val="11"/>
        <color theme="1"/>
        <rFont val="Calibri"/>
        <family val="2"/>
        <scheme val="minor"/>
      </rPr>
      <t xml:space="preserve"> / 2</t>
    </r>
  </si>
  <si>
    <r>
      <t>r</t>
    </r>
    <r>
      <rPr>
        <vertAlign val="subscript"/>
        <sz val="11"/>
        <color theme="1"/>
        <rFont val="Calibri"/>
        <family val="2"/>
        <scheme val="minor"/>
      </rPr>
      <t>h_tens_h_bot</t>
    </r>
    <r>
      <rPr>
        <sz val="11"/>
        <color theme="1"/>
        <rFont val="Calibri"/>
        <family val="2"/>
        <scheme val="minor"/>
      </rPr>
      <t xml:space="preserve"> =</t>
    </r>
  </si>
  <si>
    <r>
      <t>r</t>
    </r>
    <r>
      <rPr>
        <vertAlign val="subscript"/>
        <sz val="11"/>
        <color theme="1"/>
        <rFont val="Calibri"/>
        <family val="2"/>
        <scheme val="minor"/>
      </rPr>
      <t>h_tens_v_bot</t>
    </r>
    <r>
      <rPr>
        <sz val="11"/>
        <color theme="1"/>
        <rFont val="Calibri"/>
        <family val="2"/>
        <scheme val="minor"/>
      </rPr>
      <t xml:space="preserve"> / ΦRnt</t>
    </r>
    <r>
      <rPr>
        <vertAlign val="subscript"/>
        <sz val="11"/>
        <color theme="1"/>
        <rFont val="Calibri"/>
        <family val="2"/>
        <scheme val="minor"/>
      </rPr>
      <t>stiffener_bot</t>
    </r>
    <r>
      <rPr>
        <sz val="11"/>
        <color theme="1"/>
        <rFont val="Calibri"/>
        <family val="2"/>
        <scheme val="minor"/>
      </rPr>
      <t xml:space="preserve"> + (r</t>
    </r>
    <r>
      <rPr>
        <vertAlign val="subscript"/>
        <sz val="11"/>
        <color theme="1"/>
        <rFont val="Calibri"/>
        <family val="2"/>
        <scheme val="minor"/>
      </rPr>
      <t>h_tens_h_bot</t>
    </r>
    <r>
      <rPr>
        <sz val="11"/>
        <color theme="1"/>
        <rFont val="Calibri"/>
        <family val="2"/>
        <scheme val="minor"/>
      </rPr>
      <t xml:space="preserve"> / ΦRnv</t>
    </r>
    <r>
      <rPr>
        <vertAlign val="subscript"/>
        <sz val="11"/>
        <color theme="1"/>
        <rFont val="Calibri"/>
        <family val="2"/>
        <scheme val="minor"/>
      </rPr>
      <t>stiffener_bot</t>
    </r>
    <r>
      <rPr>
        <sz val="11"/>
        <color theme="1"/>
        <rFont val="Calibri"/>
        <family val="2"/>
        <scheme val="minor"/>
      </rPr>
      <t>)</t>
    </r>
    <r>
      <rPr>
        <vertAlign val="superscript"/>
        <sz val="11"/>
        <color theme="1"/>
        <rFont val="Calibri"/>
        <family val="2"/>
        <scheme val="minor"/>
      </rPr>
      <t>2</t>
    </r>
  </si>
  <si>
    <r>
      <t>T</t>
    </r>
    <r>
      <rPr>
        <vertAlign val="subscript"/>
        <sz val="11"/>
        <color theme="1"/>
        <rFont val="Calibri"/>
        <family val="2"/>
        <scheme val="minor"/>
      </rPr>
      <t xml:space="preserve">ubolt_top </t>
    </r>
    <r>
      <rPr>
        <sz val="11"/>
        <color theme="1"/>
        <rFont val="Calibri"/>
        <family val="2"/>
        <scheme val="minor"/>
      </rPr>
      <t>=</t>
    </r>
  </si>
  <si>
    <r>
      <t>f</t>
    </r>
    <r>
      <rPr>
        <vertAlign val="subscript"/>
        <sz val="11"/>
        <color theme="1"/>
        <rFont val="Calibri"/>
        <family val="2"/>
        <scheme val="minor"/>
      </rPr>
      <t>1_bot</t>
    </r>
    <r>
      <rPr>
        <sz val="11"/>
        <color theme="1"/>
        <rFont val="Calibri"/>
        <family val="2"/>
        <scheme val="minor"/>
      </rPr>
      <t xml:space="preserve"> =</t>
    </r>
  </si>
  <si>
    <r>
      <t>f</t>
    </r>
    <r>
      <rPr>
        <vertAlign val="subscript"/>
        <sz val="11"/>
        <color theme="1"/>
        <rFont val="Calibri"/>
        <family val="2"/>
        <scheme val="minor"/>
      </rPr>
      <t>2_bot</t>
    </r>
    <r>
      <rPr>
        <sz val="11"/>
        <color theme="1"/>
        <rFont val="Calibri"/>
        <family val="2"/>
        <scheme val="minor"/>
      </rPr>
      <t xml:space="preserve"> =</t>
    </r>
  </si>
  <si>
    <r>
      <t>(P</t>
    </r>
    <r>
      <rPr>
        <vertAlign val="subscript"/>
        <sz val="11"/>
        <color theme="1"/>
        <rFont val="Calibri"/>
        <family val="2"/>
        <scheme val="minor"/>
      </rPr>
      <t>mod_sp</t>
    </r>
    <r>
      <rPr>
        <sz val="11"/>
        <color theme="1"/>
        <rFont val="Calibri"/>
        <family val="2"/>
        <scheme val="minor"/>
      </rPr>
      <t xml:space="preserve"> * arm</t>
    </r>
    <r>
      <rPr>
        <vertAlign val="subscript"/>
        <sz val="11"/>
        <color theme="1"/>
        <rFont val="Calibri"/>
        <family val="2"/>
        <scheme val="minor"/>
      </rPr>
      <t>sp_bot</t>
    </r>
    <r>
      <rPr>
        <sz val="11"/>
        <color theme="1"/>
        <rFont val="Calibri"/>
        <family val="2"/>
        <scheme val="minor"/>
      </rPr>
      <t xml:space="preserve"> * notch</t>
    </r>
    <r>
      <rPr>
        <vertAlign val="subscript"/>
        <sz val="11"/>
        <color theme="1"/>
        <rFont val="Calibri"/>
        <family val="2"/>
        <scheme val="minor"/>
      </rPr>
      <t>stiffener_bot</t>
    </r>
    <r>
      <rPr>
        <sz val="11"/>
        <color theme="1"/>
        <rFont val="Calibri"/>
        <family val="2"/>
        <scheme val="minor"/>
      </rPr>
      <t>) / I</t>
    </r>
    <r>
      <rPr>
        <vertAlign val="subscript"/>
        <sz val="11"/>
        <color theme="1"/>
        <rFont val="Calibri"/>
        <family val="2"/>
        <scheme val="minor"/>
      </rPr>
      <t>weld_group</t>
    </r>
    <r>
      <rPr>
        <sz val="11"/>
        <color theme="1"/>
        <rFont val="Calibri"/>
        <family val="2"/>
        <scheme val="minor"/>
      </rPr>
      <t>_bot</t>
    </r>
  </si>
  <si>
    <r>
      <t>f</t>
    </r>
    <r>
      <rPr>
        <vertAlign val="subscript"/>
        <sz val="11"/>
        <color theme="1"/>
        <rFont val="Calibri"/>
        <family val="2"/>
        <scheme val="minor"/>
      </rPr>
      <t>1_top</t>
    </r>
    <r>
      <rPr>
        <sz val="11"/>
        <color theme="1"/>
        <rFont val="Calibri"/>
        <family val="2"/>
        <scheme val="minor"/>
      </rPr>
      <t xml:space="preserve"> =</t>
    </r>
  </si>
  <si>
    <r>
      <t>f</t>
    </r>
    <r>
      <rPr>
        <vertAlign val="subscript"/>
        <sz val="11"/>
        <color theme="1"/>
        <rFont val="Calibri"/>
        <family val="2"/>
        <scheme val="minor"/>
      </rPr>
      <t>2_top</t>
    </r>
    <r>
      <rPr>
        <sz val="11"/>
        <color theme="1"/>
        <rFont val="Calibri"/>
        <family val="2"/>
        <scheme val="minor"/>
      </rPr>
      <t xml:space="preserve"> =</t>
    </r>
  </si>
  <si>
    <r>
      <t>r</t>
    </r>
    <r>
      <rPr>
        <vertAlign val="subscript"/>
        <sz val="11"/>
        <color theme="1"/>
        <rFont val="Calibri"/>
        <family val="2"/>
        <scheme val="minor"/>
      </rPr>
      <t>h_tens_h_top</t>
    </r>
    <r>
      <rPr>
        <sz val="11"/>
        <color theme="1"/>
        <rFont val="Calibri"/>
        <family val="2"/>
        <scheme val="minor"/>
      </rPr>
      <t xml:space="preserve"> =</t>
    </r>
  </si>
  <si>
    <r>
      <t>(P</t>
    </r>
    <r>
      <rPr>
        <vertAlign val="subscript"/>
        <sz val="11"/>
        <color theme="1"/>
        <rFont val="Calibri"/>
        <family val="2"/>
        <scheme val="minor"/>
      </rPr>
      <t>mod_sp</t>
    </r>
    <r>
      <rPr>
        <sz val="11"/>
        <color theme="1"/>
        <rFont val="Calibri"/>
        <family val="2"/>
        <scheme val="minor"/>
      </rPr>
      <t xml:space="preserve"> * arm</t>
    </r>
    <r>
      <rPr>
        <vertAlign val="subscript"/>
        <sz val="11"/>
        <color theme="1"/>
        <rFont val="Calibri"/>
        <family val="2"/>
        <scheme val="minor"/>
      </rPr>
      <t>sp_top</t>
    </r>
    <r>
      <rPr>
        <sz val="11"/>
        <color theme="1"/>
        <rFont val="Calibri"/>
        <family val="2"/>
        <scheme val="minor"/>
      </rPr>
      <t xml:space="preserve"> * notch</t>
    </r>
    <r>
      <rPr>
        <vertAlign val="subscript"/>
        <sz val="11"/>
        <color theme="1"/>
        <rFont val="Calibri"/>
        <family val="2"/>
        <scheme val="minor"/>
      </rPr>
      <t>stiffener_top</t>
    </r>
    <r>
      <rPr>
        <sz val="11"/>
        <color theme="1"/>
        <rFont val="Calibri"/>
        <family val="2"/>
        <scheme val="minor"/>
      </rPr>
      <t>) / I</t>
    </r>
    <r>
      <rPr>
        <vertAlign val="subscript"/>
        <sz val="11"/>
        <color theme="1"/>
        <rFont val="Calibri"/>
        <family val="2"/>
        <scheme val="minor"/>
      </rPr>
      <t>weld_group</t>
    </r>
    <r>
      <rPr>
        <sz val="11"/>
        <color theme="1"/>
        <rFont val="Calibri"/>
        <family val="2"/>
        <scheme val="minor"/>
      </rPr>
      <t>_top</t>
    </r>
  </si>
  <si>
    <r>
      <t>n</t>
    </r>
    <r>
      <rPr>
        <vertAlign val="subscript"/>
        <sz val="11"/>
        <color theme="1"/>
        <rFont val="Calibri"/>
        <family val="2"/>
        <scheme val="minor"/>
      </rPr>
      <t>weld_h_top</t>
    </r>
    <r>
      <rPr>
        <sz val="11"/>
        <color theme="1"/>
        <rFont val="Calibri"/>
        <family val="2"/>
        <scheme val="minor"/>
      </rPr>
      <t xml:space="preserve"> * (f</t>
    </r>
    <r>
      <rPr>
        <vertAlign val="subscript"/>
        <sz val="11"/>
        <color theme="1"/>
        <rFont val="Calibri"/>
        <family val="2"/>
        <scheme val="minor"/>
      </rPr>
      <t>1_top</t>
    </r>
    <r>
      <rPr>
        <sz val="11"/>
        <color theme="1"/>
        <rFont val="Calibri"/>
        <family val="2"/>
        <scheme val="minor"/>
      </rPr>
      <t xml:space="preserve"> + f</t>
    </r>
    <r>
      <rPr>
        <vertAlign val="subscript"/>
        <sz val="11"/>
        <color theme="1"/>
        <rFont val="Calibri"/>
        <family val="2"/>
        <scheme val="minor"/>
      </rPr>
      <t>2_top</t>
    </r>
    <r>
      <rPr>
        <sz val="11"/>
        <color theme="1"/>
        <rFont val="Calibri"/>
        <family val="2"/>
        <scheme val="minor"/>
      </rPr>
      <t>) * L</t>
    </r>
    <r>
      <rPr>
        <vertAlign val="subscript"/>
        <sz val="11"/>
        <color theme="1"/>
        <rFont val="Calibri"/>
        <family val="2"/>
        <scheme val="minor"/>
      </rPr>
      <t>weld_hstiffener_top</t>
    </r>
    <r>
      <rPr>
        <sz val="11"/>
        <color theme="1"/>
        <rFont val="Calibri"/>
        <family val="2"/>
        <scheme val="minor"/>
      </rPr>
      <t xml:space="preserve"> / 2</t>
    </r>
  </si>
  <si>
    <r>
      <t>r</t>
    </r>
    <r>
      <rPr>
        <vertAlign val="subscript"/>
        <sz val="11"/>
        <color theme="1"/>
        <rFont val="Calibri"/>
        <family val="2"/>
        <scheme val="minor"/>
      </rPr>
      <t xml:space="preserve">h_tens_v_top </t>
    </r>
    <r>
      <rPr>
        <sz val="11"/>
        <color theme="1"/>
        <rFont val="Calibri"/>
        <family val="2"/>
        <scheme val="minor"/>
      </rPr>
      <t>/ ΦRnt</t>
    </r>
    <r>
      <rPr>
        <vertAlign val="subscript"/>
        <sz val="11"/>
        <color theme="1"/>
        <rFont val="Calibri"/>
        <family val="2"/>
        <scheme val="minor"/>
      </rPr>
      <t>stiffener_top</t>
    </r>
    <r>
      <rPr>
        <sz val="11"/>
        <color theme="1"/>
        <rFont val="Calibri"/>
        <family val="2"/>
        <scheme val="minor"/>
      </rPr>
      <t xml:space="preserve"> + (r</t>
    </r>
    <r>
      <rPr>
        <vertAlign val="subscript"/>
        <sz val="11"/>
        <color theme="1"/>
        <rFont val="Calibri"/>
        <family val="2"/>
        <scheme val="minor"/>
      </rPr>
      <t xml:space="preserve">h_tens_h_top </t>
    </r>
    <r>
      <rPr>
        <sz val="11"/>
        <color theme="1"/>
        <rFont val="Calibri"/>
        <family val="2"/>
        <scheme val="minor"/>
      </rPr>
      <t>/ ΦRnv</t>
    </r>
    <r>
      <rPr>
        <vertAlign val="subscript"/>
        <sz val="11"/>
        <color theme="1"/>
        <rFont val="Calibri"/>
        <family val="2"/>
        <scheme val="minor"/>
      </rPr>
      <t>stiffener_top</t>
    </r>
    <r>
      <rPr>
        <sz val="11"/>
        <color theme="1"/>
        <rFont val="Calibri"/>
        <family val="2"/>
        <scheme val="minor"/>
      </rPr>
      <t>)</t>
    </r>
    <r>
      <rPr>
        <vertAlign val="superscript"/>
        <sz val="11"/>
        <color theme="1"/>
        <rFont val="Calibri"/>
        <family val="2"/>
        <scheme val="minor"/>
      </rPr>
      <t>2</t>
    </r>
  </si>
  <si>
    <t>Fillet Weld Size (Sixteenths of an Inch):</t>
  </si>
  <si>
    <t>Fillet Weld Size:</t>
  </si>
  <si>
    <t>°</t>
  </si>
  <si>
    <t>Quantity of Flange Bolts:</t>
  </si>
  <si>
    <t>X (in)</t>
  </si>
  <si>
    <t>Y (in) [MOD]</t>
  </si>
  <si>
    <t>Replaced as part of Mod</t>
  </si>
  <si>
    <t>Flange Thickness (Match Existing):</t>
  </si>
  <si>
    <t>Bolt Orientation (1 or 2):</t>
  </si>
  <si>
    <t>Bottom of Section</t>
  </si>
  <si>
    <t>Top of Section</t>
  </si>
  <si>
    <r>
      <t>t</t>
    </r>
    <r>
      <rPr>
        <vertAlign val="subscript"/>
        <sz val="11"/>
        <color theme="1"/>
        <rFont val="Calibri"/>
        <family val="2"/>
        <scheme val="minor"/>
      </rPr>
      <t>stiffener_top</t>
    </r>
    <r>
      <rPr>
        <sz val="11"/>
        <color theme="1"/>
        <rFont val="Calibri"/>
        <family val="2"/>
        <scheme val="minor"/>
      </rPr>
      <t xml:space="preserve"> * (L</t>
    </r>
    <r>
      <rPr>
        <vertAlign val="subscript"/>
        <sz val="11"/>
        <color theme="1"/>
        <rFont val="Calibri"/>
        <family val="2"/>
        <scheme val="minor"/>
      </rPr>
      <t xml:space="preserve">stiffener_top </t>
    </r>
    <r>
      <rPr>
        <sz val="11"/>
        <color theme="1"/>
        <rFont val="Calibri"/>
        <family val="2"/>
        <scheme val="minor"/>
      </rPr>
      <t>- notch</t>
    </r>
    <r>
      <rPr>
        <vertAlign val="subscript"/>
        <sz val="11"/>
        <color theme="1"/>
        <rFont val="Calibri"/>
        <family val="2"/>
        <scheme val="minor"/>
      </rPr>
      <t>stiffener_top</t>
    </r>
    <r>
      <rPr>
        <sz val="11"/>
        <color theme="1"/>
        <rFont val="Calibri"/>
        <family val="2"/>
        <scheme val="minor"/>
      </rPr>
      <t>)</t>
    </r>
  </si>
  <si>
    <t>Existing Structure Inputs</t>
  </si>
  <si>
    <t>Proposed Stiffener Inputs</t>
  </si>
  <si>
    <t>Proposed Threaded Rod Inputs</t>
  </si>
  <si>
    <t>Nominal Unthreaded Area of 1/2" U-Bolt:</t>
  </si>
  <si>
    <t>Nominal Tensile Stress for A307 U-Bolts
(AISC Table J3.2):</t>
  </si>
  <si>
    <r>
      <rPr>
        <sz val="11"/>
        <color theme="1"/>
        <rFont val="Calibri"/>
        <family val="2"/>
      </rPr>
      <t>π</t>
    </r>
    <r>
      <rPr>
        <sz val="11"/>
        <color theme="1"/>
        <rFont val="Calibri"/>
        <family val="2"/>
        <scheme val="minor"/>
      </rPr>
      <t>/4 * (0.5)</t>
    </r>
    <r>
      <rPr>
        <vertAlign val="superscript"/>
        <sz val="11"/>
        <color theme="1"/>
        <rFont val="Calibri"/>
        <family val="2"/>
        <scheme val="minor"/>
      </rPr>
      <t>2</t>
    </r>
  </si>
  <si>
    <t>Distance from Centroid of Split Pipe to Bolt (Negative):</t>
  </si>
  <si>
    <t>Distance from Centroid of Split Pipe to Bolt (Positive):</t>
  </si>
  <si>
    <t>Bolt #</t>
  </si>
  <si>
    <t>BOLT / THREADED ROD LOCATIONS</t>
  </si>
  <si>
    <t>Angle Between Bolts (Bottom of Section):</t>
  </si>
  <si>
    <r>
      <t>angle</t>
    </r>
    <r>
      <rPr>
        <vertAlign val="subscript"/>
        <sz val="11"/>
        <color theme="1"/>
        <rFont val="Calibri"/>
        <family val="2"/>
        <scheme val="minor"/>
      </rPr>
      <t>bolts_bot</t>
    </r>
    <r>
      <rPr>
        <sz val="11"/>
        <color theme="1"/>
        <rFont val="Calibri"/>
        <family val="2"/>
        <scheme val="minor"/>
      </rPr>
      <t xml:space="preserve"> =</t>
    </r>
  </si>
  <si>
    <r>
      <t>angle</t>
    </r>
    <r>
      <rPr>
        <vertAlign val="subscript"/>
        <sz val="11"/>
        <color theme="1"/>
        <rFont val="Calibri"/>
        <family val="2"/>
        <scheme val="minor"/>
      </rPr>
      <t>bolts_top</t>
    </r>
    <r>
      <rPr>
        <sz val="11"/>
        <color theme="1"/>
        <rFont val="Calibri"/>
        <family val="2"/>
        <scheme val="minor"/>
      </rPr>
      <t xml:space="preserve"> =</t>
    </r>
  </si>
  <si>
    <t>Angle Between Bolts (Top of Section):</t>
  </si>
  <si>
    <t>Angle from First Bolt (°)</t>
  </si>
  <si>
    <r>
      <t>MAX($J$524:$J$553)-Y</t>
    </r>
    <r>
      <rPr>
        <vertAlign val="subscript"/>
        <sz val="11"/>
        <color theme="1"/>
        <rFont val="Calibri"/>
        <family val="2"/>
        <scheme val="minor"/>
      </rPr>
      <t>rein</t>
    </r>
  </si>
  <si>
    <r>
      <t>MIN($J$524:$J$553)-Y</t>
    </r>
    <r>
      <rPr>
        <vertAlign val="subscript"/>
        <sz val="11"/>
        <color theme="1"/>
        <rFont val="Calibri"/>
        <family val="2"/>
        <scheme val="minor"/>
      </rPr>
      <t>rein</t>
    </r>
  </si>
  <si>
    <r>
      <t>MAX($Q$524:$Q$553)-Y</t>
    </r>
    <r>
      <rPr>
        <vertAlign val="subscript"/>
        <sz val="11"/>
        <color theme="1"/>
        <rFont val="Calibri"/>
        <family val="2"/>
        <scheme val="minor"/>
      </rPr>
      <t>rein</t>
    </r>
  </si>
  <si>
    <r>
      <t>MIN($Q$524:$Q$553)-Y</t>
    </r>
    <r>
      <rPr>
        <vertAlign val="subscript"/>
        <sz val="11"/>
        <color theme="1"/>
        <rFont val="Calibri"/>
        <family val="2"/>
        <scheme val="minor"/>
      </rPr>
      <t>rein</t>
    </r>
  </si>
  <si>
    <t>Results</t>
  </si>
  <si>
    <t>Threaded Rods</t>
  </si>
  <si>
    <t>Demand</t>
  </si>
  <si>
    <t>Stiffeners</t>
  </si>
  <si>
    <t>STIFFENER VERTICAL WELDS (COMPRESSION)</t>
  </si>
  <si>
    <t>STIFFENER VERTICAL WELDS (TENSION)</t>
  </si>
  <si>
    <t>--</t>
  </si>
  <si>
    <t>Compression (kip):</t>
  </si>
  <si>
    <t>Vertical Welds (Comp.) (kip/in):</t>
  </si>
  <si>
    <t>Vertical Welds (Tens.) (kip/in):</t>
  </si>
  <si>
    <t>Horizontal Welds (Comp.) (kip/in):</t>
  </si>
  <si>
    <t>Horizontal Welds (Tens.) (kip/in):</t>
  </si>
  <si>
    <t>Check</t>
  </si>
  <si>
    <t>BOLT-ON SPLIT PIPE CONNECTIONS REPORT</t>
  </si>
  <si>
    <t>Bolt-On Split Pipe Connections Design</t>
  </si>
  <si>
    <t>REV H. BOLT-ON SPLIT PIPE CONNECTIONS DESIGN CALCULATIONS</t>
  </si>
  <si>
    <t>Controlling Rating:</t>
  </si>
  <si>
    <t>9.3.0</t>
  </si>
  <si>
    <t>Added Rev. H Bolt-On Split Pipe Connection Design</t>
  </si>
  <si>
    <t>Version</t>
  </si>
  <si>
    <t>Set Top of Section Inputs Equal to Bottom of Section Inputs:</t>
  </si>
  <si>
    <t>SHOW DESIGN CALCULATIONS:</t>
  </si>
  <si>
    <t>Rev H. Bolt-On Split Pipe Connections Design Inputs</t>
  </si>
  <si>
    <t>Define User Inputs</t>
  </si>
  <si>
    <t>Summary Tab</t>
  </si>
  <si>
    <t>Bolt-On Split Pipe Tab</t>
  </si>
  <si>
    <t>Design Bolt-On Split Pipe Connections</t>
  </si>
  <si>
    <r>
      <t>A</t>
    </r>
    <r>
      <rPr>
        <vertAlign val="subscript"/>
        <sz val="11"/>
        <color theme="1"/>
        <rFont val="Calibri"/>
        <family val="2"/>
        <scheme val="minor"/>
      </rPr>
      <t>stiffenertop_bot</t>
    </r>
    <r>
      <rPr>
        <sz val="11"/>
        <color theme="1"/>
        <rFont val="Calibri"/>
        <family val="2"/>
        <scheme val="minor"/>
      </rPr>
      <t xml:space="preserve"> =</t>
    </r>
  </si>
  <si>
    <r>
      <t>t</t>
    </r>
    <r>
      <rPr>
        <vertAlign val="subscript"/>
        <sz val="11"/>
        <color theme="1"/>
        <rFont val="Calibri"/>
        <family val="2"/>
        <scheme val="minor"/>
      </rPr>
      <t>stiffener_bot</t>
    </r>
    <r>
      <rPr>
        <sz val="11"/>
        <color theme="1"/>
        <rFont val="Calibri"/>
        <family val="2"/>
        <scheme val="minor"/>
      </rPr>
      <t xml:space="preserve"> * (h</t>
    </r>
    <r>
      <rPr>
        <vertAlign val="subscript"/>
        <sz val="11"/>
        <color theme="1"/>
        <rFont val="Calibri"/>
        <family val="2"/>
        <scheme val="minor"/>
      </rPr>
      <t xml:space="preserve">stiffener_bot </t>
    </r>
    <r>
      <rPr>
        <sz val="11"/>
        <color theme="1"/>
        <rFont val="Calibri"/>
        <family val="2"/>
        <scheme val="minor"/>
      </rPr>
      <t>- notch</t>
    </r>
    <r>
      <rPr>
        <vertAlign val="subscript"/>
        <sz val="11"/>
        <color theme="1"/>
        <rFont val="Calibri"/>
        <family val="2"/>
        <scheme val="minor"/>
      </rPr>
      <t>stiffener_bot</t>
    </r>
    <r>
      <rPr>
        <sz val="11"/>
        <color theme="1"/>
        <rFont val="Calibri"/>
        <family val="2"/>
        <scheme val="minor"/>
      </rPr>
      <t>)</t>
    </r>
  </si>
  <si>
    <r>
      <rPr>
        <sz val="11"/>
        <color theme="1"/>
        <rFont val="Calibri"/>
        <family val="2"/>
      </rPr>
      <t>Φ</t>
    </r>
    <r>
      <rPr>
        <sz val="11"/>
        <color theme="1"/>
        <rFont val="Calibri"/>
        <family val="2"/>
        <scheme val="minor"/>
      </rPr>
      <t>Rnt</t>
    </r>
    <r>
      <rPr>
        <vertAlign val="subscript"/>
        <sz val="11"/>
        <color theme="1"/>
        <rFont val="Calibri"/>
        <family val="2"/>
        <scheme val="minor"/>
      </rPr>
      <t xml:space="preserve">stiffenertop_bot </t>
    </r>
    <r>
      <rPr>
        <sz val="11"/>
        <color theme="1"/>
        <rFont val="Calibri"/>
        <family val="2"/>
        <scheme val="minor"/>
      </rPr>
      <t>=</t>
    </r>
  </si>
  <si>
    <r>
      <t>Rnt</t>
    </r>
    <r>
      <rPr>
        <vertAlign val="subscript"/>
        <sz val="11"/>
        <color theme="1"/>
        <rFont val="Calibri"/>
        <family val="2"/>
        <scheme val="minor"/>
      </rPr>
      <t xml:space="preserve">stiffenertop_bot </t>
    </r>
    <r>
      <rPr>
        <sz val="11"/>
        <color theme="1"/>
        <rFont val="Calibri"/>
        <family val="2"/>
        <scheme val="minor"/>
      </rPr>
      <t>=</t>
    </r>
  </si>
  <si>
    <r>
      <t>Fy</t>
    </r>
    <r>
      <rPr>
        <vertAlign val="subscript"/>
        <sz val="11"/>
        <color theme="1"/>
        <rFont val="Calibri"/>
        <family val="2"/>
        <scheme val="minor"/>
      </rPr>
      <t>stiffener_bot</t>
    </r>
    <r>
      <rPr>
        <sz val="11"/>
        <color theme="1"/>
        <rFont val="Calibri"/>
        <family val="2"/>
        <scheme val="minor"/>
      </rPr>
      <t xml:space="preserve"> * A</t>
    </r>
    <r>
      <rPr>
        <vertAlign val="subscript"/>
        <sz val="11"/>
        <color theme="1"/>
        <rFont val="Calibri"/>
        <family val="2"/>
        <scheme val="minor"/>
      </rPr>
      <t>stiffenertop_bot</t>
    </r>
  </si>
  <si>
    <r>
      <t>Φty * Rnt</t>
    </r>
    <r>
      <rPr>
        <vertAlign val="subscript"/>
        <sz val="11"/>
        <color theme="1"/>
        <rFont val="Calibri"/>
        <family val="2"/>
        <scheme val="minor"/>
      </rPr>
      <t>stiffenertop_bot</t>
    </r>
  </si>
  <si>
    <r>
      <t>0.6 * Fy</t>
    </r>
    <r>
      <rPr>
        <vertAlign val="subscript"/>
        <sz val="11"/>
        <color theme="1"/>
        <rFont val="Calibri"/>
        <family val="2"/>
        <scheme val="minor"/>
      </rPr>
      <t>stiffener_bot</t>
    </r>
    <r>
      <rPr>
        <sz val="11"/>
        <color theme="1"/>
        <rFont val="Calibri"/>
        <family val="2"/>
        <scheme val="minor"/>
      </rPr>
      <t xml:space="preserve"> * A</t>
    </r>
    <r>
      <rPr>
        <vertAlign val="subscript"/>
        <sz val="11"/>
        <color theme="1"/>
        <rFont val="Calibri"/>
        <family val="2"/>
        <scheme val="minor"/>
      </rPr>
      <t>stiffenertop_bot</t>
    </r>
  </si>
  <si>
    <r>
      <t>Rnv</t>
    </r>
    <r>
      <rPr>
        <vertAlign val="subscript"/>
        <sz val="11"/>
        <color theme="1"/>
        <rFont val="Calibri"/>
        <family val="2"/>
        <scheme val="minor"/>
      </rPr>
      <t xml:space="preserve">stiffenertop_bot </t>
    </r>
    <r>
      <rPr>
        <sz val="11"/>
        <color theme="1"/>
        <rFont val="Calibri"/>
        <family val="2"/>
        <scheme val="minor"/>
      </rPr>
      <t>=</t>
    </r>
  </si>
  <si>
    <r>
      <rPr>
        <sz val="11"/>
        <color theme="1"/>
        <rFont val="Calibri"/>
        <family val="2"/>
      </rPr>
      <t>Φ</t>
    </r>
    <r>
      <rPr>
        <sz val="11"/>
        <color theme="1"/>
        <rFont val="Calibri"/>
        <family val="2"/>
        <scheme val="minor"/>
      </rPr>
      <t>Rnv</t>
    </r>
    <r>
      <rPr>
        <vertAlign val="subscript"/>
        <sz val="11"/>
        <color theme="1"/>
        <rFont val="Calibri"/>
        <family val="2"/>
        <scheme val="minor"/>
      </rPr>
      <t xml:space="preserve">stiffenertop_bot </t>
    </r>
    <r>
      <rPr>
        <sz val="11"/>
        <color theme="1"/>
        <rFont val="Calibri"/>
        <family val="2"/>
        <scheme val="minor"/>
      </rPr>
      <t>=</t>
    </r>
  </si>
  <si>
    <r>
      <t>Φv * Rnv</t>
    </r>
    <r>
      <rPr>
        <vertAlign val="subscript"/>
        <sz val="11"/>
        <color theme="1"/>
        <rFont val="Calibri"/>
        <family val="2"/>
        <scheme val="minor"/>
      </rPr>
      <t>stiffenertop_bot</t>
    </r>
  </si>
  <si>
    <t>STIFFENER LENGTH INTERACTION RATING:</t>
  </si>
  <si>
    <t>STIFFENER HEIGHT INTERACTION RATING:</t>
  </si>
  <si>
    <r>
      <t>r</t>
    </r>
    <r>
      <rPr>
        <vertAlign val="subscript"/>
        <sz val="11"/>
        <color theme="1"/>
        <rFont val="Calibri"/>
        <family val="2"/>
        <scheme val="minor"/>
      </rPr>
      <t>h_tens_h_bot</t>
    </r>
    <r>
      <rPr>
        <sz val="11"/>
        <color theme="1"/>
        <rFont val="Calibri"/>
        <family val="2"/>
        <scheme val="minor"/>
      </rPr>
      <t xml:space="preserve"> / ΦRnt</t>
    </r>
    <r>
      <rPr>
        <vertAlign val="subscript"/>
        <sz val="11"/>
        <color theme="1"/>
        <rFont val="Calibri"/>
        <family val="2"/>
        <scheme val="minor"/>
      </rPr>
      <t>stiffenertop_bot</t>
    </r>
    <r>
      <rPr>
        <sz val="11"/>
        <color theme="1"/>
        <rFont val="Calibri"/>
        <family val="2"/>
        <scheme val="minor"/>
      </rPr>
      <t xml:space="preserve"> + (r</t>
    </r>
    <r>
      <rPr>
        <vertAlign val="subscript"/>
        <sz val="11"/>
        <color theme="1"/>
        <rFont val="Calibri"/>
        <family val="2"/>
        <scheme val="minor"/>
      </rPr>
      <t>h_tens_v_bot</t>
    </r>
    <r>
      <rPr>
        <sz val="11"/>
        <color theme="1"/>
        <rFont val="Calibri"/>
        <family val="2"/>
        <scheme val="minor"/>
      </rPr>
      <t xml:space="preserve"> / ΦRnv</t>
    </r>
    <r>
      <rPr>
        <vertAlign val="subscript"/>
        <sz val="11"/>
        <color theme="1"/>
        <rFont val="Calibri"/>
        <family val="2"/>
        <scheme val="minor"/>
      </rPr>
      <t>stiffenertop_bot</t>
    </r>
    <r>
      <rPr>
        <sz val="11"/>
        <color theme="1"/>
        <rFont val="Calibri"/>
        <family val="2"/>
        <scheme val="minor"/>
      </rPr>
      <t>)</t>
    </r>
    <r>
      <rPr>
        <vertAlign val="superscript"/>
        <sz val="11"/>
        <color theme="1"/>
        <rFont val="Calibri"/>
        <family val="2"/>
        <scheme val="minor"/>
      </rPr>
      <t>2</t>
    </r>
  </si>
  <si>
    <r>
      <t>A</t>
    </r>
    <r>
      <rPr>
        <vertAlign val="subscript"/>
        <sz val="11"/>
        <color theme="1"/>
        <rFont val="Calibri"/>
        <family val="2"/>
        <scheme val="minor"/>
      </rPr>
      <t xml:space="preserve">stiffenertop_top </t>
    </r>
    <r>
      <rPr>
        <sz val="11"/>
        <color theme="1"/>
        <rFont val="Calibri"/>
        <family val="2"/>
        <scheme val="minor"/>
      </rPr>
      <t>=</t>
    </r>
  </si>
  <si>
    <r>
      <t>Rnt</t>
    </r>
    <r>
      <rPr>
        <vertAlign val="subscript"/>
        <sz val="11"/>
        <color theme="1"/>
        <rFont val="Calibri"/>
        <family val="2"/>
        <scheme val="minor"/>
      </rPr>
      <t xml:space="preserve">stiffenertop_top </t>
    </r>
    <r>
      <rPr>
        <sz val="11"/>
        <color theme="1"/>
        <rFont val="Calibri"/>
        <family val="2"/>
        <scheme val="minor"/>
      </rPr>
      <t>=</t>
    </r>
  </si>
  <si>
    <r>
      <rPr>
        <sz val="11"/>
        <color theme="1"/>
        <rFont val="Calibri"/>
        <family val="2"/>
      </rPr>
      <t>Φ</t>
    </r>
    <r>
      <rPr>
        <sz val="11"/>
        <color theme="1"/>
        <rFont val="Calibri"/>
        <family val="2"/>
        <scheme val="minor"/>
      </rPr>
      <t>Rnt</t>
    </r>
    <r>
      <rPr>
        <vertAlign val="subscript"/>
        <sz val="11"/>
        <color theme="1"/>
        <rFont val="Calibri"/>
        <family val="2"/>
        <scheme val="minor"/>
      </rPr>
      <t xml:space="preserve">stiffenertop_top </t>
    </r>
    <r>
      <rPr>
        <sz val="11"/>
        <color theme="1"/>
        <rFont val="Calibri"/>
        <family val="2"/>
        <scheme val="minor"/>
      </rPr>
      <t>=</t>
    </r>
  </si>
  <si>
    <r>
      <t>Rnv</t>
    </r>
    <r>
      <rPr>
        <vertAlign val="subscript"/>
        <sz val="11"/>
        <color theme="1"/>
        <rFont val="Calibri"/>
        <family val="2"/>
        <scheme val="minor"/>
      </rPr>
      <t xml:space="preserve">stiffenertop_top </t>
    </r>
    <r>
      <rPr>
        <sz val="11"/>
        <color theme="1"/>
        <rFont val="Calibri"/>
        <family val="2"/>
        <scheme val="minor"/>
      </rPr>
      <t>=</t>
    </r>
  </si>
  <si>
    <r>
      <rPr>
        <sz val="11"/>
        <color theme="1"/>
        <rFont val="Calibri"/>
        <family val="2"/>
      </rPr>
      <t>Φ</t>
    </r>
    <r>
      <rPr>
        <sz val="11"/>
        <color theme="1"/>
        <rFont val="Calibri"/>
        <family val="2"/>
        <scheme val="minor"/>
      </rPr>
      <t>Rnv</t>
    </r>
    <r>
      <rPr>
        <vertAlign val="subscript"/>
        <sz val="11"/>
        <color theme="1"/>
        <rFont val="Calibri"/>
        <family val="2"/>
        <scheme val="minor"/>
      </rPr>
      <t xml:space="preserve">stiffenertop_top </t>
    </r>
    <r>
      <rPr>
        <sz val="11"/>
        <color theme="1"/>
        <rFont val="Calibri"/>
        <family val="2"/>
        <scheme val="minor"/>
      </rPr>
      <t>=</t>
    </r>
  </si>
  <si>
    <r>
      <t>t</t>
    </r>
    <r>
      <rPr>
        <vertAlign val="subscript"/>
        <sz val="11"/>
        <color theme="1"/>
        <rFont val="Calibri"/>
        <family val="2"/>
        <scheme val="minor"/>
      </rPr>
      <t>stiffener_top</t>
    </r>
    <r>
      <rPr>
        <sz val="11"/>
        <color theme="1"/>
        <rFont val="Calibri"/>
        <family val="2"/>
        <scheme val="minor"/>
      </rPr>
      <t xml:space="preserve"> * (h</t>
    </r>
    <r>
      <rPr>
        <vertAlign val="subscript"/>
        <sz val="11"/>
        <color theme="1"/>
        <rFont val="Calibri"/>
        <family val="2"/>
        <scheme val="minor"/>
      </rPr>
      <t xml:space="preserve">stiffener_top </t>
    </r>
    <r>
      <rPr>
        <sz val="11"/>
        <color theme="1"/>
        <rFont val="Calibri"/>
        <family val="2"/>
        <scheme val="minor"/>
      </rPr>
      <t>- notch</t>
    </r>
    <r>
      <rPr>
        <vertAlign val="subscript"/>
        <sz val="11"/>
        <color theme="1"/>
        <rFont val="Calibri"/>
        <family val="2"/>
        <scheme val="minor"/>
      </rPr>
      <t>stiffener_top</t>
    </r>
    <r>
      <rPr>
        <sz val="11"/>
        <color theme="1"/>
        <rFont val="Calibri"/>
        <family val="2"/>
        <scheme val="minor"/>
      </rPr>
      <t>)</t>
    </r>
  </si>
  <si>
    <r>
      <t>Fy</t>
    </r>
    <r>
      <rPr>
        <vertAlign val="subscript"/>
        <sz val="11"/>
        <color theme="1"/>
        <rFont val="Calibri"/>
        <family val="2"/>
        <scheme val="minor"/>
      </rPr>
      <t>stiffener_top</t>
    </r>
    <r>
      <rPr>
        <sz val="11"/>
        <color theme="1"/>
        <rFont val="Calibri"/>
        <family val="2"/>
        <scheme val="minor"/>
      </rPr>
      <t xml:space="preserve"> * A</t>
    </r>
    <r>
      <rPr>
        <vertAlign val="subscript"/>
        <sz val="11"/>
        <color theme="1"/>
        <rFont val="Calibri"/>
        <family val="2"/>
        <scheme val="minor"/>
      </rPr>
      <t>stiffenertop_top</t>
    </r>
  </si>
  <si>
    <r>
      <t>Φty * Rnt</t>
    </r>
    <r>
      <rPr>
        <vertAlign val="subscript"/>
        <sz val="11"/>
        <color theme="1"/>
        <rFont val="Calibri"/>
        <family val="2"/>
        <scheme val="minor"/>
      </rPr>
      <t>stiffenertop_top</t>
    </r>
  </si>
  <si>
    <r>
      <t>0.6 * Fy</t>
    </r>
    <r>
      <rPr>
        <vertAlign val="subscript"/>
        <sz val="11"/>
        <color theme="1"/>
        <rFont val="Calibri"/>
        <family val="2"/>
        <scheme val="minor"/>
      </rPr>
      <t>stiffener_top</t>
    </r>
    <r>
      <rPr>
        <sz val="11"/>
        <color theme="1"/>
        <rFont val="Calibri"/>
        <family val="2"/>
        <scheme val="minor"/>
      </rPr>
      <t xml:space="preserve"> * A</t>
    </r>
    <r>
      <rPr>
        <vertAlign val="subscript"/>
        <sz val="11"/>
        <color theme="1"/>
        <rFont val="Calibri"/>
        <family val="2"/>
        <scheme val="minor"/>
      </rPr>
      <t>stiffenertop_top</t>
    </r>
  </si>
  <si>
    <r>
      <t>Φv * Rnv</t>
    </r>
    <r>
      <rPr>
        <vertAlign val="subscript"/>
        <sz val="11"/>
        <color theme="1"/>
        <rFont val="Calibri"/>
        <family val="2"/>
        <scheme val="minor"/>
      </rPr>
      <t>stiffenertop_top</t>
    </r>
  </si>
  <si>
    <r>
      <t>r</t>
    </r>
    <r>
      <rPr>
        <vertAlign val="subscript"/>
        <sz val="11"/>
        <color theme="1"/>
        <rFont val="Calibri"/>
        <family val="2"/>
        <scheme val="minor"/>
      </rPr>
      <t>h_tens_h_top</t>
    </r>
    <r>
      <rPr>
        <sz val="11"/>
        <color theme="1"/>
        <rFont val="Calibri"/>
        <family val="2"/>
        <scheme val="minor"/>
      </rPr>
      <t xml:space="preserve"> / ΦRnt</t>
    </r>
    <r>
      <rPr>
        <vertAlign val="subscript"/>
        <sz val="11"/>
        <color theme="1"/>
        <rFont val="Calibri"/>
        <family val="2"/>
        <scheme val="minor"/>
      </rPr>
      <t>stiffenertop_top</t>
    </r>
    <r>
      <rPr>
        <sz val="11"/>
        <color theme="1"/>
        <rFont val="Calibri"/>
        <family val="2"/>
        <scheme val="minor"/>
      </rPr>
      <t xml:space="preserve"> + (r</t>
    </r>
    <r>
      <rPr>
        <vertAlign val="subscript"/>
        <sz val="11"/>
        <color theme="1"/>
        <rFont val="Calibri"/>
        <family val="2"/>
        <scheme val="minor"/>
      </rPr>
      <t>h_tens_v_top</t>
    </r>
    <r>
      <rPr>
        <sz val="11"/>
        <color theme="1"/>
        <rFont val="Calibri"/>
        <family val="2"/>
        <scheme val="minor"/>
      </rPr>
      <t xml:space="preserve"> / ΦRnv</t>
    </r>
    <r>
      <rPr>
        <vertAlign val="subscript"/>
        <sz val="11"/>
        <color theme="1"/>
        <rFont val="Calibri"/>
        <family val="2"/>
        <scheme val="minor"/>
      </rPr>
      <t>stiffenertop_top</t>
    </r>
    <r>
      <rPr>
        <sz val="11"/>
        <color theme="1"/>
        <rFont val="Calibri"/>
        <family val="2"/>
        <scheme val="minor"/>
      </rPr>
      <t>)</t>
    </r>
    <r>
      <rPr>
        <vertAlign val="superscript"/>
        <sz val="11"/>
        <color theme="1"/>
        <rFont val="Calibri"/>
        <family val="2"/>
        <scheme val="minor"/>
      </rPr>
      <t>2</t>
    </r>
  </si>
  <si>
    <t>Tower Type:</t>
  </si>
  <si>
    <t>TENSION ON U-BOLTS</t>
  </si>
  <si>
    <t>TENSION REQUIRED ON THREADED RODS</t>
  </si>
  <si>
    <r>
      <t>δ</t>
    </r>
    <r>
      <rPr>
        <vertAlign val="subscript"/>
        <sz val="11"/>
        <color theme="1"/>
        <rFont val="Calibri"/>
        <family val="2"/>
      </rPr>
      <t xml:space="preserve">leg_deadload </t>
    </r>
    <r>
      <rPr>
        <sz val="11"/>
        <color theme="1"/>
        <rFont val="Calibri"/>
        <family val="2"/>
      </rPr>
      <t>=</t>
    </r>
  </si>
  <si>
    <r>
      <t>L</t>
    </r>
    <r>
      <rPr>
        <vertAlign val="subscript"/>
        <sz val="11"/>
        <color theme="1"/>
        <rFont val="Calibri"/>
        <family val="2"/>
        <scheme val="minor"/>
      </rPr>
      <t>sp</t>
    </r>
    <r>
      <rPr>
        <sz val="11"/>
        <color theme="1"/>
        <rFont val="Calibri"/>
        <family val="2"/>
        <scheme val="minor"/>
      </rPr>
      <t xml:space="preserve"> =</t>
    </r>
  </si>
  <si>
    <r>
      <t>L</t>
    </r>
    <r>
      <rPr>
        <vertAlign val="subscript"/>
        <sz val="11"/>
        <color theme="1"/>
        <rFont val="Calibri"/>
        <family val="2"/>
        <scheme val="minor"/>
      </rPr>
      <t>leg</t>
    </r>
    <r>
      <rPr>
        <sz val="11"/>
        <color theme="1"/>
        <rFont val="Calibri"/>
        <family val="2"/>
        <scheme val="minor"/>
      </rPr>
      <t xml:space="preserve"> =</t>
    </r>
  </si>
  <si>
    <r>
      <t>P</t>
    </r>
    <r>
      <rPr>
        <vertAlign val="subscript"/>
        <sz val="11"/>
        <color theme="1"/>
        <rFont val="Calibri"/>
        <family val="2"/>
        <scheme val="minor"/>
      </rPr>
      <t>u_0mph</t>
    </r>
    <r>
      <rPr>
        <sz val="11"/>
        <color theme="1"/>
        <rFont val="Calibri"/>
        <family val="2"/>
        <scheme val="minor"/>
      </rPr>
      <t xml:space="preserve"> =</t>
    </r>
  </si>
  <si>
    <r>
      <t>L</t>
    </r>
    <r>
      <rPr>
        <vertAlign val="subscript"/>
        <sz val="11"/>
        <color theme="1"/>
        <rFont val="Calibri"/>
        <family val="2"/>
        <scheme val="minor"/>
      </rPr>
      <t>bolt</t>
    </r>
    <r>
      <rPr>
        <sz val="11"/>
        <color theme="1"/>
        <rFont val="Calibri"/>
        <family val="2"/>
        <scheme val="minor"/>
      </rPr>
      <t xml:space="preserve"> =</t>
    </r>
  </si>
  <si>
    <t>NOTES:</t>
  </si>
  <si>
    <r>
      <t>δ</t>
    </r>
    <r>
      <rPr>
        <vertAlign val="subscript"/>
        <sz val="11"/>
        <color theme="1"/>
        <rFont val="Calibri"/>
        <family val="2"/>
      </rPr>
      <t xml:space="preserve">leg_loadshare </t>
    </r>
    <r>
      <rPr>
        <sz val="11"/>
        <color theme="1"/>
        <rFont val="Calibri"/>
        <family val="2"/>
      </rPr>
      <t>=</t>
    </r>
  </si>
  <si>
    <r>
      <t>δ</t>
    </r>
    <r>
      <rPr>
        <vertAlign val="subscript"/>
        <sz val="11"/>
        <color theme="1"/>
        <rFont val="Calibri"/>
        <family val="2"/>
      </rPr>
      <t xml:space="preserve">sp_loadshare </t>
    </r>
    <r>
      <rPr>
        <sz val="11"/>
        <color theme="1"/>
        <rFont val="Calibri"/>
        <family val="2"/>
      </rPr>
      <t>=</t>
    </r>
  </si>
  <si>
    <r>
      <t>d</t>
    </r>
    <r>
      <rPr>
        <vertAlign val="subscript"/>
        <sz val="11"/>
        <color theme="1"/>
        <rFont val="Calibri"/>
        <family val="2"/>
        <scheme val="minor"/>
      </rPr>
      <t>turn</t>
    </r>
    <r>
      <rPr>
        <sz val="11"/>
        <color theme="1"/>
        <rFont val="Calibri"/>
        <family val="2"/>
        <scheme val="minor"/>
      </rPr>
      <t xml:space="preserve"> =</t>
    </r>
  </si>
  <si>
    <r>
      <t>δ</t>
    </r>
    <r>
      <rPr>
        <vertAlign val="subscript"/>
        <sz val="11"/>
        <color theme="1"/>
        <rFont val="Calibri"/>
        <family val="2"/>
      </rPr>
      <t xml:space="preserve">bolt_loadshare_top </t>
    </r>
    <r>
      <rPr>
        <sz val="11"/>
        <color theme="1"/>
        <rFont val="Calibri"/>
        <family val="2"/>
      </rPr>
      <t>=</t>
    </r>
  </si>
  <si>
    <r>
      <t>δ</t>
    </r>
    <r>
      <rPr>
        <vertAlign val="subscript"/>
        <sz val="11"/>
        <color theme="1"/>
        <rFont val="Calibri"/>
        <family val="2"/>
      </rPr>
      <t xml:space="preserve">total_top </t>
    </r>
    <r>
      <rPr>
        <sz val="11"/>
        <color theme="1"/>
        <rFont val="Calibri"/>
        <family val="2"/>
      </rPr>
      <t>=</t>
    </r>
  </si>
  <si>
    <r>
      <t>Ratio</t>
    </r>
    <r>
      <rPr>
        <vertAlign val="subscript"/>
        <sz val="11"/>
        <color theme="1"/>
        <rFont val="Calibri"/>
        <family val="2"/>
        <scheme val="minor"/>
      </rPr>
      <t>turn_top</t>
    </r>
    <r>
      <rPr>
        <sz val="11"/>
        <color theme="1"/>
        <rFont val="Calibri"/>
        <family val="2"/>
        <scheme val="minor"/>
      </rPr>
      <t xml:space="preserve"> =</t>
    </r>
  </si>
  <si>
    <r>
      <t>Rotation</t>
    </r>
    <r>
      <rPr>
        <vertAlign val="subscript"/>
        <sz val="11"/>
        <color theme="1"/>
        <rFont val="Calibri"/>
        <family val="2"/>
        <scheme val="minor"/>
      </rPr>
      <t>top</t>
    </r>
    <r>
      <rPr>
        <sz val="11"/>
        <color theme="1"/>
        <rFont val="Calibri"/>
        <family val="2"/>
        <scheme val="minor"/>
      </rPr>
      <t xml:space="preserve"> =</t>
    </r>
  </si>
  <si>
    <r>
      <t>Rotation</t>
    </r>
    <r>
      <rPr>
        <vertAlign val="subscript"/>
        <sz val="11"/>
        <color theme="1"/>
        <rFont val="Calibri"/>
        <family val="2"/>
        <scheme val="minor"/>
      </rPr>
      <t>nut_top</t>
    </r>
    <r>
      <rPr>
        <sz val="11"/>
        <color theme="1"/>
        <rFont val="Calibri"/>
        <family val="2"/>
        <scheme val="minor"/>
      </rPr>
      <t xml:space="preserve"> =</t>
    </r>
  </si>
  <si>
    <t>In the existing condition, before the leg is modified, the leg and half pipe are still at their original lengths.
The dead load is acting only on the original leg. Therefore, the half pipe does not deflect yet. We can calculate the deflection of the leg as it compresses due to the dead load. From there, the length of the bolt can be calculated.
After the half pipe is installed onto the leg, the leg will decompress since the half pipe is taking a portion of the load. When the half pipe is installed, the half pipe will compress since it is now taking load. Since the two members will not act as a composite member until the bolts are pretentioned, the deflections for the both the leg and half pipe can be solved.
When the bolts are tightened, they will elongate. We then calculate the elongation of the bolts. This equation is multiplied by 2 in order to account for 2 bolts (at top and bottom of the section) that are in the load path.
Since the leg, half pipe and bolts deflect, we can solve for the total deflection needed in the bolts.
We can then calculate how many turns are required by each nut in order to account for the total deflection. After the bolts are pretensioned, we can then consider the leg and half pipe as one composite member.
EOR to specify rotation of nut in drawings for installation.</t>
  </si>
  <si>
    <r>
      <t>L</t>
    </r>
    <r>
      <rPr>
        <vertAlign val="subscript"/>
        <sz val="11"/>
        <color theme="1"/>
        <rFont val="Calibri"/>
        <family val="2"/>
        <scheme val="minor"/>
      </rPr>
      <t>leg</t>
    </r>
    <r>
      <rPr>
        <sz val="11"/>
        <color theme="1"/>
        <rFont val="Calibri"/>
        <family val="2"/>
        <scheme val="minor"/>
      </rPr>
      <t xml:space="preserve"> - L</t>
    </r>
    <r>
      <rPr>
        <vertAlign val="subscript"/>
        <sz val="11"/>
        <color theme="1"/>
        <rFont val="Calibri"/>
        <family val="2"/>
        <scheme val="minor"/>
      </rPr>
      <t>sp</t>
    </r>
    <r>
      <rPr>
        <sz val="11"/>
        <color theme="1"/>
        <rFont val="Calibri"/>
        <family val="2"/>
        <scheme val="minor"/>
      </rPr>
      <t xml:space="preserve"> - δ</t>
    </r>
    <r>
      <rPr>
        <vertAlign val="subscript"/>
        <sz val="11"/>
        <color theme="1"/>
        <rFont val="Calibri"/>
        <family val="2"/>
        <scheme val="minor"/>
      </rPr>
      <t>leg_deadload</t>
    </r>
  </si>
  <si>
    <r>
      <t>(P</t>
    </r>
    <r>
      <rPr>
        <vertAlign val="subscript"/>
        <sz val="11"/>
        <color theme="1"/>
        <rFont val="Calibri"/>
        <family val="2"/>
        <scheme val="minor"/>
      </rPr>
      <t xml:space="preserve">u_0mph </t>
    </r>
    <r>
      <rPr>
        <sz val="11"/>
        <color theme="1"/>
        <rFont val="Calibri"/>
        <family val="2"/>
        <scheme val="minor"/>
      </rPr>
      <t>* L</t>
    </r>
    <r>
      <rPr>
        <vertAlign val="subscript"/>
        <sz val="11"/>
        <color theme="1"/>
        <rFont val="Calibri"/>
        <family val="2"/>
        <scheme val="minor"/>
      </rPr>
      <t>leg</t>
    </r>
    <r>
      <rPr>
        <sz val="11"/>
        <color theme="1"/>
        <rFont val="Calibri"/>
        <family val="2"/>
        <scheme val="minor"/>
      </rPr>
      <t>) / (A</t>
    </r>
    <r>
      <rPr>
        <vertAlign val="subscript"/>
        <sz val="11"/>
        <color theme="1"/>
        <rFont val="Calibri"/>
        <family val="2"/>
        <scheme val="minor"/>
      </rPr>
      <t xml:space="preserve">leg </t>
    </r>
    <r>
      <rPr>
        <sz val="11"/>
        <color theme="1"/>
        <rFont val="Calibri"/>
        <family val="2"/>
        <scheme val="minor"/>
      </rPr>
      <t>* E)</t>
    </r>
  </si>
  <si>
    <r>
      <t>((P</t>
    </r>
    <r>
      <rPr>
        <vertAlign val="subscript"/>
        <sz val="11"/>
        <color theme="1"/>
        <rFont val="Calibri"/>
        <family val="2"/>
        <scheme val="minor"/>
      </rPr>
      <t xml:space="preserve">u_0mph </t>
    </r>
    <r>
      <rPr>
        <sz val="11"/>
        <color theme="1"/>
        <rFont val="Calibri"/>
        <family val="2"/>
        <scheme val="minor"/>
      </rPr>
      <t>- (P</t>
    </r>
    <r>
      <rPr>
        <vertAlign val="subscript"/>
        <sz val="11"/>
        <color theme="1"/>
        <rFont val="Calibri"/>
        <family val="2"/>
        <scheme val="minor"/>
      </rPr>
      <t xml:space="preserve">u_0mph </t>
    </r>
    <r>
      <rPr>
        <sz val="11"/>
        <color theme="1"/>
        <rFont val="Calibri"/>
        <family val="2"/>
        <scheme val="minor"/>
      </rPr>
      <t>* A</t>
    </r>
    <r>
      <rPr>
        <vertAlign val="subscript"/>
        <sz val="11"/>
        <color theme="1"/>
        <rFont val="Calibri"/>
        <family val="2"/>
        <scheme val="minor"/>
      </rPr>
      <t>leg</t>
    </r>
    <r>
      <rPr>
        <sz val="11"/>
        <color theme="1"/>
        <rFont val="Calibri"/>
        <family val="2"/>
        <scheme val="minor"/>
      </rPr>
      <t>) / A</t>
    </r>
    <r>
      <rPr>
        <vertAlign val="subscript"/>
        <sz val="11"/>
        <color theme="1"/>
        <rFont val="Calibri"/>
        <family val="2"/>
        <scheme val="minor"/>
      </rPr>
      <t>tot</t>
    </r>
    <r>
      <rPr>
        <sz val="11"/>
        <color theme="1"/>
        <rFont val="Calibri"/>
        <family val="2"/>
        <scheme val="minor"/>
      </rPr>
      <t>) * L</t>
    </r>
    <r>
      <rPr>
        <vertAlign val="subscript"/>
        <sz val="11"/>
        <color theme="1"/>
        <rFont val="Calibri"/>
        <family val="2"/>
        <scheme val="minor"/>
      </rPr>
      <t>leg</t>
    </r>
    <r>
      <rPr>
        <sz val="11"/>
        <color theme="1"/>
        <rFont val="Calibri"/>
        <family val="2"/>
        <scheme val="minor"/>
      </rPr>
      <t>) / (A</t>
    </r>
    <r>
      <rPr>
        <vertAlign val="subscript"/>
        <sz val="11"/>
        <color theme="1"/>
        <rFont val="Calibri"/>
        <family val="2"/>
        <scheme val="minor"/>
      </rPr>
      <t xml:space="preserve">leg </t>
    </r>
    <r>
      <rPr>
        <sz val="11"/>
        <color theme="1"/>
        <rFont val="Calibri"/>
        <family val="2"/>
        <scheme val="minor"/>
      </rPr>
      <t>* E)</t>
    </r>
  </si>
  <si>
    <r>
      <t>((P</t>
    </r>
    <r>
      <rPr>
        <vertAlign val="subscript"/>
        <sz val="11"/>
        <color theme="1"/>
        <rFont val="Calibri"/>
        <family val="2"/>
        <scheme val="minor"/>
      </rPr>
      <t xml:space="preserve">u_0mph * </t>
    </r>
    <r>
      <rPr>
        <sz val="11"/>
        <color theme="1"/>
        <rFont val="Calibri"/>
        <family val="2"/>
        <scheme val="minor"/>
      </rPr>
      <t>A</t>
    </r>
    <r>
      <rPr>
        <vertAlign val="subscript"/>
        <sz val="11"/>
        <color theme="1"/>
        <rFont val="Calibri"/>
        <family val="2"/>
        <scheme val="minor"/>
      </rPr>
      <t>rein</t>
    </r>
    <r>
      <rPr>
        <sz val="11"/>
        <color theme="1"/>
        <rFont val="Calibri"/>
        <family val="2"/>
        <scheme val="minor"/>
      </rPr>
      <t>) / A</t>
    </r>
    <r>
      <rPr>
        <vertAlign val="subscript"/>
        <sz val="11"/>
        <color theme="1"/>
        <rFont val="Calibri"/>
        <family val="2"/>
        <scheme val="minor"/>
      </rPr>
      <t xml:space="preserve">tot </t>
    </r>
    <r>
      <rPr>
        <sz val="11"/>
        <color theme="1"/>
        <rFont val="Calibri"/>
        <family val="2"/>
        <scheme val="minor"/>
      </rPr>
      <t>* L</t>
    </r>
    <r>
      <rPr>
        <vertAlign val="subscript"/>
        <sz val="11"/>
        <color theme="1"/>
        <rFont val="Calibri"/>
        <family val="2"/>
        <scheme val="minor"/>
      </rPr>
      <t>leg</t>
    </r>
    <r>
      <rPr>
        <sz val="11"/>
        <color theme="1"/>
        <rFont val="Calibri"/>
        <family val="2"/>
        <scheme val="minor"/>
      </rPr>
      <t>) / (A</t>
    </r>
    <r>
      <rPr>
        <vertAlign val="subscript"/>
        <sz val="11"/>
        <color theme="1"/>
        <rFont val="Calibri"/>
        <family val="2"/>
        <scheme val="minor"/>
      </rPr>
      <t xml:space="preserve">rein </t>
    </r>
    <r>
      <rPr>
        <sz val="11"/>
        <color theme="1"/>
        <rFont val="Calibri"/>
        <family val="2"/>
        <scheme val="minor"/>
      </rPr>
      <t>* E)</t>
    </r>
  </si>
  <si>
    <t>1.0000</t>
  </si>
  <si>
    <r>
      <t>2*((P</t>
    </r>
    <r>
      <rPr>
        <vertAlign val="subscript"/>
        <sz val="11"/>
        <color theme="1"/>
        <rFont val="Calibri"/>
        <family val="2"/>
        <scheme val="minor"/>
      </rPr>
      <t xml:space="preserve">u_0mph </t>
    </r>
    <r>
      <rPr>
        <sz val="11"/>
        <color theme="1"/>
        <rFont val="Calibri"/>
        <family val="2"/>
        <scheme val="minor"/>
      </rPr>
      <t>* A</t>
    </r>
    <r>
      <rPr>
        <vertAlign val="subscript"/>
        <sz val="11"/>
        <color theme="1"/>
        <rFont val="Calibri"/>
        <family val="2"/>
        <scheme val="minor"/>
      </rPr>
      <t>rein</t>
    </r>
    <r>
      <rPr>
        <sz val="11"/>
        <color theme="1"/>
        <rFont val="Calibri"/>
        <family val="2"/>
        <scheme val="minor"/>
      </rPr>
      <t>) / A</t>
    </r>
    <r>
      <rPr>
        <vertAlign val="subscript"/>
        <sz val="11"/>
        <color theme="1"/>
        <rFont val="Calibri"/>
        <family val="2"/>
        <scheme val="minor"/>
      </rPr>
      <t xml:space="preserve">tot </t>
    </r>
    <r>
      <rPr>
        <sz val="11"/>
        <color theme="1"/>
        <rFont val="Calibri"/>
        <family val="2"/>
        <scheme val="minor"/>
      </rPr>
      <t>* L</t>
    </r>
    <r>
      <rPr>
        <vertAlign val="subscript"/>
        <sz val="11"/>
        <color theme="1"/>
        <rFont val="Calibri"/>
        <family val="2"/>
        <scheme val="minor"/>
      </rPr>
      <t>bolt</t>
    </r>
    <r>
      <rPr>
        <sz val="11"/>
        <color theme="1"/>
        <rFont val="Calibri"/>
        <family val="2"/>
        <scheme val="minor"/>
      </rPr>
      <t>) / (A</t>
    </r>
    <r>
      <rPr>
        <vertAlign val="subscript"/>
        <sz val="11"/>
        <color theme="1"/>
        <rFont val="Calibri"/>
        <family val="2"/>
        <scheme val="minor"/>
      </rPr>
      <t>threadedrod_net_top</t>
    </r>
    <r>
      <rPr>
        <sz val="11"/>
        <color theme="1"/>
        <rFont val="Calibri"/>
        <family val="2"/>
        <scheme val="minor"/>
      </rPr>
      <t xml:space="preserve"> * E)</t>
    </r>
  </si>
  <si>
    <r>
      <t>δ</t>
    </r>
    <r>
      <rPr>
        <vertAlign val="subscript"/>
        <sz val="11"/>
        <color theme="1"/>
        <rFont val="Calibri"/>
        <family val="2"/>
        <scheme val="minor"/>
      </rPr>
      <t xml:space="preserve">bolt_loadshare_top </t>
    </r>
    <r>
      <rPr>
        <sz val="11"/>
        <color theme="1"/>
        <rFont val="Calibri"/>
        <family val="2"/>
        <scheme val="minor"/>
      </rPr>
      <t>+ δ</t>
    </r>
    <r>
      <rPr>
        <vertAlign val="subscript"/>
        <sz val="11"/>
        <color theme="1"/>
        <rFont val="Calibri"/>
        <family val="2"/>
        <scheme val="minor"/>
      </rPr>
      <t>sp_loadshare</t>
    </r>
    <r>
      <rPr>
        <sz val="11"/>
        <color theme="1"/>
        <rFont val="Calibri"/>
        <family val="2"/>
        <scheme val="minor"/>
      </rPr>
      <t xml:space="preserve"> + δ</t>
    </r>
    <r>
      <rPr>
        <vertAlign val="subscript"/>
        <sz val="11"/>
        <color theme="1"/>
        <rFont val="Calibri"/>
        <family val="2"/>
        <scheme val="minor"/>
      </rPr>
      <t>leg_loadshare</t>
    </r>
  </si>
  <si>
    <r>
      <t>d</t>
    </r>
    <r>
      <rPr>
        <vertAlign val="subscript"/>
        <sz val="11"/>
        <color theme="1"/>
        <rFont val="Calibri"/>
        <family val="2"/>
        <scheme val="minor"/>
      </rPr>
      <t>turn</t>
    </r>
    <r>
      <rPr>
        <sz val="11"/>
        <color theme="1"/>
        <rFont val="Calibri"/>
        <family val="2"/>
        <scheme val="minor"/>
      </rPr>
      <t xml:space="preserve"> / n</t>
    </r>
    <r>
      <rPr>
        <vertAlign val="subscript"/>
        <sz val="11"/>
        <color theme="1"/>
        <rFont val="Calibri"/>
        <family val="2"/>
        <scheme val="minor"/>
      </rPr>
      <t>threadedrod_threads_top</t>
    </r>
  </si>
  <si>
    <r>
      <t>δ</t>
    </r>
    <r>
      <rPr>
        <vertAlign val="subscript"/>
        <sz val="11"/>
        <color theme="1"/>
        <rFont val="Calibri"/>
        <family val="2"/>
        <scheme val="minor"/>
      </rPr>
      <t>total_top</t>
    </r>
    <r>
      <rPr>
        <sz val="11"/>
        <color theme="1"/>
        <rFont val="Calibri"/>
        <family val="2"/>
        <scheme val="minor"/>
      </rPr>
      <t xml:space="preserve"> / Ratio</t>
    </r>
    <r>
      <rPr>
        <vertAlign val="subscript"/>
        <sz val="11"/>
        <color theme="1"/>
        <rFont val="Calibri"/>
        <family val="2"/>
        <scheme val="minor"/>
      </rPr>
      <t>turn_top</t>
    </r>
  </si>
  <si>
    <t>Deflection of Leg due to Dead Load:</t>
  </si>
  <si>
    <t>Length of Bolt:</t>
  </si>
  <si>
    <t>Deflection Distributed to the Original Tower Leg:</t>
  </si>
  <si>
    <t>Deflection Distributed to the Split Pipe:</t>
  </si>
  <si>
    <t>Elongation of Bolts:</t>
  </si>
  <si>
    <t>Total Deflection in Bolts:</t>
  </si>
  <si>
    <t>Distance Traveled over one Full Turn of Nut (Threads):</t>
  </si>
  <si>
    <t>Required Turn of Nut:</t>
  </si>
  <si>
    <t>Self Support or Guyed</t>
  </si>
  <si>
    <t>Length of Leg (of Tower Section):</t>
  </si>
  <si>
    <t>Physical Length of Split Pipe:</t>
  </si>
  <si>
    <t>Axial Load from Dead Load Combination:</t>
  </si>
  <si>
    <r>
      <t xml:space="preserve">Run analysis software with 0 mph wind speed to obtain axial load from </t>
    </r>
    <r>
      <rPr>
        <i/>
        <sz val="11"/>
        <color theme="1"/>
        <rFont val="Calibri"/>
        <family val="2"/>
        <scheme val="minor"/>
      </rPr>
      <t>only</t>
    </r>
    <r>
      <rPr>
        <sz val="11"/>
        <color theme="1"/>
        <rFont val="Calibri"/>
        <family val="2"/>
        <scheme val="minor"/>
      </rPr>
      <t xml:space="preserve"> the dead load</t>
    </r>
  </si>
  <si>
    <t>Interaction Rating along Length:</t>
  </si>
  <si>
    <t>Interaction Rating along Height:</t>
  </si>
  <si>
    <t>Tension on U-Bolts (kip/bolt):</t>
  </si>
  <si>
    <r>
      <t>r</t>
    </r>
    <r>
      <rPr>
        <vertAlign val="subscript"/>
        <sz val="11"/>
        <color theme="1"/>
        <rFont val="Calibri"/>
        <family val="2"/>
        <scheme val="minor"/>
      </rPr>
      <t>threadedrod_bot</t>
    </r>
    <r>
      <rPr>
        <sz val="11"/>
        <color theme="1"/>
        <rFont val="Calibri"/>
        <family val="2"/>
        <scheme val="minor"/>
      </rPr>
      <t xml:space="preserve"> =</t>
    </r>
  </si>
  <si>
    <t>Radius of Gyration using Gross Dia. of Threaded Rods:</t>
  </si>
  <si>
    <r>
      <t>(K</t>
    </r>
    <r>
      <rPr>
        <vertAlign val="subscript"/>
        <sz val="11"/>
        <color theme="1"/>
        <rFont val="Calibri"/>
        <family val="2"/>
        <scheme val="minor"/>
      </rPr>
      <t xml:space="preserve">threadedrod </t>
    </r>
    <r>
      <rPr>
        <sz val="11"/>
        <color theme="1"/>
        <rFont val="Calibri"/>
        <family val="2"/>
        <scheme val="minor"/>
      </rPr>
      <t>* Lu</t>
    </r>
    <r>
      <rPr>
        <vertAlign val="subscript"/>
        <sz val="11"/>
        <color theme="1"/>
        <rFont val="Calibri"/>
        <family val="2"/>
        <scheme val="minor"/>
      </rPr>
      <t>threadedrod_bot</t>
    </r>
    <r>
      <rPr>
        <sz val="11"/>
        <color theme="1"/>
        <rFont val="Calibri"/>
        <family val="2"/>
        <scheme val="minor"/>
      </rPr>
      <t>) / r</t>
    </r>
    <r>
      <rPr>
        <vertAlign val="subscript"/>
        <sz val="11"/>
        <color theme="1"/>
        <rFont val="Calibri"/>
        <family val="2"/>
        <scheme val="minor"/>
      </rPr>
      <t>threadedrod_bot</t>
    </r>
  </si>
  <si>
    <r>
      <t>r</t>
    </r>
    <r>
      <rPr>
        <vertAlign val="subscript"/>
        <sz val="11"/>
        <color theme="1"/>
        <rFont val="Calibri"/>
        <family val="2"/>
        <scheme val="minor"/>
      </rPr>
      <t xml:space="preserve">threadedrod_top </t>
    </r>
    <r>
      <rPr>
        <sz val="11"/>
        <color theme="1"/>
        <rFont val="Calibri"/>
        <family val="2"/>
        <scheme val="minor"/>
      </rPr>
      <t>=</t>
    </r>
  </si>
  <si>
    <r>
      <t>n</t>
    </r>
    <r>
      <rPr>
        <vertAlign val="subscript"/>
        <sz val="11"/>
        <color theme="1"/>
        <rFont val="Calibri"/>
        <family val="2"/>
        <scheme val="minor"/>
      </rPr>
      <t xml:space="preserve">threadedrod_bot </t>
    </r>
    <r>
      <rPr>
        <sz val="11"/>
        <color theme="1"/>
        <rFont val="Calibri"/>
        <family val="2"/>
        <scheme val="minor"/>
      </rPr>
      <t>* (Φc * Fcr</t>
    </r>
    <r>
      <rPr>
        <vertAlign val="subscript"/>
        <sz val="11"/>
        <color theme="1"/>
        <rFont val="Calibri"/>
        <family val="2"/>
        <scheme val="minor"/>
      </rPr>
      <t>threadedrod_bot</t>
    </r>
    <r>
      <rPr>
        <sz val="11"/>
        <color theme="1"/>
        <rFont val="Calibri"/>
        <family val="2"/>
        <scheme val="minor"/>
      </rPr>
      <t xml:space="preserve"> * A</t>
    </r>
    <r>
      <rPr>
        <vertAlign val="subscript"/>
        <sz val="11"/>
        <color theme="1"/>
        <rFont val="Calibri"/>
        <family val="2"/>
        <scheme val="minor"/>
      </rPr>
      <t>threadedrod_bot</t>
    </r>
    <r>
      <rPr>
        <sz val="11"/>
        <color theme="1"/>
        <rFont val="Calibri"/>
        <family val="2"/>
        <scheme val="minor"/>
      </rPr>
      <t>)</t>
    </r>
  </si>
  <si>
    <r>
      <t>n</t>
    </r>
    <r>
      <rPr>
        <vertAlign val="subscript"/>
        <sz val="11"/>
        <color theme="1"/>
        <rFont val="Calibri"/>
        <family val="2"/>
        <scheme val="minor"/>
      </rPr>
      <t xml:space="preserve">threadedrod_top </t>
    </r>
    <r>
      <rPr>
        <sz val="11"/>
        <color theme="1"/>
        <rFont val="Calibri"/>
        <family val="2"/>
        <scheme val="minor"/>
      </rPr>
      <t>* (Φc * Fcr</t>
    </r>
    <r>
      <rPr>
        <vertAlign val="subscript"/>
        <sz val="11"/>
        <color theme="1"/>
        <rFont val="Calibri"/>
        <family val="2"/>
        <scheme val="minor"/>
      </rPr>
      <t>threadedrod_top</t>
    </r>
    <r>
      <rPr>
        <sz val="11"/>
        <color theme="1"/>
        <rFont val="Calibri"/>
        <family val="2"/>
        <scheme val="minor"/>
      </rPr>
      <t xml:space="preserve"> * A</t>
    </r>
    <r>
      <rPr>
        <vertAlign val="subscript"/>
        <sz val="11"/>
        <color theme="1"/>
        <rFont val="Calibri"/>
        <family val="2"/>
        <scheme val="minor"/>
      </rPr>
      <t>threadedrod_top</t>
    </r>
    <r>
      <rPr>
        <sz val="11"/>
        <color theme="1"/>
        <rFont val="Calibri"/>
        <family val="2"/>
        <scheme val="minor"/>
      </rPr>
      <t>)</t>
    </r>
  </si>
  <si>
    <t>MRP / ADS</t>
  </si>
  <si>
    <t>9.3.1</t>
  </si>
  <si>
    <t>Added checkbox to include/exclude Rev. H Bolt-On Split Pipe Connection Design when printing to PDF. Only appears when the hyperlink to design the connections is visible.</t>
  </si>
  <si>
    <t>9.3.2</t>
  </si>
  <si>
    <t>-Added calcs to limit leg strength to original leg strength. 
-Added logic to use the original leg strength if ai/ri &gt; KL/r Effective in Rev. G and H. Removed logic for "NO GOOD" on the Summary page (Cell P12).
-Added logic on calcs tabs to explicitly show which shape is controlling.</t>
  </si>
  <si>
    <t>DH</t>
  </si>
  <si>
    <t>Fe (ksi) =</t>
  </si>
  <si>
    <t>Fcr (ksi) =</t>
  </si>
  <si>
    <t>Area Effective (in^2) =</t>
  </si>
  <si>
    <t>ORIGINAL LEG CALCS</t>
  </si>
  <si>
    <t>Controlling Shape:</t>
  </si>
  <si>
    <t>&lt;-Uses the original leg strength if E18 shows "Design Rqmts Not Met" or max of D26 and E26 otherwise</t>
  </si>
  <si>
    <t>&lt;- Uses the min of ƒa/Fa from the original and built-up shapes</t>
  </si>
  <si>
    <t>9.3.3</t>
  </si>
  <si>
    <t>Summary: Note for Leg Thickness Input was missing "52" ksi.
Bolt-On Split Pipe: Shifted checkbox for "Set Top of Section Inputs Equal to Bottom of Section Inputs" option down slightly so that it moves with cell when changing the Tower Type again.</t>
  </si>
  <si>
    <t>No</t>
  </si>
  <si>
    <t>Split Pipe Leg Load at Time of Modification</t>
  </si>
  <si>
    <t>EFFECTIVE SLENDERNESS RATIOS</t>
  </si>
  <si>
    <t>Modified Effective Slenderness Ratio of Built-Up Member:</t>
  </si>
  <si>
    <r>
      <t>(KL/r)</t>
    </r>
    <r>
      <rPr>
        <vertAlign val="subscript"/>
        <sz val="11"/>
        <color theme="1"/>
        <rFont val="Calibri"/>
        <family val="2"/>
        <scheme val="minor"/>
      </rPr>
      <t>m</t>
    </r>
    <r>
      <rPr>
        <sz val="11"/>
        <color theme="1"/>
        <rFont val="Calibri"/>
        <family val="2"/>
        <scheme val="minor"/>
      </rPr>
      <t xml:space="preserve"> =</t>
    </r>
  </si>
  <si>
    <t>Effective Slenderness Ratio of Built-Up Member acting as One Unit:</t>
  </si>
  <si>
    <r>
      <t>(KL/r)</t>
    </r>
    <r>
      <rPr>
        <vertAlign val="subscript"/>
        <sz val="11"/>
        <color theme="1"/>
        <rFont val="Calibri"/>
        <family val="2"/>
        <scheme val="minor"/>
      </rPr>
      <t>o</t>
    </r>
    <r>
      <rPr>
        <sz val="11"/>
        <color theme="1"/>
        <rFont val="Calibri"/>
        <family val="2"/>
        <scheme val="minor"/>
      </rPr>
      <t xml:space="preserve"> =</t>
    </r>
  </si>
  <si>
    <t>Effective Slenderness Ratio of Split Pipe Member:</t>
  </si>
  <si>
    <t>Effective Slenderness Ratio of Leg Divided by the Minimum Radius of Gyration about the Axis of Buckling:</t>
  </si>
  <si>
    <r>
      <t>KL/r</t>
    </r>
    <r>
      <rPr>
        <vertAlign val="subscript"/>
        <sz val="11"/>
        <color theme="1"/>
        <rFont val="Calibri"/>
        <family val="2"/>
        <scheme val="minor"/>
      </rPr>
      <t>ib</t>
    </r>
    <r>
      <rPr>
        <sz val="11"/>
        <color theme="1"/>
        <rFont val="Calibri"/>
        <family val="2"/>
        <scheme val="minor"/>
      </rPr>
      <t xml:space="preserve"> =</t>
    </r>
  </si>
  <si>
    <t>Effective Slenderness Ratio of Leg Member:</t>
  </si>
  <si>
    <r>
      <t>KL/r</t>
    </r>
    <r>
      <rPr>
        <vertAlign val="subscript"/>
        <sz val="11"/>
        <color theme="1"/>
        <rFont val="Calibri"/>
        <family val="2"/>
        <scheme val="minor"/>
      </rPr>
      <t>leg</t>
    </r>
    <r>
      <rPr>
        <sz val="11"/>
        <color theme="1"/>
        <rFont val="Calibri"/>
        <family val="2"/>
        <scheme val="minor"/>
      </rPr>
      <t xml:space="preserve"> =</t>
    </r>
  </si>
  <si>
    <r>
      <t>K</t>
    </r>
    <r>
      <rPr>
        <vertAlign val="subscript"/>
        <sz val="11"/>
        <color theme="1"/>
        <rFont val="Calibri"/>
        <family val="2"/>
        <scheme val="minor"/>
      </rPr>
      <t>i</t>
    </r>
    <r>
      <rPr>
        <sz val="11"/>
        <color theme="1"/>
        <rFont val="Calibri"/>
        <family val="2"/>
        <scheme val="minor"/>
      </rPr>
      <t xml:space="preserve"> =</t>
    </r>
  </si>
  <si>
    <r>
      <t>K</t>
    </r>
    <r>
      <rPr>
        <vertAlign val="subscript"/>
        <sz val="11"/>
        <color theme="1"/>
        <rFont val="Calibri"/>
        <family val="2"/>
        <scheme val="minor"/>
      </rPr>
      <t>i</t>
    </r>
    <r>
      <rPr>
        <sz val="11"/>
        <color theme="1"/>
        <rFont val="Calibri"/>
        <family val="2"/>
        <scheme val="minor"/>
      </rPr>
      <t>a</t>
    </r>
    <r>
      <rPr>
        <vertAlign val="subscript"/>
        <sz val="11"/>
        <color theme="1"/>
        <rFont val="Calibri"/>
        <family val="2"/>
        <scheme val="minor"/>
      </rPr>
      <t>i</t>
    </r>
    <r>
      <rPr>
        <sz val="11"/>
        <color theme="1"/>
        <rFont val="Calibri"/>
        <family val="2"/>
        <scheme val="minor"/>
      </rPr>
      <t>/r</t>
    </r>
    <r>
      <rPr>
        <vertAlign val="subscript"/>
        <sz val="11"/>
        <color theme="1"/>
        <rFont val="Calibri"/>
        <family val="2"/>
        <scheme val="minor"/>
      </rPr>
      <t>i</t>
    </r>
    <r>
      <rPr>
        <sz val="11"/>
        <color theme="1"/>
        <rFont val="Calibri"/>
        <family val="2"/>
        <scheme val="minor"/>
      </rPr>
      <t xml:space="preserve"> =</t>
    </r>
  </si>
  <si>
    <t>SLENDERNESS RATIO CHECKS</t>
  </si>
  <si>
    <r>
      <t>Check</t>
    </r>
    <r>
      <rPr>
        <vertAlign val="subscript"/>
        <sz val="11"/>
        <color theme="1"/>
        <rFont val="Calibri"/>
        <family val="2"/>
        <scheme val="minor"/>
      </rPr>
      <t>buckling</t>
    </r>
    <r>
      <rPr>
        <sz val="11"/>
        <color theme="1"/>
        <rFont val="Calibri"/>
        <family val="2"/>
        <scheme val="minor"/>
      </rPr>
      <t xml:space="preserve"> =</t>
    </r>
  </si>
  <si>
    <t>Built-Up Member TIA Check:</t>
  </si>
  <si>
    <t>Check Local Buckling of Split Pipe between Intermediate Connectors:</t>
  </si>
  <si>
    <r>
      <t>Check</t>
    </r>
    <r>
      <rPr>
        <vertAlign val="subscript"/>
        <sz val="11"/>
        <color theme="1"/>
        <rFont val="Calibri"/>
        <family val="2"/>
        <scheme val="minor"/>
      </rPr>
      <t>TIA</t>
    </r>
    <r>
      <rPr>
        <sz val="11"/>
        <color theme="1"/>
        <rFont val="Calibri"/>
        <family val="2"/>
        <scheme val="minor"/>
      </rPr>
      <t xml:space="preserve"> =</t>
    </r>
  </si>
  <si>
    <t>ADJUSTMENT FACTOR FOR TNX</t>
  </si>
  <si>
    <r>
      <t>K</t>
    </r>
    <r>
      <rPr>
        <vertAlign val="subscript"/>
        <sz val="11"/>
        <color theme="1"/>
        <rFont val="Calibri"/>
        <family val="2"/>
        <scheme val="minor"/>
      </rPr>
      <t>TNX</t>
    </r>
    <r>
      <rPr>
        <sz val="11"/>
        <color theme="1"/>
        <rFont val="Calibri"/>
        <family val="2"/>
        <scheme val="minor"/>
      </rPr>
      <t xml:space="preserve"> =</t>
    </r>
  </si>
  <si>
    <t>Leg Adjustment Factor for K value in TNX:</t>
  </si>
  <si>
    <t>FIND CRITICAL BUCKLING STRESS FOR COMPONENTS AND COMPOSITE SECTION</t>
  </si>
  <si>
    <t>LEG</t>
  </si>
  <si>
    <t>SPLIT PIPE</t>
  </si>
  <si>
    <t>COMPOSITE SECTION USING (KL/r)m</t>
  </si>
  <si>
    <r>
      <t>P</t>
    </r>
    <r>
      <rPr>
        <vertAlign val="subscript"/>
        <sz val="11"/>
        <color theme="1"/>
        <rFont val="Calibri"/>
        <family val="2"/>
        <scheme val="minor"/>
      </rPr>
      <t>1</t>
    </r>
    <r>
      <rPr>
        <sz val="11"/>
        <color theme="1"/>
        <rFont val="Calibri"/>
        <family val="2"/>
        <scheme val="minor"/>
      </rPr>
      <t xml:space="preserve"> =</t>
    </r>
  </si>
  <si>
    <t>Effective Yield Strength of Leg:</t>
  </si>
  <si>
    <t>Elastic Buckling Stress of Leg:</t>
  </si>
  <si>
    <t>Critical Buckling Stress of Leg:</t>
  </si>
  <si>
    <t>Effective Yield Strength of Split Pipe:</t>
  </si>
  <si>
    <t>Elastic Buckling Stress of Split Pipe:</t>
  </si>
  <si>
    <t>Critical Buckling Stress of Split Pipe:</t>
  </si>
  <si>
    <t>Critical Buckling Stress of Composite Section:</t>
  </si>
  <si>
    <r>
      <t>P</t>
    </r>
    <r>
      <rPr>
        <vertAlign val="subscript"/>
        <sz val="11"/>
        <color theme="1"/>
        <rFont val="Calibri"/>
        <family val="2"/>
        <scheme val="minor"/>
      </rPr>
      <t>2</t>
    </r>
    <r>
      <rPr>
        <sz val="11"/>
        <color theme="1"/>
        <rFont val="Calibri"/>
        <family val="2"/>
        <scheme val="minor"/>
      </rPr>
      <t xml:space="preserve"> =</t>
    </r>
  </si>
  <si>
    <t>Leg Load at Time of Modification:</t>
  </si>
  <si>
    <t>Compression Force in Modified Leg:</t>
  </si>
  <si>
    <t xml:space="preserve">Run the unmodified tower model in the analysis software with a 0 mph wind speed with no ice and service load combinations to find the leg load at the time of modification and unmodified leg capacity. Tower loading (including loading proposed as part of the modification), guy wire size, and initial tension shall match conditions at the time of modification. </t>
  </si>
  <si>
    <r>
      <t>P</t>
    </r>
    <r>
      <rPr>
        <vertAlign val="subscript"/>
        <sz val="11"/>
        <color theme="1"/>
        <rFont val="Calibri"/>
        <family val="2"/>
        <scheme val="minor"/>
      </rPr>
      <t>3</t>
    </r>
    <r>
      <rPr>
        <sz val="11"/>
        <color theme="1"/>
        <rFont val="Calibri"/>
        <family val="2"/>
        <scheme val="minor"/>
      </rPr>
      <t xml:space="preserve"> =</t>
    </r>
  </si>
  <si>
    <t>Increase in Leg Load:</t>
  </si>
  <si>
    <t>Area of the Original Leg:</t>
  </si>
  <si>
    <t>Area of the Split Pipe:</t>
  </si>
  <si>
    <t>Force in the Original Leg:</t>
  </si>
  <si>
    <r>
      <t>P</t>
    </r>
    <r>
      <rPr>
        <vertAlign val="subscript"/>
        <sz val="11"/>
        <color theme="1"/>
        <rFont val="Calibri"/>
        <family val="2"/>
        <scheme val="minor"/>
      </rPr>
      <t>leg</t>
    </r>
    <r>
      <rPr>
        <sz val="11"/>
        <color theme="1"/>
        <rFont val="Calibri"/>
        <family val="2"/>
        <scheme val="minor"/>
      </rPr>
      <t xml:space="preserve"> =</t>
    </r>
  </si>
  <si>
    <t>Force in the Split Pipe:</t>
  </si>
  <si>
    <r>
      <t>P</t>
    </r>
    <r>
      <rPr>
        <vertAlign val="subscript"/>
        <sz val="11"/>
        <color theme="1"/>
        <rFont val="Calibri"/>
        <family val="2"/>
        <scheme val="minor"/>
      </rPr>
      <t>sp</t>
    </r>
    <r>
      <rPr>
        <sz val="11"/>
        <color theme="1"/>
        <rFont val="Calibri"/>
        <family val="2"/>
        <scheme val="minor"/>
      </rPr>
      <t xml:space="preserve"> =</t>
    </r>
  </si>
  <si>
    <t>FORCES IN EACH COMPONENT</t>
  </si>
  <si>
    <t>Run the modified tower model in the analysis software with design wind and ice loads, including the built-up tower leg section(s) to find the Design Loading P2</t>
  </si>
  <si>
    <t>COMPONENT STRESS RATIOS</t>
  </si>
  <si>
    <t>SR_leg =</t>
  </si>
  <si>
    <t>Check_Leg =</t>
  </si>
  <si>
    <t>SR_sp =</t>
  </si>
  <si>
    <t>Check_sp =</t>
  </si>
  <si>
    <t>SR_comp =</t>
  </si>
  <si>
    <t>Check_comp =</t>
  </si>
  <si>
    <t>Leg Stress Ratio:</t>
  </si>
  <si>
    <t>Split Pipe Stress Ratio:</t>
  </si>
  <si>
    <t>Composite Section Stress Ratio:</t>
  </si>
  <si>
    <t>Leg Stress Check:</t>
  </si>
  <si>
    <t>Split Pipe Stress Check:</t>
  </si>
  <si>
    <t>Composite Section Stress Check:</t>
  </si>
  <si>
    <t>Leg Capacity:</t>
  </si>
  <si>
    <t>Split Pipe Capacity:</t>
  </si>
  <si>
    <t>Composite Section Capacity:</t>
  </si>
  <si>
    <t>TIA-222-H</t>
  </si>
  <si>
    <t>TIA-222-G</t>
  </si>
  <si>
    <t>Column Slenderness Parameter of Leg:</t>
  </si>
  <si>
    <r>
      <t>F'y</t>
    </r>
    <r>
      <rPr>
        <vertAlign val="subscript"/>
        <sz val="11"/>
        <color theme="1"/>
        <rFont val="Calibri"/>
        <family val="2"/>
        <scheme val="minor"/>
      </rPr>
      <t>leg_H</t>
    </r>
    <r>
      <rPr>
        <sz val="11"/>
        <color theme="1"/>
        <rFont val="Calibri"/>
        <family val="2"/>
        <scheme val="minor"/>
      </rPr>
      <t xml:space="preserve"> =</t>
    </r>
  </si>
  <si>
    <r>
      <t>Fe</t>
    </r>
    <r>
      <rPr>
        <vertAlign val="subscript"/>
        <sz val="11"/>
        <color theme="1"/>
        <rFont val="Calibri"/>
        <family val="2"/>
        <scheme val="minor"/>
      </rPr>
      <t>leg_H</t>
    </r>
    <r>
      <rPr>
        <sz val="11"/>
        <color theme="1"/>
        <rFont val="Calibri"/>
        <family val="2"/>
        <scheme val="minor"/>
      </rPr>
      <t xml:space="preserve"> =</t>
    </r>
  </si>
  <si>
    <r>
      <t>Fcr</t>
    </r>
    <r>
      <rPr>
        <vertAlign val="subscript"/>
        <sz val="11"/>
        <color theme="1"/>
        <rFont val="Calibri"/>
        <family val="2"/>
        <scheme val="minor"/>
      </rPr>
      <t>leg_H</t>
    </r>
    <r>
      <rPr>
        <sz val="11"/>
        <color theme="1"/>
        <rFont val="Calibri"/>
        <family val="2"/>
        <scheme val="minor"/>
      </rPr>
      <t xml:space="preserve"> =</t>
    </r>
  </si>
  <si>
    <r>
      <t>F'y</t>
    </r>
    <r>
      <rPr>
        <vertAlign val="subscript"/>
        <sz val="11"/>
        <color theme="1"/>
        <rFont val="Calibri"/>
        <family val="2"/>
        <scheme val="minor"/>
      </rPr>
      <t>leg_G</t>
    </r>
    <r>
      <rPr>
        <sz val="11"/>
        <color theme="1"/>
        <rFont val="Calibri"/>
        <family val="2"/>
        <scheme val="minor"/>
      </rPr>
      <t xml:space="preserve"> =</t>
    </r>
  </si>
  <si>
    <r>
      <t>F'y</t>
    </r>
    <r>
      <rPr>
        <vertAlign val="subscript"/>
        <sz val="11"/>
        <color theme="1"/>
        <rFont val="Calibri"/>
        <family val="2"/>
        <scheme val="minor"/>
      </rPr>
      <t>sp_H</t>
    </r>
    <r>
      <rPr>
        <sz val="11"/>
        <color theme="1"/>
        <rFont val="Calibri"/>
        <family val="2"/>
        <scheme val="minor"/>
      </rPr>
      <t xml:space="preserve"> =</t>
    </r>
  </si>
  <si>
    <r>
      <t>Fe</t>
    </r>
    <r>
      <rPr>
        <vertAlign val="subscript"/>
        <sz val="11"/>
        <color theme="1"/>
        <rFont val="Calibri"/>
        <family val="2"/>
        <scheme val="minor"/>
      </rPr>
      <t>sp_H</t>
    </r>
    <r>
      <rPr>
        <sz val="11"/>
        <color theme="1"/>
        <rFont val="Calibri"/>
        <family val="2"/>
        <scheme val="minor"/>
      </rPr>
      <t xml:space="preserve"> =</t>
    </r>
  </si>
  <si>
    <r>
      <t>Fcr</t>
    </r>
    <r>
      <rPr>
        <vertAlign val="subscript"/>
        <sz val="11"/>
        <color theme="1"/>
        <rFont val="Calibri"/>
        <family val="2"/>
        <scheme val="minor"/>
      </rPr>
      <t>sp_H</t>
    </r>
    <r>
      <rPr>
        <sz val="11"/>
        <color theme="1"/>
        <rFont val="Calibri"/>
        <family val="2"/>
        <scheme val="minor"/>
      </rPr>
      <t xml:space="preserve"> =</t>
    </r>
  </si>
  <si>
    <r>
      <t>Fcr</t>
    </r>
    <r>
      <rPr>
        <vertAlign val="subscript"/>
        <sz val="11"/>
        <color theme="1"/>
        <rFont val="Calibri"/>
        <family val="2"/>
        <scheme val="minor"/>
      </rPr>
      <t>comp_H</t>
    </r>
    <r>
      <rPr>
        <sz val="11"/>
        <color theme="1"/>
        <rFont val="Calibri"/>
        <family val="2"/>
        <scheme val="minor"/>
      </rPr>
      <t xml:space="preserve"> =</t>
    </r>
  </si>
  <si>
    <r>
      <t>Fcr</t>
    </r>
    <r>
      <rPr>
        <vertAlign val="subscript"/>
        <sz val="11"/>
        <color theme="1"/>
        <rFont val="Calibri"/>
        <family val="2"/>
        <scheme val="minor"/>
      </rPr>
      <t>leg_G</t>
    </r>
    <r>
      <rPr>
        <sz val="11"/>
        <color theme="1"/>
        <rFont val="Calibri"/>
        <family val="2"/>
        <scheme val="minor"/>
      </rPr>
      <t xml:space="preserve"> =</t>
    </r>
  </si>
  <si>
    <r>
      <t>F'y</t>
    </r>
    <r>
      <rPr>
        <vertAlign val="subscript"/>
        <sz val="11"/>
        <color theme="1"/>
        <rFont val="Calibri"/>
        <family val="2"/>
        <scheme val="minor"/>
      </rPr>
      <t>sp_G</t>
    </r>
    <r>
      <rPr>
        <sz val="11"/>
        <color theme="1"/>
        <rFont val="Calibri"/>
        <family val="2"/>
        <scheme val="minor"/>
      </rPr>
      <t xml:space="preserve"> =</t>
    </r>
  </si>
  <si>
    <r>
      <t>λ</t>
    </r>
    <r>
      <rPr>
        <vertAlign val="subscript"/>
        <sz val="11"/>
        <color theme="1"/>
        <rFont val="Calibri"/>
        <family val="2"/>
      </rPr>
      <t>csp_G</t>
    </r>
    <r>
      <rPr>
        <sz val="11"/>
        <color theme="1"/>
        <rFont val="Calibri"/>
        <family val="2"/>
      </rPr>
      <t xml:space="preserve"> =</t>
    </r>
  </si>
  <si>
    <r>
      <t>Fcr</t>
    </r>
    <r>
      <rPr>
        <vertAlign val="subscript"/>
        <sz val="11"/>
        <color theme="1"/>
        <rFont val="Calibri"/>
        <family val="2"/>
        <scheme val="minor"/>
      </rPr>
      <t>sp_G</t>
    </r>
    <r>
      <rPr>
        <sz val="11"/>
        <color theme="1"/>
        <rFont val="Calibri"/>
        <family val="2"/>
        <scheme val="minor"/>
      </rPr>
      <t xml:space="preserve"> =</t>
    </r>
  </si>
  <si>
    <r>
      <t>λ</t>
    </r>
    <r>
      <rPr>
        <vertAlign val="subscript"/>
        <sz val="11"/>
        <color theme="1"/>
        <rFont val="Calibri"/>
        <family val="2"/>
      </rPr>
      <t>cleg_G</t>
    </r>
    <r>
      <rPr>
        <sz val="11"/>
        <color theme="1"/>
        <rFont val="Calibri"/>
        <family val="2"/>
      </rPr>
      <t xml:space="preserve"> =</t>
    </r>
  </si>
  <si>
    <r>
      <t>Fcr</t>
    </r>
    <r>
      <rPr>
        <vertAlign val="subscript"/>
        <sz val="11"/>
        <color theme="1"/>
        <rFont val="Calibri"/>
        <family val="2"/>
        <scheme val="minor"/>
      </rPr>
      <t>comp_G</t>
    </r>
    <r>
      <rPr>
        <sz val="11"/>
        <color theme="1"/>
        <rFont val="Calibri"/>
        <family val="2"/>
        <scheme val="minor"/>
      </rPr>
      <t xml:space="preserve"> =</t>
    </r>
  </si>
  <si>
    <t>TIA-222-F</t>
  </si>
  <si>
    <r>
      <t>Fa</t>
    </r>
    <r>
      <rPr>
        <vertAlign val="subscript"/>
        <sz val="11"/>
        <color theme="1"/>
        <rFont val="Calibri"/>
        <family val="2"/>
        <scheme val="minor"/>
      </rPr>
      <t>leg_F</t>
    </r>
    <r>
      <rPr>
        <sz val="11"/>
        <color theme="1"/>
        <rFont val="Calibri"/>
        <family val="2"/>
        <scheme val="minor"/>
      </rPr>
      <t xml:space="preserve"> =</t>
    </r>
  </si>
  <si>
    <t>Column Slenderness Ratio of Leg:</t>
  </si>
  <si>
    <r>
      <t>C</t>
    </r>
    <r>
      <rPr>
        <vertAlign val="subscript"/>
        <sz val="11"/>
        <color theme="1"/>
        <rFont val="Calibri"/>
        <family val="2"/>
        <scheme val="minor"/>
      </rPr>
      <t>c_leg_F</t>
    </r>
    <r>
      <rPr>
        <sz val="11"/>
        <color theme="1"/>
        <rFont val="Calibri"/>
        <family val="2"/>
        <scheme val="minor"/>
      </rPr>
      <t xml:space="preserve"> =</t>
    </r>
  </si>
  <si>
    <t>Column Slenderness Parameter of Split Pipe:</t>
  </si>
  <si>
    <t>Column Slenderness Ratio of Split Pipe:</t>
  </si>
  <si>
    <t>Allowable Stress of Split Pipe:</t>
  </si>
  <si>
    <t>Allowable Stress of Leg:</t>
  </si>
  <si>
    <r>
      <t>C</t>
    </r>
    <r>
      <rPr>
        <vertAlign val="subscript"/>
        <sz val="11"/>
        <color theme="1"/>
        <rFont val="Calibri"/>
        <family val="2"/>
        <scheme val="minor"/>
      </rPr>
      <t>c_sp_F</t>
    </r>
    <r>
      <rPr>
        <sz val="11"/>
        <color theme="1"/>
        <rFont val="Calibri"/>
        <family val="2"/>
        <scheme val="minor"/>
      </rPr>
      <t xml:space="preserve"> =</t>
    </r>
  </si>
  <si>
    <r>
      <t>Fa</t>
    </r>
    <r>
      <rPr>
        <vertAlign val="subscript"/>
        <sz val="11"/>
        <color theme="1"/>
        <rFont val="Calibri"/>
        <family val="2"/>
        <scheme val="minor"/>
      </rPr>
      <t>sp_F</t>
    </r>
    <r>
      <rPr>
        <sz val="11"/>
        <color theme="1"/>
        <rFont val="Calibri"/>
        <family val="2"/>
        <scheme val="minor"/>
      </rPr>
      <t xml:space="preserve"> =</t>
    </r>
  </si>
  <si>
    <t>Allowable Stress of Composite Section:</t>
  </si>
  <si>
    <r>
      <t>Fa</t>
    </r>
    <r>
      <rPr>
        <vertAlign val="subscript"/>
        <sz val="11"/>
        <color theme="1"/>
        <rFont val="Calibri"/>
        <family val="2"/>
        <scheme val="minor"/>
      </rPr>
      <t>comp_F</t>
    </r>
    <r>
      <rPr>
        <sz val="11"/>
        <color theme="1"/>
        <rFont val="Calibri"/>
        <family val="2"/>
        <scheme val="minor"/>
      </rPr>
      <t xml:space="preserve"> =</t>
    </r>
  </si>
  <si>
    <t>Effective Length Factor for Split Pipe Member:</t>
  </si>
  <si>
    <r>
      <t>Split Pipe K</t>
    </r>
    <r>
      <rPr>
        <vertAlign val="subscript"/>
        <sz val="10"/>
        <color theme="1"/>
        <rFont val="Arial"/>
        <family val="2"/>
      </rPr>
      <t>i</t>
    </r>
    <r>
      <rPr>
        <sz val="10"/>
        <color theme="1"/>
        <rFont val="Arial"/>
        <family val="2"/>
      </rPr>
      <t xml:space="preserve"> Factor Override:</t>
    </r>
  </si>
  <si>
    <r>
      <t>Dead Load, P</t>
    </r>
    <r>
      <rPr>
        <vertAlign val="subscript"/>
        <sz val="10"/>
        <rFont val="Arial"/>
        <family val="2"/>
      </rPr>
      <t>dead</t>
    </r>
    <r>
      <rPr>
        <sz val="10"/>
        <rFont val="Arial"/>
        <family val="2"/>
      </rPr>
      <t>:</t>
    </r>
  </si>
  <si>
    <t>Hide?</t>
  </si>
  <si>
    <t>IF(KL_ro&lt;=KL_rib,"OK","Insufficient")</t>
  </si>
  <si>
    <t>IF(Kai_ri&lt;=0.75*KL_ro,"OK","Insufficient")</t>
  </si>
  <si>
    <t>KL_rm/KL_ro</t>
  </si>
  <si>
    <t>'Rev. H'!$L$3</t>
  </si>
  <si>
    <r>
      <t>(</t>
    </r>
    <r>
      <rPr>
        <sz val="11"/>
        <color theme="1"/>
        <rFont val="Calibri"/>
        <family val="2"/>
      </rPr>
      <t>π</t>
    </r>
    <r>
      <rPr>
        <sz val="11"/>
        <color theme="1"/>
        <rFont val="Calibri"/>
        <family val="2"/>
        <scheme val="minor"/>
      </rPr>
      <t>^2*E)/KL_rleg^2</t>
    </r>
  </si>
  <si>
    <t>'Rev. G'!$L$3</t>
  </si>
  <si>
    <r>
      <t>(KL_rleg/</t>
    </r>
    <r>
      <rPr>
        <sz val="11"/>
        <color theme="1"/>
        <rFont val="Calibri"/>
        <family val="2"/>
      </rPr>
      <t>π</t>
    </r>
    <r>
      <rPr>
        <sz val="11"/>
        <color theme="1"/>
        <rFont val="Calibri"/>
        <family val="2"/>
        <scheme val="minor"/>
      </rPr>
      <t>)*SQRT(F\y_leg_G/E)</t>
    </r>
  </si>
  <si>
    <r>
      <t>SQRT((2*</t>
    </r>
    <r>
      <rPr>
        <sz val="11"/>
        <color theme="1"/>
        <rFont val="Calibri"/>
        <family val="2"/>
      </rPr>
      <t>π</t>
    </r>
    <r>
      <rPr>
        <sz val="11"/>
        <color theme="1"/>
        <rFont val="Calibri"/>
        <family val="2"/>
        <scheme val="minor"/>
      </rPr>
      <t>^2*E)/'Rev. F'!$K$3)</t>
    </r>
  </si>
  <si>
    <t>'Rev. H'!$L$4</t>
  </si>
  <si>
    <r>
      <t>(</t>
    </r>
    <r>
      <rPr>
        <sz val="11"/>
        <color theme="1"/>
        <rFont val="Calibri"/>
        <family val="2"/>
      </rPr>
      <t>π</t>
    </r>
    <r>
      <rPr>
        <sz val="11"/>
        <color theme="1"/>
        <rFont val="Calibri"/>
        <family val="2"/>
        <scheme val="minor"/>
      </rPr>
      <t>^2*E)/Kai_ri^2</t>
    </r>
  </si>
  <si>
    <t>'Rev. G'!$L$4</t>
  </si>
  <si>
    <r>
      <t>(Kai_ri/</t>
    </r>
    <r>
      <rPr>
        <sz val="11"/>
        <color theme="1"/>
        <rFont val="Calibri"/>
        <family val="2"/>
      </rPr>
      <t>π</t>
    </r>
    <r>
      <rPr>
        <sz val="11"/>
        <color theme="1"/>
        <rFont val="Calibri"/>
        <family val="2"/>
        <scheme val="minor"/>
      </rPr>
      <t>)*SQRT(F\y_sp_G/E)</t>
    </r>
  </si>
  <si>
    <r>
      <t>SQRT((2*</t>
    </r>
    <r>
      <rPr>
        <sz val="11"/>
        <color theme="1"/>
        <rFont val="Calibri"/>
        <family val="2"/>
      </rPr>
      <t>π</t>
    </r>
    <r>
      <rPr>
        <sz val="11"/>
        <color theme="1"/>
        <rFont val="Calibri"/>
        <family val="2"/>
        <scheme val="minor"/>
      </rPr>
      <t>^2*E)/'Rev. F'!$K$4)</t>
    </r>
  </si>
  <si>
    <t>'Rev. H'!$D$23</t>
  </si>
  <si>
    <t>'Rev. G'!$D$26</t>
  </si>
  <si>
    <t>'Rev. F'!$D$28</t>
  </si>
  <si>
    <r>
      <t>P</t>
    </r>
    <r>
      <rPr>
        <vertAlign val="subscript"/>
        <sz val="11"/>
        <color theme="1"/>
        <rFont val="Calibri"/>
        <family val="2"/>
        <scheme val="minor"/>
      </rPr>
      <t>2</t>
    </r>
    <r>
      <rPr>
        <sz val="11"/>
        <color theme="1"/>
        <rFont val="Calibri"/>
        <family val="2"/>
        <scheme val="minor"/>
      </rPr>
      <t xml:space="preserve"> - P</t>
    </r>
    <r>
      <rPr>
        <vertAlign val="subscript"/>
        <sz val="11"/>
        <color theme="1"/>
        <rFont val="Calibri"/>
        <family val="2"/>
        <scheme val="minor"/>
      </rPr>
      <t>1</t>
    </r>
  </si>
  <si>
    <r>
      <t>A</t>
    </r>
    <r>
      <rPr>
        <vertAlign val="subscript"/>
        <sz val="11"/>
        <color theme="1"/>
        <rFont val="Calibri"/>
        <family val="2"/>
        <scheme val="minor"/>
      </rPr>
      <t>sp</t>
    </r>
  </si>
  <si>
    <r>
      <t>P</t>
    </r>
    <r>
      <rPr>
        <vertAlign val="subscript"/>
        <sz val="11"/>
        <color theme="1"/>
        <rFont val="Calibri"/>
        <family val="2"/>
        <scheme val="minor"/>
      </rPr>
      <t>1</t>
    </r>
    <r>
      <rPr>
        <sz val="11"/>
        <color theme="1"/>
        <rFont val="Calibri"/>
        <family val="2"/>
        <scheme val="minor"/>
      </rPr>
      <t xml:space="preserve"> + P</t>
    </r>
    <r>
      <rPr>
        <vertAlign val="subscript"/>
        <sz val="11"/>
        <color theme="1"/>
        <rFont val="Calibri"/>
        <family val="2"/>
        <scheme val="minor"/>
      </rPr>
      <t>3</t>
    </r>
    <r>
      <rPr>
        <sz val="11"/>
        <color theme="1"/>
        <rFont val="Calibri"/>
        <family val="2"/>
        <scheme val="minor"/>
      </rPr>
      <t xml:space="preserve"> * (A</t>
    </r>
    <r>
      <rPr>
        <vertAlign val="subscript"/>
        <sz val="11"/>
        <color theme="1"/>
        <rFont val="Calibri"/>
        <family val="2"/>
        <scheme val="minor"/>
      </rPr>
      <t>leg</t>
    </r>
    <r>
      <rPr>
        <sz val="11"/>
        <color theme="1"/>
        <rFont val="Calibri"/>
        <family val="2"/>
        <scheme val="minor"/>
      </rPr>
      <t xml:space="preserve"> / (A</t>
    </r>
    <r>
      <rPr>
        <vertAlign val="subscript"/>
        <sz val="11"/>
        <color theme="1"/>
        <rFont val="Calibri"/>
        <family val="2"/>
        <scheme val="minor"/>
      </rPr>
      <t>leg</t>
    </r>
    <r>
      <rPr>
        <sz val="11"/>
        <color theme="1"/>
        <rFont val="Calibri"/>
        <family val="2"/>
        <scheme val="minor"/>
      </rPr>
      <t xml:space="preserve"> + A</t>
    </r>
    <r>
      <rPr>
        <vertAlign val="subscript"/>
        <sz val="11"/>
        <color theme="1"/>
        <rFont val="Calibri"/>
        <family val="2"/>
        <scheme val="minor"/>
      </rPr>
      <t>sp</t>
    </r>
    <r>
      <rPr>
        <sz val="11"/>
        <color theme="1"/>
        <rFont val="Calibri"/>
        <family val="2"/>
        <scheme val="minor"/>
      </rPr>
      <t>))</t>
    </r>
  </si>
  <si>
    <r>
      <t>P</t>
    </r>
    <r>
      <rPr>
        <vertAlign val="subscript"/>
        <sz val="11"/>
        <color theme="1"/>
        <rFont val="Calibri"/>
        <family val="2"/>
        <scheme val="minor"/>
      </rPr>
      <t>3</t>
    </r>
    <r>
      <rPr>
        <sz val="11"/>
        <color theme="1"/>
        <rFont val="Calibri"/>
        <family val="2"/>
        <scheme val="minor"/>
      </rPr>
      <t xml:space="preserve"> * (A</t>
    </r>
    <r>
      <rPr>
        <vertAlign val="subscript"/>
        <sz val="11"/>
        <color theme="1"/>
        <rFont val="Calibri"/>
        <family val="2"/>
        <scheme val="minor"/>
      </rPr>
      <t>sp</t>
    </r>
    <r>
      <rPr>
        <sz val="11"/>
        <color theme="1"/>
        <rFont val="Calibri"/>
        <family val="2"/>
        <scheme val="minor"/>
      </rPr>
      <t xml:space="preserve"> / (A</t>
    </r>
    <r>
      <rPr>
        <vertAlign val="subscript"/>
        <sz val="11"/>
        <color theme="1"/>
        <rFont val="Calibri"/>
        <family val="2"/>
        <scheme val="minor"/>
      </rPr>
      <t>leg</t>
    </r>
    <r>
      <rPr>
        <sz val="11"/>
        <color theme="1"/>
        <rFont val="Calibri"/>
        <family val="2"/>
        <scheme val="minor"/>
      </rPr>
      <t xml:space="preserve"> + A</t>
    </r>
    <r>
      <rPr>
        <vertAlign val="subscript"/>
        <sz val="11"/>
        <color theme="1"/>
        <rFont val="Calibri"/>
        <family val="2"/>
        <scheme val="minor"/>
      </rPr>
      <t>sp</t>
    </r>
    <r>
      <rPr>
        <sz val="11"/>
        <color theme="1"/>
        <rFont val="Calibri"/>
        <family val="2"/>
        <scheme val="minor"/>
      </rPr>
      <t>))</t>
    </r>
  </si>
  <si>
    <t>(Pleg/ΦPn_leg)/(IF(AND(TIA="H",Section15.5=TRUE),1.05,IF(AND(TIA&lt;&gt;"H",LoadZNormalization=TRUE),1.05,1)))</t>
  </si>
  <si>
    <t>(Psp/ΦPn_sp)/(IF(AND(TIA="H",Section15.5=TRUE),1.05,IF(AND(TIA&lt;&gt;"H",LoadZNormalization=TRUE),1.05,1)))</t>
  </si>
  <si>
    <t>(P_2/ΦPn_comp)/(IF(AND(TIA="H",Section15.5=TRUE),1.05,IF(AND(TIA&lt;&gt;"H",LoadZNormalization=TRUE),1.05,1)))</t>
  </si>
  <si>
    <t>SPLIT PIPE LEG LOAD AT TIME OF MODIFICATION REPORT</t>
  </si>
  <si>
    <t xml:space="preserve">BU#: </t>
  </si>
  <si>
    <t xml:space="preserve">Site Name: </t>
  </si>
  <si>
    <t>Slenderness Ratios</t>
  </si>
  <si>
    <t>Local Buckling of Split Pipe between Intermediate Connectors:</t>
  </si>
  <si>
    <t>Demand (kip)</t>
  </si>
  <si>
    <t>Capacity (kip)</t>
  </si>
  <si>
    <t>Original Leg</t>
  </si>
  <si>
    <t>Built-Up Section</t>
  </si>
  <si>
    <t>Component</t>
  </si>
  <si>
    <t>TNX K Factor Adjustment</t>
  </si>
  <si>
    <t>Yes</t>
  </si>
  <si>
    <t>Consider Leg Load at Time of Modification:</t>
  </si>
  <si>
    <t>9.4.0</t>
  </si>
  <si>
    <t>KL/rib</t>
  </si>
  <si>
    <t>Ratio:</t>
  </si>
  <si>
    <t>Added logic to align with ENG-MAP-10383 Split Pipe Design Methodology:
     • Summary
          o Added Tower Type Input
               o Guyed input allows the user to consider splitting the axial load between the leg and the split pipe to account for dead load in the leg at the time of the modification.
          o Added Consider Leg Load at Time of Modification Input
               o Input for both analysis and design of split pipe to be in line with ENG-MAP-10383. Unless the Exceptions of the document are met, the default should be “Yes” for Guyed towers.
          o Added Ki Split Pipe Effective Length Factor Input
               o Input may be used when the spacing requirements of an existing modification are not met. Refer to ENG-MAP-10383 for Exceptions. Input will appear only when Spacing Req reads “Exceeded”.
          o Added Dead Load Input
               o Required input to split the axial load between the leg and the split pipe to account for dead load in the leg at the time of the modification. Used on both the Leg Load at Time of Mod and Bolt-On Split Pipe Connections tabs. Will appear when the Tower Type is Guyed. 
     • Leg Load at Time of Mod
          o Added tab with calculations pertaining to the MAP document. If the Consider Leg Load at Time of Modification input is "Yes" and the Tower Type is "Guyed", this tab will become visible and the maximum rating of the built-up leg member or the individual components is reported on the Summary tab.
     • Rev. H, G, and F sheets
          o Added logic for the Split Pipe exceptions as listed in the MAP document.
               o If a Ki factor is input, it overrides the typical factors. This is only applied to the ai/ri spacing requirement check.
               o Added logic to use the minimum ratio of the results of (KL/r)m and the KL/r of the unmodified leg if the spacing ratio &lt;= 0.75, use KL/rib if the spacing ratio is &gt; 0.75 and &lt;= 1.0, and the KL/r of the unmodified tower leg if the spacing ratio exceeds 1.0.</t>
  </si>
  <si>
    <t>MemberMatFile=STEEL_GRADE</t>
  </si>
  <si>
    <t>A572-50</t>
  </si>
  <si>
    <t>Summary</t>
  </si>
  <si>
    <t>T1</t>
  </si>
  <si>
    <t>T2</t>
  </si>
  <si>
    <t>T3</t>
  </si>
  <si>
    <t>T4</t>
  </si>
  <si>
    <t>T5</t>
  </si>
  <si>
    <t>T6</t>
  </si>
  <si>
    <t>T7</t>
  </si>
  <si>
    <t>T8</t>
  </si>
  <si>
    <t>T9</t>
  </si>
  <si>
    <t>T10</t>
  </si>
  <si>
    <t>T11</t>
  </si>
  <si>
    <t>SECTION</t>
  </si>
  <si>
    <t>Section</t>
  </si>
  <si>
    <t>Top Leg Elevation (ft)</t>
  </si>
  <si>
    <t>Bottom Leg Elevation (ft)</t>
  </si>
  <si>
    <t>Area</t>
  </si>
  <si>
    <t>Pu</t>
  </si>
  <si>
    <t>ERI File:</t>
  </si>
  <si>
    <t>T12</t>
  </si>
  <si>
    <t>T13</t>
  </si>
  <si>
    <t>T14</t>
  </si>
  <si>
    <t>T15</t>
  </si>
  <si>
    <t>T16</t>
  </si>
  <si>
    <t>T17</t>
  </si>
  <si>
    <t>T18</t>
  </si>
  <si>
    <t>T19</t>
  </si>
  <si>
    <t>Perimeter</t>
  </si>
  <si>
    <t>Width</t>
  </si>
  <si>
    <t>File=ARSHAPE</t>
  </si>
  <si>
    <t>T20</t>
  </si>
  <si>
    <t>T21</t>
  </si>
  <si>
    <t>T22</t>
  </si>
  <si>
    <t>T23</t>
  </si>
  <si>
    <t>T24</t>
  </si>
  <si>
    <t>Leg Design Data (Compression)</t>
  </si>
  <si>
    <t>T25</t>
  </si>
  <si>
    <t>T26</t>
  </si>
  <si>
    <t>T27</t>
  </si>
  <si>
    <t>T28</t>
  </si>
  <si>
    <t>T29</t>
  </si>
  <si>
    <t>T30</t>
  </si>
  <si>
    <t>T31</t>
  </si>
  <si>
    <t>T32</t>
  </si>
  <si>
    <t>T33</t>
  </si>
  <si>
    <t>T34</t>
  </si>
  <si>
    <t>T35</t>
  </si>
  <si>
    <t>T36</t>
  </si>
  <si>
    <t>T37</t>
  </si>
  <si>
    <t>T38</t>
  </si>
  <si>
    <t>T39</t>
  </si>
  <si>
    <t>T40</t>
  </si>
  <si>
    <t>T41</t>
  </si>
  <si>
    <t>T42</t>
  </si>
  <si>
    <t>T43</t>
  </si>
  <si>
    <t>T44</t>
  </si>
  <si>
    <t>T45</t>
  </si>
  <si>
    <t>T46</t>
  </si>
  <si>
    <t>T47</t>
  </si>
  <si>
    <t>T48</t>
  </si>
  <si>
    <t>T49</t>
  </si>
  <si>
    <t>T50</t>
  </si>
  <si>
    <t>T51</t>
  </si>
  <si>
    <t>T52</t>
  </si>
  <si>
    <t>T53</t>
  </si>
  <si>
    <t>T54</t>
  </si>
  <si>
    <t>T55</t>
  </si>
  <si>
    <t>T56</t>
  </si>
  <si>
    <t>T57</t>
  </si>
  <si>
    <t>T58</t>
  </si>
  <si>
    <t>T59</t>
  </si>
  <si>
    <t>T60</t>
  </si>
  <si>
    <t>T61</t>
  </si>
  <si>
    <t>T62</t>
  </si>
  <si>
    <t>T63</t>
  </si>
  <si>
    <t>T64</t>
  </si>
  <si>
    <t>T65</t>
  </si>
  <si>
    <t>T66</t>
  </si>
  <si>
    <t>T67</t>
  </si>
  <si>
    <t>T68</t>
  </si>
  <si>
    <t>T69</t>
  </si>
  <si>
    <t>T70</t>
  </si>
  <si>
    <t>T71</t>
  </si>
  <si>
    <t>T72</t>
  </si>
  <si>
    <t>T73</t>
  </si>
  <si>
    <t>T74</t>
  </si>
  <si>
    <t>T75</t>
  </si>
  <si>
    <t>T76</t>
  </si>
  <si>
    <t>T77</t>
  </si>
  <si>
    <t>T78</t>
  </si>
  <si>
    <t>T79</t>
  </si>
  <si>
    <t>T80</t>
  </si>
  <si>
    <t>T81</t>
  </si>
  <si>
    <t>T82</t>
  </si>
  <si>
    <t>T83</t>
  </si>
  <si>
    <t>T84</t>
  </si>
  <si>
    <t>T85</t>
  </si>
  <si>
    <t>T86</t>
  </si>
  <si>
    <t>T87</t>
  </si>
  <si>
    <t>T88</t>
  </si>
  <si>
    <t>T89</t>
  </si>
  <si>
    <t>T90</t>
  </si>
  <si>
    <t>T91</t>
  </si>
  <si>
    <t>T92</t>
  </si>
  <si>
    <t>T93</t>
  </si>
  <si>
    <t>T94</t>
  </si>
  <si>
    <t>T95</t>
  </si>
  <si>
    <t>T96</t>
  </si>
  <si>
    <t>T97</t>
  </si>
  <si>
    <t>T98</t>
  </si>
  <si>
    <t>T99</t>
  </si>
  <si>
    <t>T100</t>
  </si>
  <si>
    <t>T101</t>
  </si>
  <si>
    <t>T102</t>
  </si>
  <si>
    <t>T103</t>
  </si>
  <si>
    <t>T104</t>
  </si>
  <si>
    <t>T105</t>
  </si>
  <si>
    <t>T106</t>
  </si>
  <si>
    <t>T107</t>
  </si>
  <si>
    <t>T108</t>
  </si>
  <si>
    <t>T109</t>
  </si>
  <si>
    <t>T110</t>
  </si>
  <si>
    <t>T111</t>
  </si>
  <si>
    <t>T112</t>
  </si>
  <si>
    <t>T113</t>
  </si>
  <si>
    <t>T114</t>
  </si>
  <si>
    <t>T115</t>
  </si>
  <si>
    <t>T116</t>
  </si>
  <si>
    <t>T117</t>
  </si>
  <si>
    <t>T118</t>
  </si>
  <si>
    <t>T119</t>
  </si>
  <si>
    <t>T120</t>
  </si>
  <si>
    <t>T121</t>
  </si>
  <si>
    <t>T122</t>
  </si>
  <si>
    <t>T123</t>
  </si>
  <si>
    <t>T124</t>
  </si>
  <si>
    <t>T125</t>
  </si>
  <si>
    <t>T126</t>
  </si>
  <si>
    <t>T127</t>
  </si>
  <si>
    <t>T128</t>
  </si>
  <si>
    <t>T129</t>
  </si>
  <si>
    <t>T130</t>
  </si>
  <si>
    <t>T131</t>
  </si>
  <si>
    <t>T132</t>
  </si>
  <si>
    <t>T133</t>
  </si>
  <si>
    <t>T134</t>
  </si>
  <si>
    <t>T135</t>
  </si>
  <si>
    <t>T136</t>
  </si>
  <si>
    <t>T137</t>
  </si>
  <si>
    <t>T138</t>
  </si>
  <si>
    <t>T139</t>
  </si>
  <si>
    <t>T140</t>
  </si>
  <si>
    <t>T141</t>
  </si>
  <si>
    <t>T142</t>
  </si>
  <si>
    <t>T143</t>
  </si>
  <si>
    <t>T144</t>
  </si>
  <si>
    <t>T145</t>
  </si>
  <si>
    <t>T146</t>
  </si>
  <si>
    <t>T147</t>
  </si>
  <si>
    <t>T148</t>
  </si>
  <si>
    <t>T149</t>
  </si>
  <si>
    <t>T150</t>
  </si>
  <si>
    <t>T151</t>
  </si>
  <si>
    <t>T152</t>
  </si>
  <si>
    <t>T153</t>
  </si>
  <si>
    <t>T154</t>
  </si>
  <si>
    <t>T155</t>
  </si>
  <si>
    <t>T156</t>
  </si>
  <si>
    <t>T157</t>
  </si>
  <si>
    <t>T158</t>
  </si>
  <si>
    <t>T159</t>
  </si>
  <si>
    <t>T160</t>
  </si>
  <si>
    <t>T161</t>
  </si>
  <si>
    <t>T162</t>
  </si>
  <si>
    <t>T163</t>
  </si>
  <si>
    <t>T164</t>
  </si>
  <si>
    <t>T165</t>
  </si>
  <si>
    <t>T166</t>
  </si>
  <si>
    <t>T167</t>
  </si>
  <si>
    <t>T168</t>
  </si>
  <si>
    <t>T169</t>
  </si>
  <si>
    <t>T170</t>
  </si>
  <si>
    <t>T171</t>
  </si>
  <si>
    <t>T172</t>
  </si>
  <si>
    <t>T173</t>
  </si>
  <si>
    <t>T174</t>
  </si>
  <si>
    <t>T175</t>
  </si>
  <si>
    <t>T176</t>
  </si>
  <si>
    <t>T177</t>
  </si>
  <si>
    <t>T178</t>
  </si>
  <si>
    <t>T179</t>
  </si>
  <si>
    <t>T180</t>
  </si>
  <si>
    <t>T181</t>
  </si>
  <si>
    <t>T182</t>
  </si>
  <si>
    <t>T183</t>
  </si>
  <si>
    <t>T184</t>
  </si>
  <si>
    <t>T185</t>
  </si>
  <si>
    <t>T186</t>
  </si>
  <si>
    <t>T187</t>
  </si>
  <si>
    <t>T188</t>
  </si>
  <si>
    <t>T189</t>
  </si>
  <si>
    <t>T190</t>
  </si>
  <si>
    <t>T191</t>
  </si>
  <si>
    <t>T192</t>
  </si>
  <si>
    <t>T193</t>
  </si>
  <si>
    <t>T194</t>
  </si>
  <si>
    <t>T195</t>
  </si>
  <si>
    <t>T196</t>
  </si>
  <si>
    <t>T197</t>
  </si>
  <si>
    <t>T198</t>
  </si>
  <si>
    <t>T199</t>
  </si>
  <si>
    <t>T200</t>
  </si>
  <si>
    <t>Pu (kip) [Dead Load]</t>
  </si>
  <si>
    <t>WIND LOAD</t>
  </si>
  <si>
    <t>Pu (Dead Load)</t>
  </si>
  <si>
    <t>Pu (Wind Load)</t>
  </si>
  <si>
    <t>Pu (kip) [Wind Load]</t>
  </si>
  <si>
    <t/>
  </si>
  <si>
    <t>DEAD LOAD</t>
  </si>
  <si>
    <t>Unit</t>
  </si>
  <si>
    <t>K,lb,T</t>
  </si>
  <si>
    <t>Tower Type</t>
  </si>
  <si>
    <t>Range</t>
  </si>
  <si>
    <t>List</t>
  </si>
  <si>
    <t>ReinType</t>
  </si>
  <si>
    <t>TIA Rev.</t>
  </si>
  <si>
    <t>TowerTypeInput</t>
  </si>
  <si>
    <t>TIA</t>
  </si>
  <si>
    <t>ConsiderLegLoadatTimeofMod</t>
  </si>
  <si>
    <t>EndConnections</t>
  </si>
  <si>
    <t>LegCrushing</t>
  </si>
  <si>
    <t>AppliedLoad</t>
  </si>
  <si>
    <t>SlendernessRatioInput</t>
  </si>
  <si>
    <t>IntermediateConnectionType</t>
  </si>
  <si>
    <t>ai</t>
  </si>
  <si>
    <t>Dleg</t>
  </si>
  <si>
    <t>Tleg</t>
  </si>
  <si>
    <t>Gleg</t>
  </si>
  <si>
    <t>Lu_leg</t>
  </si>
  <si>
    <t>Diameter</t>
  </si>
  <si>
    <t>Trein</t>
  </si>
  <si>
    <t>Grein</t>
  </si>
  <si>
    <t>Pdead</t>
  </si>
  <si>
    <t>Lleg</t>
  </si>
  <si>
    <t>Lsp</t>
  </si>
  <si>
    <t>QuantityofFlangeBoltsInput_Bot</t>
  </si>
  <si>
    <t>BoltCircleInput_Bot</t>
  </si>
  <si>
    <t>BoltOrientationInput_Bot</t>
  </si>
  <si>
    <t>QuantityofFlangeBoltsInput_Top</t>
  </si>
  <si>
    <t>BoltCircleInput_Top</t>
  </si>
  <si>
    <t>BoltOrientationInput_Top</t>
  </si>
  <si>
    <t>ThreadedRodSizeInput_Bot</t>
  </si>
  <si>
    <t>ThreadedRodMaterialInput_Bot</t>
  </si>
  <si>
    <t>QuantityofThreadedRodsInput_Bot</t>
  </si>
  <si>
    <t>UnbracedLengthofThreadedRodsInput_Bot</t>
  </si>
  <si>
    <t>ThreadedRodSizeInput_Top</t>
  </si>
  <si>
    <t>ThreadedRodMaterialInput_Top</t>
  </si>
  <si>
    <t>QuantityofThreadedRodsInput_Top</t>
  </si>
  <si>
    <t>UnbracedLengthofThreadedRodsInput_Top</t>
  </si>
  <si>
    <t>HeightofStiffenersInput_Bot</t>
  </si>
  <si>
    <t>LengthofStiffenersInput_Bot</t>
  </si>
  <si>
    <t>FilletWeldSizeInput_Bot</t>
  </si>
  <si>
    <t>ElectrodeStrengthInput_Bot</t>
  </si>
  <si>
    <t>FlangeThicknessInput_Bot</t>
  </si>
  <si>
    <t>HeightofStiffenersInput_Top</t>
  </si>
  <si>
    <t>LengthofStiffenersInput_Top</t>
  </si>
  <si>
    <t>FilletWeldSizeInput_Top</t>
  </si>
  <si>
    <t>ElectrodeStrengthInput_Top</t>
  </si>
  <si>
    <t>FlangeThicknessInput_Top</t>
  </si>
  <si>
    <t>Bolt-On Connections</t>
  </si>
  <si>
    <t>PrintBoltOnConnectionInfo</t>
  </si>
  <si>
    <t>Pu_Import</t>
  </si>
  <si>
    <t>Pdead_Import</t>
  </si>
  <si>
    <t>SetTopToBottom</t>
  </si>
  <si>
    <t>TowerType_Import</t>
  </si>
  <si>
    <t>DataStored</t>
  </si>
  <si>
    <t>TIA_Import_Column</t>
  </si>
  <si>
    <t>Height</t>
  </si>
  <si>
    <t>Modulus</t>
  </si>
  <si>
    <t>Density</t>
  </si>
  <si>
    <t>QaQs</t>
  </si>
  <si>
    <t>Cw</t>
  </si>
  <si>
    <t>J</t>
  </si>
  <si>
    <t>rx</t>
  </si>
  <si>
    <t>ry</t>
  </si>
  <si>
    <t>SFx</t>
  </si>
  <si>
    <t>pcf</t>
  </si>
  <si>
    <t>in³</t>
  </si>
  <si>
    <r>
      <t>in</t>
    </r>
    <r>
      <rPr>
        <vertAlign val="superscript"/>
        <sz val="11"/>
        <color theme="1"/>
        <rFont val="Calibri"/>
        <family val="2"/>
        <scheme val="minor"/>
      </rPr>
      <t>6</t>
    </r>
  </si>
  <si>
    <r>
      <t>in</t>
    </r>
    <r>
      <rPr>
        <vertAlign val="superscript"/>
        <sz val="11"/>
        <color theme="1"/>
        <rFont val="Calibri"/>
        <family val="2"/>
        <scheme val="minor"/>
      </rPr>
      <t>4</t>
    </r>
  </si>
  <si>
    <t>TowerLegType=</t>
  </si>
  <si>
    <t>TowerLegMatlGrade=</t>
  </si>
  <si>
    <t>TowerLegGrade=</t>
  </si>
  <si>
    <t>ARBITRARY SHAPE SECTION PROPERTIES</t>
  </si>
  <si>
    <t>US_Name</t>
  </si>
  <si>
    <t>SI_Name</t>
  </si>
  <si>
    <t>WindProj.</t>
  </si>
  <si>
    <t>Sx_top</t>
  </si>
  <si>
    <t>Sx_bot</t>
  </si>
  <si>
    <t>Sy_top</t>
  </si>
  <si>
    <t>Sy_bot</t>
  </si>
  <si>
    <t>SFy</t>
  </si>
  <si>
    <t>KFactorAdjustment</t>
  </si>
  <si>
    <t>File</t>
  </si>
  <si>
    <t>USName</t>
  </si>
  <si>
    <t>SIName</t>
  </si>
  <si>
    <t>Values</t>
  </si>
  <si>
    <t>TowerKLegs=</t>
  </si>
  <si>
    <t>TowerLegSize=</t>
  </si>
  <si>
    <t>Material Grade</t>
  </si>
  <si>
    <t>A572-60</t>
  </si>
  <si>
    <t>A572-65</t>
  </si>
  <si>
    <t>Assumed Material Name in TNX Database</t>
  </si>
  <si>
    <t>A53-B-35</t>
  </si>
  <si>
    <t>A500-42</t>
  </si>
  <si>
    <t>A572-55</t>
  </si>
  <si>
    <t>A500-46</t>
  </si>
  <si>
    <t>TNX RECORD INFO</t>
  </si>
  <si>
    <t>TowerRec=</t>
  </si>
  <si>
    <t>TNX SECTION DATABASE INFO</t>
  </si>
  <si>
    <t>TNX MATERIAL DATABASE INFO</t>
  </si>
  <si>
    <t>TNX SECTION INFO</t>
  </si>
  <si>
    <t>TNX MATERIAL INFO</t>
  </si>
  <si>
    <t>Material</t>
  </si>
  <si>
    <t>Fy_Material</t>
  </si>
  <si>
    <t>Fu_Material</t>
  </si>
  <si>
    <t>MemberMatFile</t>
  </si>
  <si>
    <t>MatName</t>
  </si>
  <si>
    <t>MatValue</t>
  </si>
  <si>
    <t>Section Count</t>
  </si>
  <si>
    <t>Required_Inputs_Complete</t>
  </si>
  <si>
    <t>GLOBAL</t>
  </si>
  <si>
    <t>10.0.0</t>
  </si>
  <si>
    <t>Create Leg Reinforcement?</t>
  </si>
  <si>
    <t>*estimated using an average of Height and Width times PI. TNX uses this value as an approximate method for considering ice accumulation around the member.</t>
  </si>
  <si>
    <t>Wind Load Report File:</t>
  </si>
  <si>
    <t>Dead Load Report File:</t>
  </si>
  <si>
    <t>Created Leg Reinforcement Name</t>
  </si>
  <si>
    <t>NAVIGATION</t>
  </si>
  <si>
    <t>Ki_Override</t>
  </si>
  <si>
    <t>Fixed</t>
  </si>
  <si>
    <t>A</t>
  </si>
  <si>
    <t>(KL/r)o</t>
  </si>
  <si>
    <t>Fcr</t>
  </si>
  <si>
    <t>Φ =</t>
  </si>
  <si>
    <t>Φ Pn =</t>
  </si>
  <si>
    <t>Fe</t>
  </si>
  <si>
    <t>Goal Seek a K factor to set the composite shape's capacity equal to the original leg's capacity. (Only if the Original Leg Controls)</t>
  </si>
  <si>
    <t>Cc</t>
  </si>
  <si>
    <t>Fa</t>
  </si>
  <si>
    <t>Pa</t>
  </si>
  <si>
    <t>• Created IMPORT worksheet
     o Added ERI import
     o  Added RTF import
     o  Added ERI export that creates the Arbitrary Shapes, assigns material grades, and applies K factors in a new ERI file based on user-specified inputs in this tool
• Created Database of stored user-inputs that is referenced to toggle between multiple sections and create the modified ERI file
• Optimized workchange event coding. Images will update once all necessary inputs are complete, decreasing lag time while completing all inputs.</t>
  </si>
  <si>
    <t>Row</t>
  </si>
  <si>
    <t>Lookup</t>
  </si>
  <si>
    <t>TowerHeight=</t>
  </si>
  <si>
    <t>Last Row</t>
  </si>
  <si>
    <t>TowerSectionLength=</t>
  </si>
  <si>
    <t>Top Elevation (ft)</t>
  </si>
  <si>
    <t>Bottom Elevation (ft)</t>
  </si>
  <si>
    <t>Total Lookup</t>
  </si>
  <si>
    <t>Find Character position of "="</t>
  </si>
  <si>
    <t>10.0.1</t>
  </si>
  <si>
    <t>Revision'!A:A</t>
  </si>
  <si>
    <t>Note: The Revision can be a single cell range or multiple cells in a single column range.</t>
  </si>
  <si>
    <t>Notes</t>
  </si>
  <si>
    <t>Default Sheet Name</t>
  </si>
  <si>
    <t>Acceptable Formats</t>
  </si>
  <si>
    <t>Example</t>
  </si>
  <si>
    <t>Sheet Name'!Address</t>
  </si>
  <si>
    <t>Revision History!E1:E1 or 'Revision History'!E1:E1</t>
  </si>
  <si>
    <t>Sheet Name'!Named_Range</t>
  </si>
  <si>
    <t>Revision History!Revision or Revision History!E1:E1</t>
  </si>
  <si>
    <t>Named_Range</t>
  </si>
  <si>
    <t>This method will only work for globaly defined ranges</t>
  </si>
  <si>
    <r>
      <t xml:space="preserve">The default sheet name is optional for each row. If it is specified, you don't need to enter the sheet name for each version. However, if you do enter a sheet name for a specific version, it will supercede the default sheet name. </t>
    </r>
    <r>
      <rPr>
        <b/>
        <sz val="11"/>
        <color theme="1"/>
        <rFont val="Calibri"/>
        <family val="2"/>
        <scheme val="minor"/>
      </rPr>
      <t>This feature is not compatible with global (workbook scope) ranges, it should only be used with ranges on a specific sheet.</t>
    </r>
  </si>
  <si>
    <t>TNX File</t>
  </si>
  <si>
    <t>TNX RTF</t>
  </si>
  <si>
    <t>Database Bolt-On Connections</t>
  </si>
  <si>
    <t>Database Arbitrary Shape</t>
  </si>
  <si>
    <t>A:A</t>
  </si>
  <si>
    <t>Database</t>
  </si>
  <si>
    <t>IMPORT</t>
  </si>
  <si>
    <t>H17:H216</t>
  </si>
  <si>
    <t>Note: search term is not case-sensitive</t>
  </si>
  <si>
    <t>Leg Reinforcement</t>
  </si>
  <si>
    <t>A:Z</t>
  </si>
  <si>
    <t>BU</t>
  </si>
  <si>
    <t>Site Name</t>
  </si>
  <si>
    <t>Order</t>
  </si>
  <si>
    <t>D3:E3</t>
  </si>
  <si>
    <t>D4:E4</t>
  </si>
  <si>
    <t>D5:E5</t>
  </si>
  <si>
    <t>Section15.5</t>
  </si>
  <si>
    <t>LoadZNormalization</t>
  </si>
  <si>
    <t>U1:U1</t>
  </si>
  <si>
    <t>U2:U2</t>
  </si>
  <si>
    <t>U4:U203</t>
  </si>
  <si>
    <t>AR4:AR203</t>
  </si>
  <si>
    <t>V4:W203</t>
  </si>
  <si>
    <t>AP4:AQ203</t>
  </si>
  <si>
    <t>BD2:BE201</t>
  </si>
  <si>
    <t>RTF Parse Applied Loads</t>
  </si>
  <si>
    <t>TNX RTF Parse</t>
  </si>
  <si>
    <t>TNX File Path</t>
  </si>
  <si>
    <t>Wind Load Report Path</t>
  </si>
  <si>
    <t>Dead Load Report Path</t>
  </si>
  <si>
    <t>D8:J8</t>
  </si>
  <si>
    <t>D10:J10</t>
  </si>
  <si>
    <t>D12:J12</t>
  </si>
  <si>
    <t>• Added Import Functionality for previous versions
• VBA/Print Combined PDF
          o Removed reference to Adobe Acrobat and revised code to create generic object. Previously the Acrobat reference was preventing the VBA from functioning properly on machines without Acrobat.
• Summary
          o Restored hyperlink reference to the Bolt-On Split Pipe Connection sheet.
• Database
          o Revised logic to ensure the Bolt-On Connection data is stored for the active section when manually toggling from one section to another, prior to loading stored data from the selected section.
• Bolt-On Split Pipe Connections
          o Removed the reference to Rev. H's Section 15.5 Divide by 1.05 to limit the design calculations to 100% independent from the application of Section 15.5 to the split pipe design/analysis.</t>
  </si>
  <si>
    <t>MatName=A500-46</t>
  </si>
  <si>
    <t>MatValues=46000 62000 29000000 11200000 6.5e-006 0.283565999</t>
  </si>
  <si>
    <t>10.0.2</t>
  </si>
  <si>
    <t>V4:V203</t>
  </si>
  <si>
    <t>AS4:AS203</t>
  </si>
  <si>
    <t>W4:X203</t>
  </si>
  <si>
    <t>AQ4:AR203</t>
  </si>
  <si>
    <t>• VBA/Database
          o Edited logic to prevent data for one tower section saving to the database for another tower section. This could have occurred if a tower section is later added between modified sections already saved to the database. That scenario would have been apparent in the output.
          o Added logic so that the image updates for each tower section when printing the combined PDF.</t>
  </si>
  <si>
    <t>10.0.3</t>
  </si>
  <si>
    <t>A570-40</t>
  </si>
  <si>
    <t>• VBA/Database
          o Updated workchange event to show Ki Override input for Split Pipe, regardless of spacing requirement.
          o Any workchange event changes the DataStored value to False until the data is stored again.
• Summary
          o Edited boolean logic for all inputs complete so that it does not rely on the Leg Load at Time of Mod input to be nonblank.
• Ref
          o Added 40ksi yield strength steel. Assumes A570-40 if creating ERI file.</t>
  </si>
  <si>
    <t>Last Header</t>
  </si>
  <si>
    <t>10.0.4</t>
  </si>
  <si>
    <t>Database Summary (w/o loads 1)</t>
  </si>
  <si>
    <t>Database Summary (w/o loads 2)</t>
  </si>
  <si>
    <t>Y4:AP203</t>
  </si>
  <si>
    <t>X4:AO203</t>
  </si>
  <si>
    <t>Database Summary (w/o loads 3)</t>
  </si>
  <si>
    <t>Database Summary (loads 1)</t>
  </si>
  <si>
    <t>Database Summary (loads 2)</t>
  </si>
  <si>
    <t>AT4:BT203</t>
  </si>
  <si>
    <t>AS4:BS203</t>
  </si>
  <si>
    <t>BV4:CR203</t>
  </si>
  <si>
    <t>BU4:CQ203</t>
  </si>
  <si>
    <t>Database TNX Sections</t>
  </si>
  <si>
    <t>CS4:CV203</t>
  </si>
  <si>
    <t>CR4:CU203</t>
  </si>
  <si>
    <t>Database TNX Materials</t>
  </si>
  <si>
    <t>CW4:CY203</t>
  </si>
  <si>
    <t>CV4:CX203</t>
  </si>
  <si>
    <t>USName=P 2.375in x 0.154in w/ 1/2HSS 2.875in x 0.276in</t>
  </si>
  <si>
    <t>SIName=P 2.375in x 0.154in w/ 1/2HSS 2.875in x 0.276in</t>
  </si>
  <si>
    <t>Values=2.875 2.87213154391943 2.20130140599975 1.4894949839493 1.6278644921346 0 0 1.33149415909056 1.31455192425747 0.518085211808451 1 1 2.875 9.02757311879572 1 1 29000000 1 0.856499401222252 0.518085211808451 0.822583070358689 0.859942413810592 0.283564814814815</t>
  </si>
  <si>
    <t>104.8ft - 84.8ft</t>
  </si>
  <si>
    <t>• VBA/Database
          o Updated Import Inputs code for importing inputs from versions 10.0.0 and 10.0.1. Changes made to the database for version 10.0.2 requires a conversion to copy data from a row in the older versions into the current row housing that data.
          o Revised logic for Import Inputs to set database range as values, to ensure numeric values are not stored as strings.
          o Edited code in case K factor is reported as Original Leg Controls and inputs are copied into another section, the calculated K factor will copy.
          o Minor additional logic to update image, hyperlinks, and reported plastic neutral axis when loading data into summary, preventing the need to call a workchange event.
          o Added code to refer to the current directory when importing .RTF and .ERI.</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</si>
</sst>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164" formatCode="0.0%"/>
    <numFmt numFmtId="165" formatCode="0.000"/>
    <numFmt numFmtId="166" formatCode="0.0"/>
    <numFmt numFmtId="167" formatCode="0.0000"/>
  </numFmts>
  <fonts count="74" x14ac:knownFonts="1">
    <font>
      <sz val="11"/>
      <color theme="1"/>
      <name val="Calibri"/>
      <family val="2"/>
      <scheme val="minor"/>
    </font>
    <font>
      <sz val="10"/>
      <name val="Arial"/>
      <family val="2"/>
    </font>
    <font>
      <b/>
      <sz val="10"/>
      <name val="Arial"/>
      <family val="2"/>
    </font>
    <font>
      <sz val="10"/>
      <name val="Arial"/>
      <family val="2"/>
    </font>
    <font>
      <i/>
      <sz val="10"/>
      <name val="Arial"/>
      <family val="2"/>
    </font>
    <font>
      <vertAlign val="superscript"/>
      <sz val="10"/>
      <name val="Arial"/>
      <family val="2"/>
    </font>
    <font>
      <sz val="11"/>
      <color theme="1"/>
      <name val="Calibri"/>
      <family val="2"/>
      <scheme val="minor"/>
    </font>
    <font>
      <b/>
      <sz val="11"/>
      <color theme="1"/>
      <name val="Calibri"/>
      <family val="2"/>
      <scheme val="minor"/>
    </font>
    <font>
      <sz val="11"/>
      <color theme="1"/>
      <name val="Arial"/>
      <family val="2"/>
    </font>
    <font>
      <b/>
      <sz val="14"/>
      <color theme="1"/>
      <name val="Arial"/>
      <family val="2"/>
    </font>
    <font>
      <sz val="8"/>
      <color theme="1"/>
      <name val="Arial"/>
      <family val="2"/>
    </font>
    <font>
      <sz val="11"/>
      <color theme="1"/>
      <name val="Symbol"/>
      <family val="1"/>
      <charset val="2"/>
    </font>
    <font>
      <sz val="10"/>
      <color theme="1"/>
      <name val="Arial"/>
      <family val="2"/>
    </font>
    <font>
      <sz val="10"/>
      <color rgb="FFFF0000"/>
      <name val="Arial"/>
      <family val="2"/>
    </font>
    <font>
      <b/>
      <sz val="10"/>
      <color theme="1"/>
      <name val="Arial"/>
      <family val="2"/>
    </font>
    <font>
      <sz val="10"/>
      <color theme="1"/>
      <name val="GreekS"/>
    </font>
    <font>
      <vertAlign val="subscript"/>
      <sz val="10"/>
      <color theme="1"/>
      <name val="Arial"/>
      <family val="2"/>
    </font>
    <font>
      <b/>
      <u/>
      <sz val="14"/>
      <color theme="1"/>
      <name val="Arial"/>
      <family val="2"/>
    </font>
    <font>
      <vertAlign val="subscript"/>
      <sz val="10"/>
      <name val="Arial"/>
      <family val="2"/>
    </font>
    <font>
      <sz val="10"/>
      <color theme="0"/>
      <name val="Arial"/>
      <family val="2"/>
    </font>
    <font>
      <sz val="11"/>
      <color theme="0"/>
      <name val="Arial"/>
      <family val="2"/>
    </font>
    <font>
      <sz val="11"/>
      <color rgb="FFFF0000"/>
      <name val="Arial"/>
      <family val="2"/>
    </font>
    <font>
      <sz val="9"/>
      <color indexed="81"/>
      <name val="Tahoma"/>
      <family val="2"/>
    </font>
    <font>
      <b/>
      <sz val="9"/>
      <color indexed="81"/>
      <name val="Tahoma"/>
      <family val="2"/>
    </font>
    <font>
      <vertAlign val="superscript"/>
      <sz val="11"/>
      <color theme="1"/>
      <name val="Arial"/>
      <family val="2"/>
    </font>
    <font>
      <sz val="11"/>
      <name val="Arial"/>
      <family val="2"/>
    </font>
    <font>
      <vertAlign val="superscript"/>
      <sz val="11"/>
      <name val="Arial"/>
      <family val="2"/>
    </font>
    <font>
      <b/>
      <sz val="11"/>
      <name val="Arial"/>
      <family val="2"/>
    </font>
    <font>
      <b/>
      <sz val="11"/>
      <color theme="1"/>
      <name val="Calibri"/>
      <family val="2"/>
    </font>
    <font>
      <b/>
      <sz val="11"/>
      <color theme="0"/>
      <name val="Calibri"/>
      <family val="2"/>
      <scheme val="minor"/>
    </font>
    <font>
      <b/>
      <sz val="10"/>
      <color theme="0"/>
      <name val="Arial"/>
      <family val="2"/>
    </font>
    <font>
      <b/>
      <vertAlign val="superscript"/>
      <sz val="11"/>
      <color theme="0"/>
      <name val="Calibri"/>
      <family val="2"/>
    </font>
    <font>
      <b/>
      <sz val="11"/>
      <color theme="0"/>
      <name val="Calibri"/>
      <family val="2"/>
    </font>
    <font>
      <b/>
      <vertAlign val="superscript"/>
      <sz val="10"/>
      <color theme="0"/>
      <name val="Arial"/>
      <family val="2"/>
    </font>
    <font>
      <b/>
      <vertAlign val="subscript"/>
      <sz val="10"/>
      <color theme="0"/>
      <name val="Arial"/>
      <family val="2"/>
    </font>
    <font>
      <vertAlign val="subscript"/>
      <sz val="11"/>
      <color theme="1"/>
      <name val="Calibri"/>
      <family val="2"/>
      <scheme val="minor"/>
    </font>
    <font>
      <sz val="8"/>
      <color theme="0"/>
      <name val="Arial"/>
      <family val="2"/>
    </font>
    <font>
      <b/>
      <sz val="10"/>
      <color rgb="FFFF0000"/>
      <name val="Arial"/>
      <family val="2"/>
    </font>
    <font>
      <i/>
      <sz val="11"/>
      <color theme="1"/>
      <name val="Calibri"/>
      <family val="2"/>
      <scheme val="minor"/>
    </font>
    <font>
      <sz val="11"/>
      <color theme="1"/>
      <name val="Calibri"/>
      <family val="2"/>
    </font>
    <font>
      <vertAlign val="subscript"/>
      <sz val="11"/>
      <color theme="1"/>
      <name val="Calibri"/>
      <family val="2"/>
    </font>
    <font>
      <b/>
      <sz val="11"/>
      <color rgb="FFFF0000"/>
      <name val="Calibri"/>
      <family val="2"/>
      <scheme val="minor"/>
    </font>
    <font>
      <b/>
      <i/>
      <sz val="11"/>
      <color theme="1"/>
      <name val="Calibri"/>
      <family val="2"/>
      <scheme val="minor"/>
    </font>
    <font>
      <b/>
      <vertAlign val="subscript"/>
      <sz val="11"/>
      <color theme="1"/>
      <name val="Calibri"/>
      <family val="2"/>
      <scheme val="minor"/>
    </font>
    <font>
      <vertAlign val="superscript"/>
      <sz val="11"/>
      <color theme="1"/>
      <name val="Calibri"/>
      <family val="2"/>
      <scheme val="minor"/>
    </font>
    <font>
      <b/>
      <vertAlign val="subscript"/>
      <sz val="11"/>
      <color theme="1"/>
      <name val="Calibri"/>
      <family val="2"/>
    </font>
    <font>
      <sz val="14.3"/>
      <color theme="1"/>
      <name val="Calibri"/>
      <family val="2"/>
    </font>
    <font>
      <vertAlign val="subscript"/>
      <sz val="14.3"/>
      <color theme="1"/>
      <name val="Calibri"/>
      <family val="2"/>
    </font>
    <font>
      <vertAlign val="subscript"/>
      <sz val="11"/>
      <color theme="1"/>
      <name val="Abadi Extra Light"/>
      <family val="2"/>
    </font>
    <font>
      <sz val="11"/>
      <color rgb="FF333333"/>
      <name val="Arial"/>
      <family val="2"/>
    </font>
    <font>
      <b/>
      <sz val="11"/>
      <color rgb="FF333333"/>
      <name val="Arial"/>
      <family val="2"/>
    </font>
    <font>
      <b/>
      <sz val="11"/>
      <color theme="0"/>
      <name val="Arial"/>
      <family val="2"/>
    </font>
    <font>
      <b/>
      <sz val="9"/>
      <color theme="0"/>
      <name val="Arial"/>
      <family val="2"/>
    </font>
    <font>
      <b/>
      <sz val="11"/>
      <color theme="1"/>
      <name val="Arial"/>
      <family val="2"/>
    </font>
    <font>
      <sz val="11"/>
      <color theme="0"/>
      <name val="Calibri"/>
      <family val="2"/>
      <scheme val="minor"/>
    </font>
    <font>
      <sz val="10"/>
      <color theme="1"/>
      <name val="Calibri"/>
      <family val="2"/>
      <scheme val="minor"/>
    </font>
    <font>
      <i/>
      <sz val="10"/>
      <color theme="1"/>
      <name val="Arial"/>
      <family val="2"/>
    </font>
    <font>
      <b/>
      <i/>
      <sz val="10"/>
      <color theme="1"/>
      <name val="Arial"/>
      <family val="2"/>
    </font>
    <font>
      <u/>
      <sz val="11"/>
      <color theme="10"/>
      <name val="Calibri"/>
      <family val="2"/>
      <scheme val="minor"/>
    </font>
    <font>
      <u/>
      <sz val="11"/>
      <color theme="10"/>
      <name val="Arial"/>
      <family val="2"/>
    </font>
    <font>
      <b/>
      <sz val="11"/>
      <color rgb="FFFF0000"/>
      <name val="Arial"/>
      <family val="2"/>
    </font>
    <font>
      <b/>
      <sz val="8"/>
      <color rgb="FFFF0000"/>
      <name val="Arial"/>
      <family val="2"/>
    </font>
    <font>
      <u/>
      <sz val="14"/>
      <color theme="10"/>
      <name val="Arial"/>
      <family val="2"/>
    </font>
    <font>
      <sz val="8"/>
      <color rgb="FF000000"/>
      <name val="Segoe UI"/>
      <family val="2"/>
    </font>
    <font>
      <sz val="11"/>
      <name val="Calibri"/>
      <family val="2"/>
      <scheme val="minor"/>
    </font>
    <font>
      <b/>
      <sz val="7"/>
      <color theme="1"/>
      <name val="Arial"/>
      <family val="2"/>
    </font>
    <font>
      <sz val="11"/>
      <color rgb="FF454545"/>
      <name val="Courier New"/>
      <family val="3"/>
    </font>
    <font>
      <sz val="9"/>
      <color theme="1"/>
      <name val="Calibri"/>
      <family val="2"/>
      <scheme val="minor"/>
    </font>
    <font>
      <b/>
      <i/>
      <sz val="11"/>
      <color theme="0"/>
      <name val="Calibri"/>
      <family val="2"/>
      <scheme val="minor"/>
    </font>
    <font>
      <i/>
      <sz val="11"/>
      <color theme="0"/>
      <name val="Calibri"/>
      <family val="2"/>
      <scheme val="minor"/>
    </font>
    <font>
      <sz val="8"/>
      <name val="Calibri"/>
      <family val="2"/>
      <scheme val="minor"/>
    </font>
    <font>
      <u/>
      <sz val="14"/>
      <color rgb="FF0000FF"/>
      <name val="Arial"/>
      <family val="2"/>
    </font>
    <font>
      <u/>
      <sz val="12"/>
      <color rgb="FF0000E6"/>
      <name val="Calibri"/>
      <family val="2"/>
    </font>
    <font>
      <sz val="11"/>
      <color rgb="FF000000"/>
      <name val="Calibri"/>
      <family val="2"/>
    </font>
  </fonts>
  <fills count="13">
    <fill>
      <patternFill patternType="none"/>
    </fill>
    <fill>
      <patternFill patternType="gray125"/>
    </fill>
    <fill>
      <patternFill patternType="solid">
        <fgColor theme="1"/>
        <bgColor indexed="64"/>
      </patternFill>
    </fill>
    <fill>
      <patternFill patternType="solid">
        <fgColor theme="8" tint="0.59999389629810485"/>
        <bgColor indexed="64"/>
      </patternFill>
    </fill>
    <fill>
      <patternFill patternType="solid">
        <fgColor rgb="FF9FDFFF"/>
        <bgColor indexed="64"/>
      </patternFill>
    </fill>
    <fill>
      <patternFill patternType="solid">
        <fgColor rgb="FFB3B3FF"/>
        <bgColor indexed="64"/>
      </patternFill>
    </fill>
    <fill>
      <patternFill patternType="solid">
        <fgColor theme="3" tint="0.79998168889431442"/>
        <bgColor indexed="64"/>
      </patternFill>
    </fill>
    <fill>
      <patternFill patternType="solid">
        <fgColor rgb="FF520B90"/>
        <bgColor indexed="64"/>
      </patternFill>
    </fill>
    <fill>
      <patternFill patternType="solid">
        <fgColor theme="0" tint="-0.14999847407452621"/>
        <bgColor indexed="64"/>
      </patternFill>
    </fill>
    <fill>
      <patternFill patternType="solid">
        <fgColor rgb="FFFFFFFF"/>
        <bgColor indexed="64"/>
      </patternFill>
    </fill>
    <fill>
      <patternFill patternType="solid">
        <fgColor rgb="FFFFFF00"/>
        <bgColor indexed="64"/>
      </patternFill>
    </fill>
    <fill>
      <patternFill patternType="solid">
        <fgColor rgb="FFE6E6E6"/>
        <bgColor indexed="64"/>
      </patternFill>
    </fill>
    <fill>
      <patternFill patternType="solid">
        <fgColor theme="8" tint="0.79998168889431442"/>
        <bgColor indexed="64"/>
      </patternFill>
    </fill>
  </fills>
  <borders count="43">
    <border>
      <left/>
      <right/>
      <top/>
      <bottom/>
      <diagonal/>
    </border>
    <border>
      <left/>
      <right style="thin">
        <color indexed="64"/>
      </right>
      <top/>
      <bottom style="thin">
        <color indexed="64"/>
      </bottom>
      <diagonal/>
    </border>
    <border>
      <left/>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top style="medium">
        <color indexed="64"/>
      </top>
      <bottom/>
      <diagonal/>
    </border>
    <border>
      <left style="medium">
        <color indexed="64"/>
      </left>
      <right/>
      <top/>
      <bottom/>
      <diagonal/>
    </border>
    <border>
      <left style="medium">
        <color indexed="64"/>
      </left>
      <right/>
      <top/>
      <bottom style="medium">
        <color indexed="64"/>
      </bottom>
      <diagonal/>
    </border>
    <border>
      <left style="medium">
        <color indexed="64"/>
      </left>
      <right style="thin">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medium">
        <color indexed="64"/>
      </top>
      <bottom style="thin">
        <color indexed="64"/>
      </bottom>
      <diagonal/>
    </border>
    <border>
      <left/>
      <right style="thin">
        <color indexed="64"/>
      </right>
      <top style="thin">
        <color indexed="64"/>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medium">
        <color indexed="64"/>
      </left>
      <right style="thin">
        <color indexed="64"/>
      </right>
      <top style="thin">
        <color indexed="64"/>
      </top>
      <bottom/>
      <diagonal/>
    </border>
    <border>
      <left style="thin">
        <color indexed="64"/>
      </left>
      <right style="medium">
        <color indexed="64"/>
      </right>
      <top style="thin">
        <color indexed="64"/>
      </top>
      <bottom/>
      <diagonal/>
    </border>
    <border>
      <left style="medium">
        <color indexed="64"/>
      </left>
      <right style="thin">
        <color indexed="64"/>
      </right>
      <top style="medium">
        <color indexed="64"/>
      </top>
      <bottom/>
      <diagonal/>
    </border>
    <border>
      <left style="thin">
        <color indexed="64"/>
      </left>
      <right style="thin">
        <color indexed="64"/>
      </right>
      <top style="medium">
        <color indexed="64"/>
      </top>
      <bottom/>
      <diagonal/>
    </border>
    <border>
      <left style="thin">
        <color indexed="64"/>
      </left>
      <right/>
      <top style="medium">
        <color indexed="64"/>
      </top>
      <bottom/>
      <diagonal/>
    </border>
    <border>
      <left/>
      <right style="medium">
        <color indexed="64"/>
      </right>
      <top style="medium">
        <color indexed="64"/>
      </top>
      <bottom/>
      <diagonal/>
    </border>
    <border>
      <left style="thin">
        <color indexed="64"/>
      </left>
      <right/>
      <top/>
      <bottom style="thin">
        <color indexed="64"/>
      </bottom>
      <diagonal/>
    </border>
    <border>
      <left style="thin">
        <color indexed="64"/>
      </left>
      <right/>
      <top/>
      <bottom/>
      <diagonal/>
    </border>
    <border>
      <left/>
      <right style="medium">
        <color indexed="64"/>
      </right>
      <top style="medium">
        <color indexed="64"/>
      </top>
      <bottom style="thin">
        <color indexed="64"/>
      </bottom>
      <diagonal/>
    </border>
    <border>
      <left/>
      <right style="medium">
        <color indexed="64"/>
      </right>
      <top style="thin">
        <color indexed="64"/>
      </top>
      <bottom style="thin">
        <color indexed="64"/>
      </bottom>
      <diagonal/>
    </border>
    <border>
      <left/>
      <right style="medium">
        <color indexed="64"/>
      </right>
      <top style="thin">
        <color indexed="64"/>
      </top>
      <bottom style="medium">
        <color indexed="64"/>
      </bottom>
      <diagonal/>
    </border>
    <border>
      <left style="thin">
        <color indexed="64"/>
      </left>
      <right style="medium">
        <color indexed="64"/>
      </right>
      <top style="medium">
        <color indexed="64"/>
      </top>
      <bottom/>
      <diagonal/>
    </border>
    <border>
      <left/>
      <right/>
      <top style="thin">
        <color auto="1"/>
      </top>
      <bottom/>
      <diagonal/>
    </border>
    <border>
      <left style="thin">
        <color indexed="64"/>
      </left>
      <right/>
      <top style="thin">
        <color indexed="64"/>
      </top>
      <bottom/>
      <diagonal/>
    </border>
    <border>
      <left/>
      <right style="thin">
        <color indexed="64"/>
      </right>
      <top style="thin">
        <color indexed="64"/>
      </top>
      <bottom/>
      <diagonal/>
    </border>
    <border>
      <left/>
      <right style="thin">
        <color indexed="64"/>
      </right>
      <top/>
      <bottom/>
      <diagonal/>
    </border>
    <border>
      <left/>
      <right style="medium">
        <color indexed="64"/>
      </right>
      <top/>
      <bottom style="medium">
        <color indexed="64"/>
      </bottom>
      <diagonal/>
    </border>
    <border>
      <left/>
      <right style="medium">
        <color indexed="64"/>
      </right>
      <top style="thin">
        <color indexed="64"/>
      </top>
      <bottom/>
      <diagonal/>
    </border>
  </borders>
  <cellStyleXfs count="6">
    <xf numFmtId="0" fontId="0" fillId="0" borderId="0"/>
    <xf numFmtId="0" fontId="1" fillId="0" borderId="0"/>
    <xf numFmtId="0" fontId="3" fillId="0" borderId="0"/>
    <xf numFmtId="0" fontId="1" fillId="0" borderId="0"/>
    <xf numFmtId="9" fontId="6" fillId="0" borderId="0" applyFont="0" applyFill="0" applyBorder="0" applyAlignment="0" applyProtection="0"/>
    <xf numFmtId="0" fontId="58" fillId="0" borderId="0" applyNumberFormat="0" applyFill="0" applyBorder="0" applyAlignment="0" applyProtection="0"/>
  </cellStyleXfs>
  <cellXfs count="656">
    <xf numFmtId="0" fontId="0" fillId="0" borderId="0" xfId="0"/>
    <xf numFmtId="0" fontId="0" fillId="0" borderId="3" xfId="0" applyFill="1" applyBorder="1" applyAlignment="1" applyProtection="1">
      <alignment horizontal="center" vertical="center"/>
    </xf>
    <xf numFmtId="165" fontId="0" fillId="0" borderId="3" xfId="0" applyNumberFormat="1" applyFill="1" applyBorder="1" applyAlignment="1" applyProtection="1">
      <alignment horizontal="center" vertical="center"/>
    </xf>
    <xf numFmtId="0" fontId="0" fillId="0" borderId="0" xfId="0" applyBorder="1"/>
    <xf numFmtId="0" fontId="0" fillId="0" borderId="5" xfId="0" applyFont="1" applyBorder="1" applyAlignment="1" applyProtection="1">
      <alignment horizontal="center" vertical="center"/>
      <protection locked="0"/>
    </xf>
    <xf numFmtId="0" fontId="0" fillId="0" borderId="0" xfId="0" applyAlignment="1">
      <alignment horizontal="center" vertical="center"/>
    </xf>
    <xf numFmtId="0" fontId="0" fillId="0" borderId="3" xfId="0" applyBorder="1" applyAlignment="1">
      <alignment horizontal="center" vertical="center"/>
    </xf>
    <xf numFmtId="0" fontId="7" fillId="0" borderId="3" xfId="0" applyFont="1" applyBorder="1" applyAlignment="1">
      <alignment horizontal="center" vertical="center"/>
    </xf>
    <xf numFmtId="0" fontId="7" fillId="2" borderId="3" xfId="0" applyFont="1" applyFill="1" applyBorder="1" applyAlignment="1">
      <alignment horizontal="center" vertical="center"/>
    </xf>
    <xf numFmtId="165" fontId="0" fillId="0" borderId="3" xfId="0" applyNumberFormat="1" applyBorder="1" applyAlignment="1" applyProtection="1">
      <alignment horizontal="center" vertical="center"/>
    </xf>
    <xf numFmtId="0" fontId="0" fillId="2" borderId="3" xfId="0" applyFill="1" applyBorder="1" applyAlignment="1">
      <alignment horizontal="center" vertical="center"/>
    </xf>
    <xf numFmtId="0" fontId="0" fillId="0" borderId="3" xfId="0" applyFill="1" applyBorder="1" applyAlignment="1">
      <alignment horizontal="center" vertical="center"/>
    </xf>
    <xf numFmtId="0" fontId="0" fillId="0" borderId="0" xfId="0" applyAlignment="1">
      <alignment horizontal="right"/>
    </xf>
    <xf numFmtId="0" fontId="0" fillId="0" borderId="0" xfId="0" applyAlignment="1">
      <alignment horizontal="right" vertical="center"/>
    </xf>
    <xf numFmtId="165" fontId="0" fillId="0" borderId="3" xfId="0" applyNumberFormat="1" applyBorder="1" applyAlignment="1">
      <alignment horizontal="center" vertical="center"/>
    </xf>
    <xf numFmtId="165" fontId="0" fillId="0" borderId="0" xfId="0" applyNumberFormat="1" applyAlignment="1">
      <alignment horizontal="center" vertical="center"/>
    </xf>
    <xf numFmtId="165" fontId="0" fillId="0" borderId="0" xfId="0" applyNumberFormat="1" applyAlignment="1">
      <alignment horizontal="center"/>
    </xf>
    <xf numFmtId="166" fontId="0" fillId="0" borderId="0" xfId="0" applyNumberFormat="1" applyAlignment="1">
      <alignment horizontal="center"/>
    </xf>
    <xf numFmtId="0" fontId="0" fillId="0" borderId="3" xfId="0" applyBorder="1" applyAlignment="1">
      <alignment horizontal="center" vertical="center"/>
    </xf>
    <xf numFmtId="0" fontId="0" fillId="0" borderId="0" xfId="0" applyAlignment="1">
      <alignment horizontal="center" vertical="center"/>
    </xf>
    <xf numFmtId="0" fontId="12" fillId="0" borderId="0" xfId="0" applyFont="1"/>
    <xf numFmtId="0" fontId="12" fillId="0" borderId="0" xfId="0" applyFont="1" applyAlignment="1">
      <alignment horizontal="right"/>
    </xf>
    <xf numFmtId="0" fontId="12" fillId="0" borderId="0" xfId="0" applyFont="1" applyAlignment="1">
      <alignment horizontal="center" vertical="center"/>
    </xf>
    <xf numFmtId="167" fontId="12" fillId="0" borderId="0" xfId="0" applyNumberFormat="1" applyFont="1" applyAlignment="1">
      <alignment horizontal="center" vertical="center"/>
    </xf>
    <xf numFmtId="0" fontId="11" fillId="0" borderId="0" xfId="0" applyFont="1" applyFill="1" applyBorder="1" applyAlignment="1">
      <alignment horizontal="right" vertical="center"/>
    </xf>
    <xf numFmtId="0" fontId="12" fillId="0" borderId="0" xfId="0" applyFont="1" applyAlignment="1">
      <alignment horizontal="right" vertical="center"/>
    </xf>
    <xf numFmtId="165" fontId="12" fillId="0" borderId="0" xfId="0" applyNumberFormat="1" applyFont="1" applyAlignment="1">
      <alignment horizontal="center" vertical="center"/>
    </xf>
    <xf numFmtId="2" fontId="12" fillId="0" borderId="0" xfId="0" applyNumberFormat="1" applyFont="1" applyAlignment="1">
      <alignment horizontal="center" vertical="center"/>
    </xf>
    <xf numFmtId="0" fontId="7" fillId="0" borderId="0" xfId="0" applyFont="1"/>
    <xf numFmtId="2" fontId="0" fillId="0" borderId="0" xfId="0" applyNumberFormat="1" applyAlignment="1">
      <alignment horizontal="center"/>
    </xf>
    <xf numFmtId="0" fontId="0" fillId="0" borderId="0" xfId="0" applyAlignment="1">
      <alignment horizontal="left"/>
    </xf>
    <xf numFmtId="0" fontId="0" fillId="0" borderId="0" xfId="0" applyAlignment="1">
      <alignment horizontal="center"/>
    </xf>
    <xf numFmtId="0" fontId="12" fillId="0" borderId="0" xfId="0" applyFont="1" applyFill="1" applyBorder="1" applyAlignment="1">
      <alignment horizontal="right" vertical="center"/>
    </xf>
    <xf numFmtId="0" fontId="14" fillId="0" borderId="3" xfId="0" applyFont="1" applyBorder="1" applyAlignment="1">
      <alignment horizontal="center" vertical="center"/>
    </xf>
    <xf numFmtId="0" fontId="12" fillId="0" borderId="3" xfId="0" applyFont="1" applyFill="1" applyBorder="1" applyAlignment="1" applyProtection="1">
      <alignment horizontal="center" vertical="center"/>
    </xf>
    <xf numFmtId="165" fontId="12" fillId="0" borderId="3" xfId="0" applyNumberFormat="1" applyFont="1" applyFill="1" applyBorder="1" applyAlignment="1" applyProtection="1">
      <alignment horizontal="center" vertical="center"/>
    </xf>
    <xf numFmtId="0" fontId="12" fillId="0" borderId="3" xfId="0" applyFont="1" applyBorder="1" applyAlignment="1">
      <alignment horizontal="center" vertical="center"/>
    </xf>
    <xf numFmtId="2" fontId="12" fillId="0" borderId="5" xfId="0" applyNumberFormat="1" applyFont="1" applyBorder="1" applyAlignment="1" applyProtection="1">
      <alignment horizontal="center" vertical="center"/>
      <protection locked="0"/>
    </xf>
    <xf numFmtId="165" fontId="12" fillId="0" borderId="3" xfId="0" applyNumberFormat="1" applyFont="1" applyBorder="1" applyAlignment="1">
      <alignment horizontal="center" vertical="center"/>
    </xf>
    <xf numFmtId="0" fontId="14" fillId="2" borderId="3" xfId="0" applyFont="1" applyFill="1" applyBorder="1" applyAlignment="1">
      <alignment horizontal="center" vertical="center"/>
    </xf>
    <xf numFmtId="165" fontId="12" fillId="0" borderId="3" xfId="0" applyNumberFormat="1" applyFont="1" applyBorder="1" applyAlignment="1" applyProtection="1">
      <alignment horizontal="center" vertical="center"/>
    </xf>
    <xf numFmtId="0" fontId="12" fillId="2" borderId="3" xfId="0" applyFont="1" applyFill="1" applyBorder="1" applyAlignment="1">
      <alignment horizontal="center" vertical="center"/>
    </xf>
    <xf numFmtId="0" fontId="12" fillId="0" borderId="0" xfId="0" applyFont="1" applyAlignment="1">
      <alignment horizontal="center"/>
    </xf>
    <xf numFmtId="0" fontId="12" fillId="0" borderId="0" xfId="0" applyFont="1" applyAlignment="1">
      <alignment horizontal="left"/>
    </xf>
    <xf numFmtId="0" fontId="14" fillId="0" borderId="0" xfId="0" applyFont="1" applyAlignment="1">
      <alignment horizontal="right"/>
    </xf>
    <xf numFmtId="165" fontId="12" fillId="0" borderId="0" xfId="0" applyNumberFormat="1" applyFont="1" applyAlignment="1">
      <alignment horizontal="center"/>
    </xf>
    <xf numFmtId="0" fontId="12" fillId="0" borderId="5" xfId="0" applyFont="1" applyBorder="1" applyAlignment="1">
      <alignment horizontal="center" vertical="center"/>
    </xf>
    <xf numFmtId="166" fontId="12" fillId="0" borderId="0" xfId="0" applyNumberFormat="1" applyFont="1" applyAlignment="1">
      <alignment horizontal="center" vertical="center"/>
    </xf>
    <xf numFmtId="0" fontId="12" fillId="0" borderId="3" xfId="0" applyFont="1" applyBorder="1" applyAlignment="1">
      <alignment horizontal="center"/>
    </xf>
    <xf numFmtId="9" fontId="12" fillId="0" borderId="3" xfId="4" applyFont="1" applyBorder="1" applyAlignment="1">
      <alignment horizontal="center" vertical="center"/>
    </xf>
    <xf numFmtId="0" fontId="2" fillId="0" borderId="0" xfId="0" applyFont="1" applyAlignment="1">
      <alignment horizontal="center" vertical="center"/>
    </xf>
    <xf numFmtId="166" fontId="0" fillId="0" borderId="4" xfId="0" applyNumberFormat="1" applyBorder="1" applyAlignment="1">
      <alignment horizontal="center" vertical="center"/>
    </xf>
    <xf numFmtId="0" fontId="1" fillId="0" borderId="1" xfId="0" applyFont="1" applyBorder="1" applyAlignment="1">
      <alignment horizontal="center" vertical="center" wrapText="1"/>
    </xf>
    <xf numFmtId="14" fontId="0" fillId="0" borderId="1" xfId="0" applyNumberFormat="1" applyBorder="1" applyAlignment="1">
      <alignment horizontal="center" vertical="center"/>
    </xf>
    <xf numFmtId="0" fontId="1" fillId="0" borderId="1" xfId="0" applyFont="1" applyBorder="1" applyAlignment="1">
      <alignment horizontal="center" vertical="center"/>
    </xf>
    <xf numFmtId="0" fontId="0" fillId="0" borderId="1" xfId="0" applyBorder="1" applyAlignment="1">
      <alignment horizontal="center" vertical="center"/>
    </xf>
    <xf numFmtId="0" fontId="0" fillId="0" borderId="1" xfId="0" applyBorder="1" applyAlignment="1">
      <alignment horizontal="center" vertical="center" wrapText="1"/>
    </xf>
    <xf numFmtId="16" fontId="0" fillId="0" borderId="1" xfId="0" applyNumberFormat="1" applyBorder="1" applyAlignment="1">
      <alignment horizontal="center" vertical="center"/>
    </xf>
    <xf numFmtId="166" fontId="0" fillId="0" borderId="3" xfId="0" applyNumberFormat="1" applyFill="1" applyBorder="1" applyAlignment="1">
      <alignment horizontal="center" vertical="center"/>
    </xf>
    <xf numFmtId="0" fontId="0" fillId="0" borderId="3" xfId="0" applyFill="1" applyBorder="1" applyAlignment="1">
      <alignment horizontal="center" vertical="center" wrapText="1"/>
    </xf>
    <xf numFmtId="16" fontId="0" fillId="0" borderId="3" xfId="0" applyNumberFormat="1" applyBorder="1" applyAlignment="1">
      <alignment horizontal="center" vertical="center"/>
    </xf>
    <xf numFmtId="0" fontId="0" fillId="2" borderId="0" xfId="0" applyFill="1" applyAlignment="1">
      <alignment horizontal="center" vertical="center"/>
    </xf>
    <xf numFmtId="166" fontId="0" fillId="0" borderId="0" xfId="0" applyNumberFormat="1" applyAlignment="1">
      <alignment horizontal="center" vertical="center"/>
    </xf>
    <xf numFmtId="0" fontId="0" fillId="0" borderId="0" xfId="0" applyAlignment="1">
      <alignment horizontal="center" vertical="center" wrapText="1"/>
    </xf>
    <xf numFmtId="14" fontId="0" fillId="0" borderId="0" xfId="0" applyNumberFormat="1" applyAlignment="1">
      <alignment horizontal="center" vertical="center"/>
    </xf>
    <xf numFmtId="0" fontId="0" fillId="0" borderId="0" xfId="0" applyAlignment="1">
      <alignment wrapText="1"/>
    </xf>
    <xf numFmtId="14" fontId="0" fillId="0" borderId="0" xfId="0" applyNumberFormat="1" applyAlignment="1">
      <alignment horizontal="center" vertical="center" wrapText="1"/>
    </xf>
    <xf numFmtId="0" fontId="7" fillId="0" borderId="3" xfId="0" applyFont="1" applyBorder="1" applyAlignment="1">
      <alignment horizontal="center" vertical="center"/>
    </xf>
    <xf numFmtId="166" fontId="0" fillId="0" borderId="0" xfId="0" applyNumberFormat="1" applyFill="1" applyAlignment="1">
      <alignment horizontal="center" vertical="center"/>
    </xf>
    <xf numFmtId="0" fontId="12" fillId="0" borderId="0" xfId="0" applyFont="1" applyFill="1"/>
    <xf numFmtId="165" fontId="0" fillId="0" borderId="3" xfId="0" applyNumberFormat="1" applyFill="1" applyBorder="1" applyAlignment="1">
      <alignment horizontal="center" vertical="center"/>
    </xf>
    <xf numFmtId="0" fontId="0" fillId="0" borderId="5" xfId="0" applyFont="1" applyFill="1" applyBorder="1" applyAlignment="1" applyProtection="1">
      <alignment horizontal="center" vertical="center"/>
      <protection locked="0"/>
    </xf>
    <xf numFmtId="0" fontId="0" fillId="0" borderId="0" xfId="0" applyFill="1" applyAlignment="1">
      <alignment horizontal="center"/>
    </xf>
    <xf numFmtId="2" fontId="12" fillId="0" borderId="0" xfId="0" applyNumberFormat="1" applyFont="1" applyFill="1" applyAlignment="1">
      <alignment horizontal="center" vertical="center"/>
    </xf>
    <xf numFmtId="0" fontId="0" fillId="0" borderId="0" xfId="0" applyFill="1"/>
    <xf numFmtId="165" fontId="0" fillId="0" borderId="0" xfId="0" applyNumberFormat="1" applyFill="1" applyAlignment="1">
      <alignment horizontal="center"/>
    </xf>
    <xf numFmtId="0" fontId="12" fillId="0" borderId="0" xfId="0" applyFont="1" applyFill="1" applyAlignment="1">
      <alignment horizontal="center"/>
    </xf>
    <xf numFmtId="0" fontId="0" fillId="0" borderId="3" xfId="0" applyFont="1" applyFill="1" applyBorder="1" applyAlignment="1">
      <alignment horizontal="center" vertical="center"/>
    </xf>
    <xf numFmtId="165" fontId="0" fillId="0" borderId="3" xfId="0" applyNumberFormat="1" applyFont="1" applyFill="1" applyBorder="1" applyAlignment="1" applyProtection="1">
      <alignment horizontal="center" vertical="center"/>
    </xf>
    <xf numFmtId="0" fontId="0" fillId="0" borderId="3" xfId="0" applyFont="1" applyBorder="1" applyAlignment="1">
      <alignment horizontal="center" vertical="center"/>
    </xf>
    <xf numFmtId="165" fontId="0" fillId="0" borderId="3" xfId="0" applyNumberFormat="1" applyFont="1" applyBorder="1" applyAlignment="1">
      <alignment horizontal="center" vertical="center"/>
    </xf>
    <xf numFmtId="0" fontId="0" fillId="2" borderId="3" xfId="0" applyFont="1" applyFill="1" applyBorder="1" applyAlignment="1">
      <alignment horizontal="center" vertical="center"/>
    </xf>
    <xf numFmtId="0" fontId="0" fillId="0" borderId="3" xfId="0" applyBorder="1" applyAlignment="1">
      <alignment horizontal="center" vertical="center"/>
    </xf>
    <xf numFmtId="0" fontId="0" fillId="0" borderId="3" xfId="0" applyBorder="1" applyAlignment="1">
      <alignment horizontal="center" vertical="center"/>
    </xf>
    <xf numFmtId="0" fontId="0" fillId="0" borderId="3" xfId="0" applyBorder="1" applyAlignment="1">
      <alignment horizontal="center" vertical="center"/>
    </xf>
    <xf numFmtId="0" fontId="12" fillId="2" borderId="3" xfId="0" applyFont="1" applyFill="1" applyBorder="1"/>
    <xf numFmtId="0" fontId="0" fillId="0" borderId="7" xfId="0" applyFill="1" applyBorder="1" applyAlignment="1">
      <alignment horizontal="center" vertical="center"/>
    </xf>
    <xf numFmtId="0" fontId="0" fillId="0" borderId="10" xfId="0" applyFill="1" applyBorder="1" applyAlignment="1">
      <alignment horizontal="center" vertical="center"/>
    </xf>
    <xf numFmtId="0" fontId="7" fillId="0" borderId="28" xfId="0" applyFont="1" applyFill="1" applyBorder="1" applyAlignment="1">
      <alignment horizontal="center" vertical="center" wrapText="1"/>
    </xf>
    <xf numFmtId="165" fontId="0" fillId="0" borderId="0" xfId="0" applyNumberFormat="1"/>
    <xf numFmtId="165" fontId="12" fillId="0" borderId="0" xfId="0" applyNumberFormat="1" applyFont="1"/>
    <xf numFmtId="0" fontId="7" fillId="0" borderId="30" xfId="0" applyFont="1" applyFill="1" applyBorder="1" applyAlignment="1">
      <alignment horizontal="center" vertical="center" wrapText="1"/>
    </xf>
    <xf numFmtId="165" fontId="12" fillId="0" borderId="3" xfId="0" applyNumberFormat="1" applyFont="1" applyFill="1" applyBorder="1" applyAlignment="1">
      <alignment horizontal="center" vertical="center"/>
    </xf>
    <xf numFmtId="0" fontId="30" fillId="7" borderId="3" xfId="0" applyFont="1" applyFill="1" applyBorder="1" applyAlignment="1" applyProtection="1">
      <alignment horizontal="center" vertical="center" wrapText="1"/>
    </xf>
    <xf numFmtId="0" fontId="29" fillId="7" borderId="3" xfId="0" applyFont="1" applyFill="1" applyBorder="1" applyAlignment="1" applyProtection="1">
      <alignment horizontal="center" vertical="center" wrapText="1"/>
    </xf>
    <xf numFmtId="0" fontId="29" fillId="7" borderId="3" xfId="0" applyFont="1" applyFill="1" applyBorder="1" applyAlignment="1" applyProtection="1">
      <alignment horizontal="center" vertical="center"/>
    </xf>
    <xf numFmtId="0" fontId="29" fillId="7" borderId="3" xfId="0" applyFont="1" applyFill="1" applyBorder="1" applyAlignment="1">
      <alignment horizontal="center" vertical="center"/>
    </xf>
    <xf numFmtId="0" fontId="29" fillId="7" borderId="3" xfId="0" applyFont="1" applyFill="1" applyBorder="1" applyAlignment="1">
      <alignment horizontal="center" vertical="center" wrapText="1"/>
    </xf>
    <xf numFmtId="0" fontId="30" fillId="7" borderId="3" xfId="0" applyFont="1" applyFill="1" applyBorder="1" applyAlignment="1" applyProtection="1">
      <alignment horizontal="center" vertical="center"/>
    </xf>
    <xf numFmtId="0" fontId="30" fillId="7" borderId="3" xfId="0" applyFont="1" applyFill="1" applyBorder="1" applyAlignment="1">
      <alignment horizontal="center" vertical="center"/>
    </xf>
    <xf numFmtId="0" fontId="30" fillId="7" borderId="3" xfId="0" applyFont="1" applyFill="1" applyBorder="1" applyAlignment="1">
      <alignment horizontal="center" vertical="center" wrapText="1"/>
    </xf>
    <xf numFmtId="0" fontId="0" fillId="0" borderId="0" xfId="0" applyFill="1" applyAlignment="1">
      <alignment horizontal="right"/>
    </xf>
    <xf numFmtId="0" fontId="12" fillId="0" borderId="0" xfId="0" applyFont="1" applyFill="1" applyAlignment="1">
      <alignment horizontal="right"/>
    </xf>
    <xf numFmtId="164" fontId="0" fillId="6" borderId="3" xfId="4" applyNumberFormat="1" applyFont="1" applyFill="1" applyBorder="1" applyAlignment="1">
      <alignment horizontal="center"/>
    </xf>
    <xf numFmtId="164" fontId="12" fillId="6" borderId="3" xfId="4" applyNumberFormat="1" applyFont="1" applyFill="1" applyBorder="1" applyAlignment="1">
      <alignment horizontal="center"/>
    </xf>
    <xf numFmtId="0" fontId="7" fillId="6" borderId="27" xfId="0" applyFont="1" applyFill="1" applyBorder="1" applyAlignment="1">
      <alignment horizontal="center" wrapText="1"/>
    </xf>
    <xf numFmtId="0" fontId="0" fillId="6" borderId="15" xfId="0" applyFill="1" applyBorder="1" applyAlignment="1">
      <alignment horizontal="center" vertical="center"/>
    </xf>
    <xf numFmtId="0" fontId="0" fillId="6" borderId="16" xfId="0" applyFill="1" applyBorder="1" applyAlignment="1">
      <alignment horizontal="center" vertical="center"/>
    </xf>
    <xf numFmtId="0" fontId="0" fillId="6" borderId="17" xfId="0" applyFill="1" applyBorder="1" applyAlignment="1">
      <alignment horizontal="center" vertical="center"/>
    </xf>
    <xf numFmtId="0" fontId="7" fillId="6" borderId="28" xfId="0" applyFont="1" applyFill="1" applyBorder="1" applyAlignment="1">
      <alignment horizontal="center" vertical="center"/>
    </xf>
    <xf numFmtId="0" fontId="7" fillId="6" borderId="29" xfId="0" applyFont="1" applyFill="1" applyBorder="1" applyAlignment="1">
      <alignment horizontal="center" vertical="center"/>
    </xf>
    <xf numFmtId="0" fontId="0" fillId="6" borderId="7" xfId="0" applyFill="1" applyBorder="1" applyAlignment="1">
      <alignment horizontal="center" vertical="center"/>
    </xf>
    <xf numFmtId="0" fontId="0" fillId="6" borderId="3" xfId="0" applyFill="1" applyBorder="1" applyAlignment="1">
      <alignment horizontal="center" vertical="center"/>
    </xf>
    <xf numFmtId="0" fontId="0" fillId="6" borderId="10" xfId="0" applyFill="1" applyBorder="1" applyAlignment="1">
      <alignment horizontal="center" vertical="center"/>
    </xf>
    <xf numFmtId="0" fontId="8" fillId="0" borderId="0" xfId="0" applyFont="1" applyAlignment="1" applyProtection="1">
      <alignment vertical="center"/>
      <protection locked="0"/>
    </xf>
    <xf numFmtId="0" fontId="29" fillId="7" borderId="3" xfId="0" applyFont="1" applyFill="1" applyBorder="1" applyAlignment="1">
      <alignment horizontal="center" vertical="center"/>
    </xf>
    <xf numFmtId="0" fontId="0" fillId="0" borderId="0" xfId="0" applyNumberFormat="1"/>
    <xf numFmtId="0" fontId="0" fillId="0" borderId="0" xfId="0" applyFont="1" applyFill="1" applyBorder="1" applyAlignment="1">
      <alignment vertical="center"/>
    </xf>
    <xf numFmtId="165" fontId="0" fillId="0" borderId="0" xfId="0" applyNumberFormat="1" applyFill="1"/>
    <xf numFmtId="0" fontId="0" fillId="0" borderId="0" xfId="0" applyFont="1"/>
    <xf numFmtId="0" fontId="0" fillId="0" borderId="33" xfId="0" applyFill="1" applyBorder="1" applyAlignment="1">
      <alignment horizontal="center" vertical="center"/>
    </xf>
    <xf numFmtId="0" fontId="0" fillId="0" borderId="34" xfId="0" applyFill="1" applyBorder="1" applyAlignment="1">
      <alignment horizontal="center" vertical="center"/>
    </xf>
    <xf numFmtId="0" fontId="0" fillId="0" borderId="35" xfId="0" applyFill="1" applyBorder="1" applyAlignment="1">
      <alignment horizontal="center" vertical="center"/>
    </xf>
    <xf numFmtId="0" fontId="7" fillId="6" borderId="36" xfId="0" applyFont="1" applyFill="1" applyBorder="1" applyAlignment="1">
      <alignment horizontal="center" vertical="center"/>
    </xf>
    <xf numFmtId="0" fontId="0" fillId="6" borderId="8" xfId="0" applyFill="1" applyBorder="1" applyAlignment="1">
      <alignment horizontal="center" vertical="center"/>
    </xf>
    <xf numFmtId="0" fontId="0" fillId="6" borderId="9" xfId="0" applyFill="1" applyBorder="1" applyAlignment="1">
      <alignment horizontal="center" vertical="center"/>
    </xf>
    <xf numFmtId="0" fontId="0" fillId="6" borderId="11" xfId="0" applyFill="1" applyBorder="1" applyAlignment="1">
      <alignment horizontal="center" vertical="center"/>
    </xf>
    <xf numFmtId="0" fontId="0" fillId="0" borderId="3" xfId="0" applyBorder="1" applyAlignment="1">
      <alignment horizontal="center"/>
    </xf>
    <xf numFmtId="167" fontId="0" fillId="0" borderId="3" xfId="0" applyNumberFormat="1" applyBorder="1" applyAlignment="1">
      <alignment horizontal="center"/>
    </xf>
    <xf numFmtId="0" fontId="0" fillId="0" borderId="16" xfId="0" applyBorder="1" applyAlignment="1">
      <alignment horizontal="center"/>
    </xf>
    <xf numFmtId="0" fontId="0" fillId="0" borderId="9" xfId="0" applyBorder="1" applyAlignment="1">
      <alignment horizontal="center"/>
    </xf>
    <xf numFmtId="0" fontId="0" fillId="0" borderId="17" xfId="0" applyBorder="1" applyAlignment="1">
      <alignment horizontal="center"/>
    </xf>
    <xf numFmtId="0" fontId="0" fillId="0" borderId="10" xfId="0" applyBorder="1" applyAlignment="1">
      <alignment horizontal="center"/>
    </xf>
    <xf numFmtId="0" fontId="0" fillId="0" borderId="11" xfId="0" applyBorder="1" applyAlignment="1">
      <alignment horizontal="center"/>
    </xf>
    <xf numFmtId="0" fontId="0" fillId="0" borderId="15" xfId="0" applyBorder="1" applyAlignment="1">
      <alignment horizontal="center"/>
    </xf>
    <xf numFmtId="0" fontId="0" fillId="0" borderId="7" xfId="0" applyBorder="1" applyAlignment="1">
      <alignment horizontal="center"/>
    </xf>
    <xf numFmtId="0" fontId="0" fillId="0" borderId="8" xfId="0" applyBorder="1" applyAlignment="1">
      <alignment horizontal="center"/>
    </xf>
    <xf numFmtId="0" fontId="30" fillId="7" borderId="3" xfId="0" applyFont="1" applyFill="1" applyBorder="1" applyAlignment="1">
      <alignment horizontal="center" vertical="center"/>
    </xf>
    <xf numFmtId="0" fontId="30" fillId="7" borderId="5" xfId="0" applyFont="1" applyFill="1" applyBorder="1" applyAlignment="1">
      <alignment horizontal="center" vertical="center"/>
    </xf>
    <xf numFmtId="0" fontId="8" fillId="0" borderId="0" xfId="0" applyFont="1" applyAlignment="1" applyProtection="1">
      <alignment vertical="center"/>
      <protection locked="0" hidden="1"/>
    </xf>
    <xf numFmtId="0" fontId="8" fillId="0" borderId="0" xfId="0" applyFont="1" applyAlignment="1" applyProtection="1">
      <alignment horizontal="center" vertical="center"/>
      <protection locked="0" hidden="1"/>
    </xf>
    <xf numFmtId="0" fontId="8" fillId="3" borderId="0" xfId="0" applyFont="1" applyFill="1" applyAlignment="1" applyProtection="1">
      <protection locked="0" hidden="1"/>
    </xf>
    <xf numFmtId="0" fontId="21" fillId="3" borderId="0" xfId="0" applyFont="1" applyFill="1" applyAlignment="1" applyProtection="1">
      <protection locked="0" hidden="1"/>
    </xf>
    <xf numFmtId="0" fontId="21" fillId="0" borderId="0" xfId="0" applyFont="1" applyAlignment="1" applyProtection="1">
      <alignment vertical="center"/>
      <protection locked="0" hidden="1"/>
    </xf>
    <xf numFmtId="0" fontId="20" fillId="0" borderId="0" xfId="0" applyFont="1" applyAlignment="1" applyProtection="1">
      <alignment vertical="center"/>
      <protection locked="0" hidden="1"/>
    </xf>
    <xf numFmtId="0" fontId="8" fillId="0" borderId="6" xfId="0" applyFont="1" applyBorder="1" applyAlignment="1" applyProtection="1">
      <alignment vertical="center"/>
      <protection locked="0" hidden="1"/>
    </xf>
    <xf numFmtId="165" fontId="8" fillId="0" borderId="6" xfId="0" applyNumberFormat="1" applyFont="1" applyFill="1" applyBorder="1" applyAlignment="1" applyProtection="1">
      <alignment horizontal="center" vertical="center"/>
      <protection locked="0" hidden="1"/>
    </xf>
    <xf numFmtId="167" fontId="8" fillId="0" borderId="0" xfId="0" applyNumberFormat="1" applyFont="1" applyFill="1" applyBorder="1" applyAlignment="1" applyProtection="1">
      <alignment horizontal="center" vertical="center"/>
      <protection locked="0" hidden="1"/>
    </xf>
    <xf numFmtId="165" fontId="8" fillId="4" borderId="8" xfId="0" applyNumberFormat="1" applyFont="1" applyFill="1" applyBorder="1" applyAlignment="1" applyProtection="1">
      <alignment horizontal="center" vertical="center"/>
      <protection locked="0" hidden="1"/>
    </xf>
    <xf numFmtId="0" fontId="8" fillId="4" borderId="20" xfId="0" applyFont="1" applyFill="1" applyBorder="1" applyAlignment="1" applyProtection="1">
      <alignment vertical="center"/>
      <protection locked="0" hidden="1"/>
    </xf>
    <xf numFmtId="165" fontId="8" fillId="4" borderId="9" xfId="0" applyNumberFormat="1" applyFont="1" applyFill="1" applyBorder="1" applyAlignment="1" applyProtection="1">
      <alignment horizontal="center" vertical="center"/>
      <protection locked="0" hidden="1"/>
    </xf>
    <xf numFmtId="167" fontId="8" fillId="4" borderId="5" xfId="0" applyNumberFormat="1" applyFont="1" applyFill="1" applyBorder="1" applyAlignment="1" applyProtection="1">
      <alignment vertical="center"/>
      <protection locked="0" hidden="1"/>
    </xf>
    <xf numFmtId="165" fontId="25" fillId="5" borderId="9" xfId="0" applyNumberFormat="1" applyFont="1" applyFill="1" applyBorder="1" applyAlignment="1" applyProtection="1">
      <alignment horizontal="center" vertical="center"/>
      <protection locked="0" hidden="1"/>
    </xf>
    <xf numFmtId="167" fontId="25" fillId="5" borderId="5" xfId="0" applyNumberFormat="1" applyFont="1" applyFill="1" applyBorder="1" applyAlignment="1" applyProtection="1">
      <alignment vertical="center"/>
      <protection locked="0" hidden="1"/>
    </xf>
    <xf numFmtId="167" fontId="8" fillId="5" borderId="5" xfId="0" applyNumberFormat="1" applyFont="1" applyFill="1" applyBorder="1" applyAlignment="1" applyProtection="1">
      <alignment vertical="center"/>
      <protection locked="0" hidden="1"/>
    </xf>
    <xf numFmtId="165" fontId="8" fillId="5" borderId="9" xfId="0" applyNumberFormat="1" applyFont="1" applyFill="1" applyBorder="1" applyAlignment="1" applyProtection="1">
      <alignment horizontal="center" vertical="center"/>
      <protection locked="0" hidden="1"/>
    </xf>
    <xf numFmtId="0" fontId="8" fillId="5" borderId="5" xfId="0" applyFont="1" applyFill="1" applyBorder="1" applyAlignment="1" applyProtection="1">
      <alignment vertical="center"/>
      <protection locked="0" hidden="1"/>
    </xf>
    <xf numFmtId="165" fontId="8" fillId="0" borderId="9" xfId="0" applyNumberFormat="1" applyFont="1" applyFill="1" applyBorder="1" applyAlignment="1" applyProtection="1">
      <alignment horizontal="center" vertical="center"/>
      <protection locked="0" hidden="1"/>
    </xf>
    <xf numFmtId="0" fontId="8" fillId="0" borderId="5" xfId="0" applyFont="1" applyBorder="1" applyAlignment="1" applyProtection="1">
      <alignment vertical="center"/>
      <protection locked="0" hidden="1"/>
    </xf>
    <xf numFmtId="165" fontId="8" fillId="0" borderId="9" xfId="0" applyNumberFormat="1" applyFont="1" applyBorder="1" applyAlignment="1" applyProtection="1">
      <alignment horizontal="center" vertical="center"/>
      <protection locked="0" hidden="1"/>
    </xf>
    <xf numFmtId="167" fontId="8" fillId="0" borderId="0" xfId="0" applyNumberFormat="1" applyFont="1" applyBorder="1" applyAlignment="1" applyProtection="1">
      <alignment vertical="center"/>
      <protection locked="0" hidden="1"/>
    </xf>
    <xf numFmtId="167" fontId="8" fillId="5" borderId="21" xfId="0" applyNumberFormat="1" applyFont="1" applyFill="1" applyBorder="1" applyAlignment="1" applyProtection="1">
      <alignment vertical="center"/>
      <protection locked="0" hidden="1"/>
    </xf>
    <xf numFmtId="165" fontId="8" fillId="5" borderId="11" xfId="0" applyNumberFormat="1" applyFont="1" applyFill="1" applyBorder="1" applyAlignment="1" applyProtection="1">
      <alignment horizontal="center" vertical="center"/>
      <protection locked="0" hidden="1"/>
    </xf>
    <xf numFmtId="0" fontId="8" fillId="0" borderId="15" xfId="0" applyFont="1" applyBorder="1" applyAlignment="1" applyProtection="1">
      <alignment horizontal="left" vertical="center"/>
      <protection locked="0" hidden="1"/>
    </xf>
    <xf numFmtId="165" fontId="8" fillId="0" borderId="8" xfId="0" applyNumberFormat="1" applyFont="1" applyBorder="1" applyAlignment="1" applyProtection="1">
      <alignment horizontal="center" vertical="center"/>
      <protection locked="0" hidden="1"/>
    </xf>
    <xf numFmtId="0" fontId="25" fillId="3" borderId="0" xfId="0" applyFont="1" applyFill="1" applyAlignment="1" applyProtection="1">
      <protection locked="0" hidden="1"/>
    </xf>
    <xf numFmtId="0" fontId="8" fillId="0" borderId="16" xfId="0" applyFont="1" applyBorder="1" applyAlignment="1" applyProtection="1">
      <alignment horizontal="left" vertical="center"/>
      <protection locked="0" hidden="1"/>
    </xf>
    <xf numFmtId="167" fontId="8" fillId="0" borderId="16" xfId="0" applyNumberFormat="1" applyFont="1" applyFill="1" applyBorder="1" applyAlignment="1" applyProtection="1">
      <alignment horizontal="left" vertical="center"/>
      <protection locked="0" hidden="1"/>
    </xf>
    <xf numFmtId="167" fontId="8" fillId="0" borderId="25" xfId="0" applyNumberFormat="1" applyFont="1" applyFill="1" applyBorder="1" applyAlignment="1" applyProtection="1">
      <alignment horizontal="left" vertical="center"/>
      <protection locked="0" hidden="1"/>
    </xf>
    <xf numFmtId="165" fontId="8" fillId="0" borderId="26" xfId="0" applyNumberFormat="1" applyFont="1" applyFill="1" applyBorder="1" applyAlignment="1" applyProtection="1">
      <alignment horizontal="center" vertical="center"/>
      <protection locked="0" hidden="1"/>
    </xf>
    <xf numFmtId="0" fontId="27" fillId="3" borderId="0" xfId="0" applyFont="1" applyFill="1" applyAlignment="1" applyProtection="1">
      <protection locked="0" hidden="1"/>
    </xf>
    <xf numFmtId="0" fontId="8" fillId="5" borderId="3" xfId="0" applyFont="1" applyFill="1" applyBorder="1" applyAlignment="1" applyProtection="1">
      <alignment horizontal="center" vertical="center"/>
      <protection locked="0" hidden="1"/>
    </xf>
    <xf numFmtId="1" fontId="8" fillId="5" borderId="3" xfId="0" applyNumberFormat="1" applyFont="1" applyFill="1" applyBorder="1" applyAlignment="1" applyProtection="1">
      <alignment horizontal="center" vertical="center"/>
      <protection locked="0" hidden="1"/>
    </xf>
    <xf numFmtId="165" fontId="8" fillId="0" borderId="0" xfId="0" applyNumberFormat="1" applyFont="1" applyAlignment="1" applyProtection="1">
      <alignment horizontal="center" vertical="center"/>
      <protection locked="0" hidden="1"/>
    </xf>
    <xf numFmtId="0" fontId="8" fillId="0" borderId="0" xfId="0" applyFont="1" applyBorder="1" applyAlignment="1" applyProtection="1">
      <alignment horizontal="center" vertical="center" textRotation="90"/>
      <protection locked="0" hidden="1"/>
    </xf>
    <xf numFmtId="167" fontId="8" fillId="0" borderId="0" xfId="0" applyNumberFormat="1" applyFont="1" applyFill="1" applyBorder="1" applyAlignment="1" applyProtection="1">
      <alignment vertical="center"/>
      <protection locked="0" hidden="1"/>
    </xf>
    <xf numFmtId="165" fontId="8" fillId="0" borderId="0" xfId="0" applyNumberFormat="1" applyFont="1" applyFill="1" applyBorder="1" applyAlignment="1" applyProtection="1">
      <alignment horizontal="center" vertical="center"/>
      <protection locked="0" hidden="1"/>
    </xf>
    <xf numFmtId="0" fontId="8" fillId="0" borderId="0" xfId="0" applyFont="1" applyFill="1" applyBorder="1" applyAlignment="1" applyProtection="1">
      <alignment horizontal="center" vertical="center" textRotation="90"/>
      <protection locked="0" hidden="1"/>
    </xf>
    <xf numFmtId="0" fontId="8" fillId="0" borderId="0" xfId="0" applyFont="1" applyFill="1" applyBorder="1" applyAlignment="1" applyProtection="1">
      <alignment vertical="center"/>
      <protection locked="0" hidden="1"/>
    </xf>
    <xf numFmtId="0" fontId="8" fillId="0" borderId="0" xfId="0" applyFont="1" applyFill="1" applyBorder="1" applyAlignment="1" applyProtection="1">
      <alignment vertical="center" textRotation="90"/>
      <protection locked="0" hidden="1"/>
    </xf>
    <xf numFmtId="0" fontId="1" fillId="0" borderId="4" xfId="1" applyFont="1" applyBorder="1" applyAlignment="1" applyProtection="1">
      <alignment horizontal="left" vertical="center"/>
      <protection hidden="1"/>
    </xf>
    <xf numFmtId="0" fontId="2" fillId="0" borderId="0" xfId="1" applyFont="1" applyBorder="1" applyAlignment="1" applyProtection="1">
      <alignment horizontal="center" vertical="center"/>
      <protection hidden="1"/>
    </xf>
    <xf numFmtId="0" fontId="1" fillId="0" borderId="3" xfId="1" applyFont="1" applyBorder="1" applyAlignment="1" applyProtection="1">
      <alignment horizontal="left" vertical="center"/>
      <protection hidden="1"/>
    </xf>
    <xf numFmtId="0" fontId="12" fillId="0" borderId="0" xfId="0" applyFont="1" applyAlignment="1" applyProtection="1">
      <alignment vertical="center"/>
      <protection hidden="1"/>
    </xf>
    <xf numFmtId="0" fontId="8" fillId="0" borderId="0" xfId="0" applyFont="1" applyAlignment="1" applyProtection="1">
      <alignment vertical="center"/>
      <protection hidden="1"/>
    </xf>
    <xf numFmtId="0" fontId="1" fillId="0" borderId="4" xfId="1" applyFont="1" applyBorder="1" applyAlignment="1" applyProtection="1">
      <alignment vertical="center"/>
      <protection hidden="1"/>
    </xf>
    <xf numFmtId="0" fontId="1" fillId="0" borderId="3" xfId="1" applyFont="1" applyBorder="1" applyAlignment="1" applyProtection="1">
      <alignment vertical="center"/>
      <protection hidden="1"/>
    </xf>
    <xf numFmtId="0" fontId="21" fillId="0" borderId="0" xfId="0" applyFont="1" applyAlignment="1" applyProtection="1">
      <alignment vertical="center"/>
      <protection hidden="1"/>
    </xf>
    <xf numFmtId="0" fontId="1" fillId="0" borderId="0" xfId="1" applyFont="1" applyBorder="1" applyAlignment="1" applyProtection="1">
      <alignment horizontal="right" vertical="center"/>
      <protection hidden="1"/>
    </xf>
    <xf numFmtId="0" fontId="4" fillId="0" borderId="0" xfId="1" applyFont="1" applyBorder="1" applyAlignment="1" applyProtection="1">
      <alignment horizontal="left" vertical="center"/>
      <protection hidden="1"/>
    </xf>
    <xf numFmtId="0" fontId="8" fillId="0" borderId="0" xfId="0" applyFont="1" applyAlignment="1" applyProtection="1">
      <alignment horizontal="center" vertical="center"/>
      <protection hidden="1"/>
    </xf>
    <xf numFmtId="0" fontId="12" fillId="0" borderId="0" xfId="0" applyFont="1" applyBorder="1" applyAlignment="1" applyProtection="1">
      <alignment vertical="center"/>
      <protection hidden="1"/>
    </xf>
    <xf numFmtId="0" fontId="13" fillId="0" borderId="0" xfId="0" applyFont="1" applyBorder="1" applyAlignment="1" applyProtection="1">
      <alignment vertical="center"/>
      <protection hidden="1"/>
    </xf>
    <xf numFmtId="0" fontId="8" fillId="0" borderId="0" xfId="0" applyFont="1" applyFill="1" applyAlignment="1" applyProtection="1">
      <alignment vertical="center"/>
      <protection hidden="1"/>
    </xf>
    <xf numFmtId="0" fontId="2" fillId="0" borderId="0" xfId="0" applyFont="1" applyBorder="1" applyAlignment="1" applyProtection="1">
      <alignment vertical="center"/>
      <protection hidden="1"/>
    </xf>
    <xf numFmtId="164" fontId="12" fillId="0" borderId="0" xfId="4" applyNumberFormat="1" applyFont="1" applyBorder="1" applyAlignment="1" applyProtection="1">
      <alignment vertical="center"/>
      <protection hidden="1"/>
    </xf>
    <xf numFmtId="0" fontId="30" fillId="0" borderId="0" xfId="1" applyFont="1" applyFill="1" applyBorder="1" applyAlignment="1" applyProtection="1">
      <alignment vertical="center"/>
      <protection hidden="1"/>
    </xf>
    <xf numFmtId="0" fontId="36" fillId="0" borderId="0" xfId="0" applyFont="1" applyAlignment="1" applyProtection="1">
      <alignment vertical="center"/>
      <protection hidden="1"/>
    </xf>
    <xf numFmtId="0" fontId="9" fillId="0" borderId="0" xfId="0" applyFont="1" applyBorder="1" applyAlignment="1" applyProtection="1">
      <alignment vertical="center"/>
      <protection hidden="1"/>
    </xf>
    <xf numFmtId="165" fontId="8" fillId="5" borderId="5" xfId="0" applyNumberFormat="1" applyFont="1" applyFill="1" applyBorder="1" applyAlignment="1" applyProtection="1">
      <alignment horizontal="center" vertical="center"/>
      <protection locked="0" hidden="1"/>
    </xf>
    <xf numFmtId="0" fontId="7" fillId="0" borderId="0" xfId="0" applyFont="1" applyFill="1" applyAlignment="1">
      <alignment horizontal="center"/>
    </xf>
    <xf numFmtId="2" fontId="0" fillId="0" borderId="0" xfId="0" applyNumberFormat="1" applyAlignment="1">
      <alignment horizontal="center" vertical="center"/>
    </xf>
    <xf numFmtId="0" fontId="37" fillId="0" borderId="0" xfId="0" applyFont="1" applyAlignment="1">
      <alignment horizontal="left" vertical="center"/>
    </xf>
    <xf numFmtId="0" fontId="0" fillId="0" borderId="0" xfId="0" applyAlignment="1">
      <alignment horizontal="left" vertical="center" wrapText="1"/>
    </xf>
    <xf numFmtId="0" fontId="0" fillId="0" borderId="0" xfId="0" applyAlignment="1">
      <alignment horizontal="left" vertical="center"/>
    </xf>
    <xf numFmtId="0" fontId="38" fillId="0" borderId="0" xfId="0" applyFont="1"/>
    <xf numFmtId="0" fontId="50" fillId="9" borderId="3" xfId="0" applyFont="1" applyFill="1" applyBorder="1" applyAlignment="1">
      <alignment horizontal="center" vertical="center" wrapText="1" readingOrder="1"/>
    </xf>
    <xf numFmtId="0" fontId="49" fillId="9" borderId="3" xfId="0" applyFont="1" applyFill="1" applyBorder="1" applyAlignment="1">
      <alignment horizontal="center" vertical="center" wrapText="1" readingOrder="1"/>
    </xf>
    <xf numFmtId="0" fontId="50" fillId="0" borderId="3" xfId="0" applyFont="1" applyFill="1" applyBorder="1" applyAlignment="1">
      <alignment horizontal="center" vertical="center" wrapText="1" readingOrder="1"/>
    </xf>
    <xf numFmtId="0" fontId="49" fillId="6" borderId="3" xfId="0" applyFont="1" applyFill="1" applyBorder="1" applyAlignment="1">
      <alignment horizontal="center" vertical="center" wrapText="1" readingOrder="1"/>
    </xf>
    <xf numFmtId="167" fontId="49" fillId="9" borderId="3" xfId="0" applyNumberFormat="1" applyFont="1" applyFill="1" applyBorder="1" applyAlignment="1">
      <alignment horizontal="center" vertical="center" wrapText="1" readingOrder="1"/>
    </xf>
    <xf numFmtId="0" fontId="8" fillId="0" borderId="3" xfId="0" applyFont="1" applyBorder="1" applyAlignment="1">
      <alignment horizontal="center" vertical="center"/>
    </xf>
    <xf numFmtId="0" fontId="8" fillId="6" borderId="3" xfId="0" applyFont="1" applyFill="1" applyBorder="1" applyAlignment="1">
      <alignment horizontal="center" vertical="center"/>
    </xf>
    <xf numFmtId="0" fontId="53" fillId="0" borderId="3" xfId="0" applyFont="1" applyBorder="1" applyAlignment="1">
      <alignment horizontal="center" vertical="center"/>
    </xf>
    <xf numFmtId="0" fontId="1" fillId="0" borderId="0" xfId="1" applyFont="1" applyFill="1" applyBorder="1" applyAlignment="1" applyProtection="1">
      <alignment horizontal="center" vertical="center"/>
      <protection locked="0" hidden="1"/>
    </xf>
    <xf numFmtId="0" fontId="1" fillId="0" borderId="0" xfId="1" applyFont="1" applyFill="1" applyBorder="1" applyAlignment="1" applyProtection="1">
      <alignment vertical="center"/>
      <protection locked="0" hidden="1"/>
    </xf>
    <xf numFmtId="0" fontId="9" fillId="0" borderId="0" xfId="0" applyFont="1" applyFill="1" applyAlignment="1" applyProtection="1">
      <alignment vertical="center"/>
      <protection locked="0"/>
    </xf>
    <xf numFmtId="0" fontId="7" fillId="0" borderId="0" xfId="0" applyFont="1" applyFill="1" applyAlignment="1" applyProtection="1">
      <alignment vertical="center"/>
      <protection locked="0"/>
    </xf>
    <xf numFmtId="0" fontId="0" fillId="0" borderId="0" xfId="0" applyAlignment="1" applyProtection="1">
      <alignment vertical="center"/>
      <protection locked="0"/>
    </xf>
    <xf numFmtId="0" fontId="0" fillId="0" borderId="0" xfId="0" applyAlignment="1" applyProtection="1">
      <alignment horizontal="right" vertical="center"/>
      <protection locked="0"/>
    </xf>
    <xf numFmtId="0" fontId="38" fillId="0" borderId="0" xfId="0" applyFont="1" applyAlignment="1" applyProtection="1">
      <alignment horizontal="right" vertical="center"/>
      <protection locked="0"/>
    </xf>
    <xf numFmtId="0" fontId="0" fillId="0" borderId="0" xfId="0" applyAlignment="1" applyProtection="1">
      <alignment horizontal="center" vertical="center"/>
      <protection locked="0"/>
    </xf>
    <xf numFmtId="0" fontId="0" fillId="0" borderId="0" xfId="0" applyFont="1" applyFill="1" applyAlignment="1" applyProtection="1">
      <alignment vertical="center"/>
      <protection locked="0"/>
    </xf>
    <xf numFmtId="0" fontId="0" fillId="0" borderId="0" xfId="0" applyFont="1" applyFill="1" applyAlignment="1" applyProtection="1">
      <alignment vertical="center" wrapText="1"/>
      <protection locked="0"/>
    </xf>
    <xf numFmtId="0" fontId="0" fillId="0" borderId="0" xfId="0" applyFont="1" applyFill="1" applyAlignment="1" applyProtection="1">
      <alignment horizontal="right" vertical="center"/>
      <protection locked="0"/>
    </xf>
    <xf numFmtId="0" fontId="0" fillId="6" borderId="3" xfId="0" applyFont="1" applyFill="1" applyBorder="1" applyAlignment="1" applyProtection="1">
      <alignment vertical="center"/>
      <protection locked="0"/>
    </xf>
    <xf numFmtId="0" fontId="0" fillId="0" borderId="38" xfId="0" applyBorder="1" applyAlignment="1" applyProtection="1">
      <alignment vertical="center"/>
      <protection locked="0"/>
    </xf>
    <xf numFmtId="0" fontId="0" fillId="0" borderId="37" xfId="0" applyBorder="1" applyAlignment="1" applyProtection="1">
      <alignment vertical="center"/>
      <protection locked="0"/>
    </xf>
    <xf numFmtId="0" fontId="0" fillId="0" borderId="37" xfId="0" applyBorder="1" applyAlignment="1" applyProtection="1">
      <alignment horizontal="right" vertical="center"/>
      <protection locked="0"/>
    </xf>
    <xf numFmtId="0" fontId="38" fillId="0" borderId="37" xfId="0" applyFont="1" applyBorder="1" applyAlignment="1" applyProtection="1">
      <alignment horizontal="right" vertical="center"/>
      <protection locked="0"/>
    </xf>
    <xf numFmtId="0" fontId="0" fillId="0" borderId="37" xfId="0" applyBorder="1" applyAlignment="1" applyProtection="1">
      <alignment horizontal="center" vertical="center"/>
      <protection locked="0"/>
    </xf>
    <xf numFmtId="0" fontId="0" fillId="0" borderId="39" xfId="0" applyBorder="1" applyAlignment="1" applyProtection="1">
      <alignment vertical="center"/>
      <protection locked="0"/>
    </xf>
    <xf numFmtId="0" fontId="0" fillId="0" borderId="32" xfId="0" applyBorder="1" applyAlignment="1" applyProtection="1">
      <alignment vertical="center"/>
      <protection locked="0"/>
    </xf>
    <xf numFmtId="0" fontId="0" fillId="0" borderId="0" xfId="0" applyBorder="1" applyAlignment="1" applyProtection="1">
      <alignment vertical="center"/>
      <protection locked="0"/>
    </xf>
    <xf numFmtId="0" fontId="0" fillId="0" borderId="0" xfId="0" applyBorder="1" applyAlignment="1" applyProtection="1">
      <alignment horizontal="right" vertical="center"/>
      <protection locked="0"/>
    </xf>
    <xf numFmtId="0" fontId="38" fillId="0" borderId="0" xfId="0" applyFont="1" applyBorder="1" applyAlignment="1" applyProtection="1">
      <alignment horizontal="right" vertical="center"/>
      <protection locked="0"/>
    </xf>
    <xf numFmtId="0" fontId="0" fillId="0" borderId="0" xfId="0" applyBorder="1" applyAlignment="1" applyProtection="1">
      <alignment horizontal="center" vertical="center"/>
      <protection locked="0"/>
    </xf>
    <xf numFmtId="0" fontId="0" fillId="0" borderId="40" xfId="0" applyBorder="1" applyAlignment="1" applyProtection="1">
      <alignment vertical="center"/>
      <protection locked="0"/>
    </xf>
    <xf numFmtId="0" fontId="0" fillId="6" borderId="3" xfId="0" applyFont="1" applyFill="1" applyBorder="1" applyAlignment="1" applyProtection="1">
      <alignment horizontal="center" vertical="center"/>
      <protection locked="0"/>
    </xf>
    <xf numFmtId="0" fontId="0" fillId="0" borderId="3" xfId="0" applyBorder="1" applyAlignment="1" applyProtection="1">
      <alignment vertical="center"/>
      <protection locked="0"/>
    </xf>
    <xf numFmtId="0" fontId="0" fillId="0" borderId="0" xfId="0" quotePrefix="1" applyAlignment="1" applyProtection="1">
      <alignment horizontal="right" vertical="center"/>
      <protection locked="0"/>
    </xf>
    <xf numFmtId="0" fontId="0" fillId="0" borderId="0" xfId="0" applyAlignment="1" applyProtection="1">
      <alignment horizontal="left" vertical="center"/>
      <protection locked="0"/>
    </xf>
    <xf numFmtId="0" fontId="0" fillId="0" borderId="31" xfId="0" applyBorder="1" applyAlignment="1" applyProtection="1">
      <alignment vertical="center"/>
      <protection locked="0"/>
    </xf>
    <xf numFmtId="0" fontId="0" fillId="0" borderId="2" xfId="0" applyBorder="1" applyAlignment="1" applyProtection="1">
      <alignment vertical="center"/>
      <protection locked="0"/>
    </xf>
    <xf numFmtId="0" fontId="0" fillId="0" borderId="2" xfId="0" applyBorder="1" applyAlignment="1" applyProtection="1">
      <alignment horizontal="right" vertical="center"/>
      <protection locked="0"/>
    </xf>
    <xf numFmtId="0" fontId="38" fillId="0" borderId="2" xfId="0" applyFont="1" applyBorder="1" applyAlignment="1" applyProtection="1">
      <alignment horizontal="right" vertical="center"/>
      <protection locked="0"/>
    </xf>
    <xf numFmtId="0" fontId="0" fillId="0" borderId="2" xfId="0" applyBorder="1" applyAlignment="1" applyProtection="1">
      <alignment horizontal="center" vertical="center"/>
      <protection locked="0"/>
    </xf>
    <xf numFmtId="0" fontId="0" fillId="0" borderId="1" xfId="0" applyBorder="1" applyAlignment="1" applyProtection="1">
      <alignment vertical="center"/>
      <protection locked="0"/>
    </xf>
    <xf numFmtId="0" fontId="29" fillId="0" borderId="0" xfId="0" applyFont="1" applyFill="1" applyBorder="1" applyAlignment="1" applyProtection="1">
      <alignment vertical="center"/>
      <protection locked="0"/>
    </xf>
    <xf numFmtId="0" fontId="0" fillId="0" borderId="0" xfId="0" applyFill="1" applyBorder="1" applyAlignment="1" applyProtection="1">
      <alignment horizontal="right" vertical="center"/>
      <protection locked="0"/>
    </xf>
    <xf numFmtId="0" fontId="0" fillId="0" borderId="0" xfId="0" applyFill="1" applyBorder="1" applyAlignment="1" applyProtection="1">
      <alignment vertical="center"/>
      <protection locked="0"/>
    </xf>
    <xf numFmtId="0" fontId="0" fillId="0" borderId="0" xfId="0" applyFill="1" applyBorder="1" applyAlignment="1" applyProtection="1">
      <alignment horizontal="center" vertical="center"/>
      <protection locked="0"/>
    </xf>
    <xf numFmtId="167" fontId="0" fillId="0" borderId="0" xfId="0" applyNumberFormat="1" applyFill="1" applyBorder="1" applyAlignment="1" applyProtection="1">
      <alignment horizontal="center" vertical="center"/>
      <protection locked="0"/>
    </xf>
    <xf numFmtId="0" fontId="0" fillId="0" borderId="0" xfId="0" applyFill="1" applyAlignment="1" applyProtection="1">
      <alignment vertical="center"/>
      <protection locked="0"/>
    </xf>
    <xf numFmtId="167" fontId="0" fillId="0" borderId="0" xfId="0" applyNumberFormat="1" applyAlignment="1" applyProtection="1">
      <alignment horizontal="center" vertical="center"/>
      <protection locked="0"/>
    </xf>
    <xf numFmtId="0" fontId="39" fillId="0" borderId="0" xfId="0" applyFont="1" applyAlignment="1" applyProtection="1">
      <alignment horizontal="right" vertical="center"/>
      <protection locked="0"/>
    </xf>
    <xf numFmtId="2" fontId="0" fillId="0" borderId="0" xfId="0" applyNumberFormat="1" applyAlignment="1" applyProtection="1">
      <alignment horizontal="center" vertical="center"/>
      <protection locked="0"/>
    </xf>
    <xf numFmtId="0" fontId="38" fillId="0" borderId="0" xfId="0" quotePrefix="1" applyFont="1" applyAlignment="1" applyProtection="1">
      <alignment vertical="center"/>
      <protection locked="0"/>
    </xf>
    <xf numFmtId="0" fontId="0" fillId="0" borderId="3" xfId="0" applyFill="1" applyBorder="1" applyAlignment="1" applyProtection="1">
      <alignment horizontal="center" vertical="center"/>
      <protection locked="0"/>
    </xf>
    <xf numFmtId="0" fontId="0" fillId="0" borderId="0" xfId="0" quotePrefix="1" applyFont="1" applyAlignment="1" applyProtection="1">
      <alignment vertical="center"/>
      <protection locked="0"/>
    </xf>
    <xf numFmtId="0" fontId="0" fillId="0" borderId="0" xfId="0" applyFill="1" applyAlignment="1" applyProtection="1">
      <alignment horizontal="center" vertical="center"/>
      <protection locked="0"/>
    </xf>
    <xf numFmtId="0" fontId="0" fillId="0" borderId="0" xfId="0" applyFont="1" applyAlignment="1" applyProtection="1">
      <alignment vertical="center"/>
      <protection locked="0"/>
    </xf>
    <xf numFmtId="0" fontId="41" fillId="0" borderId="0" xfId="0" applyFont="1" applyAlignment="1" applyProtection="1">
      <alignment vertical="center"/>
      <protection locked="0"/>
    </xf>
    <xf numFmtId="0" fontId="0" fillId="0" borderId="0" xfId="0" applyFont="1" applyAlignment="1" applyProtection="1">
      <alignment horizontal="right" vertical="center"/>
      <protection locked="0"/>
    </xf>
    <xf numFmtId="166" fontId="0" fillId="0" borderId="0" xfId="0" applyNumberFormat="1" applyAlignment="1" applyProtection="1">
      <alignment horizontal="left" vertical="center"/>
      <protection locked="0"/>
    </xf>
    <xf numFmtId="166" fontId="0" fillId="0" borderId="0" xfId="0" applyNumberFormat="1" applyAlignment="1" applyProtection="1">
      <alignment horizontal="center" vertical="center"/>
      <protection locked="0"/>
    </xf>
    <xf numFmtId="0" fontId="42" fillId="0" borderId="0" xfId="0" applyFont="1" applyAlignment="1" applyProtection="1">
      <alignment horizontal="right" vertical="center"/>
      <protection locked="0"/>
    </xf>
    <xf numFmtId="0" fontId="7" fillId="0" borderId="0" xfId="0" applyFont="1" applyAlignment="1" applyProtection="1">
      <alignment horizontal="right" vertical="center"/>
      <protection locked="0"/>
    </xf>
    <xf numFmtId="2" fontId="7" fillId="0" borderId="0" xfId="0" applyNumberFormat="1" applyFont="1" applyFill="1" applyAlignment="1" applyProtection="1">
      <alignment horizontal="center" vertical="center"/>
      <protection locked="0"/>
    </xf>
    <xf numFmtId="0" fontId="7" fillId="0" borderId="0" xfId="0" applyFont="1" applyAlignment="1" applyProtection="1">
      <alignment vertical="center"/>
      <protection locked="0"/>
    </xf>
    <xf numFmtId="0" fontId="7" fillId="0" borderId="0" xfId="0" applyFont="1" applyAlignment="1" applyProtection="1">
      <alignment horizontal="center" vertical="center"/>
      <protection locked="0"/>
    </xf>
    <xf numFmtId="2" fontId="7" fillId="0" borderId="0" xfId="0" applyNumberFormat="1" applyFont="1" applyAlignment="1" applyProtection="1">
      <alignment horizontal="center" vertical="center"/>
      <protection locked="0"/>
    </xf>
    <xf numFmtId="10" fontId="7" fillId="6" borderId="3" xfId="0" applyNumberFormat="1" applyFont="1" applyFill="1" applyBorder="1" applyAlignment="1" applyProtection="1">
      <alignment horizontal="center" vertical="center"/>
      <protection locked="0"/>
    </xf>
    <xf numFmtId="167" fontId="0" fillId="0" borderId="3" xfId="0" applyNumberFormat="1" applyFill="1" applyBorder="1" applyAlignment="1" applyProtection="1">
      <alignment horizontal="center" vertical="center"/>
      <protection locked="0"/>
    </xf>
    <xf numFmtId="0" fontId="0" fillId="0" borderId="0" xfId="0" quotePrefix="1" applyFont="1" applyAlignment="1" applyProtection="1">
      <alignment horizontal="left" vertical="center"/>
      <protection locked="0"/>
    </xf>
    <xf numFmtId="0" fontId="0" fillId="0" borderId="0" xfId="0" applyNumberFormat="1" applyFill="1" applyAlignment="1" applyProtection="1">
      <alignment horizontal="center" vertical="center"/>
      <protection locked="0"/>
    </xf>
    <xf numFmtId="0" fontId="7" fillId="0" borderId="0" xfId="0" applyFont="1" applyFill="1" applyAlignment="1" applyProtection="1">
      <alignment horizontal="center" vertical="center"/>
      <protection locked="0"/>
    </xf>
    <xf numFmtId="0" fontId="39" fillId="0" borderId="0" xfId="0" applyFont="1" applyAlignment="1" applyProtection="1">
      <alignment horizontal="left" vertical="center"/>
      <protection locked="0"/>
    </xf>
    <xf numFmtId="0" fontId="28" fillId="0" borderId="0" xfId="0" applyFont="1" applyAlignment="1" applyProtection="1">
      <alignment horizontal="right" vertical="center"/>
      <protection locked="0"/>
    </xf>
    <xf numFmtId="0" fontId="0" fillId="0" borderId="0" xfId="0" applyFill="1" applyAlignment="1" applyProtection="1">
      <alignment horizontal="right" vertical="center"/>
      <protection locked="0"/>
    </xf>
    <xf numFmtId="0" fontId="42" fillId="0" borderId="0" xfId="0" applyFont="1" applyFill="1" applyAlignment="1" applyProtection="1">
      <alignment horizontal="right" vertical="center"/>
      <protection locked="0"/>
    </xf>
    <xf numFmtId="0" fontId="7" fillId="0" borderId="0" xfId="0" applyFont="1" applyFill="1" applyAlignment="1" applyProtection="1">
      <alignment horizontal="right" vertical="center"/>
      <protection locked="0"/>
    </xf>
    <xf numFmtId="0" fontId="28" fillId="0" borderId="0" xfId="0" applyFont="1" applyFill="1" applyAlignment="1" applyProtection="1">
      <alignment horizontal="right" vertical="center"/>
      <protection locked="0"/>
    </xf>
    <xf numFmtId="10" fontId="7" fillId="0" borderId="0" xfId="0" applyNumberFormat="1" applyFont="1" applyFill="1" applyBorder="1" applyAlignment="1" applyProtection="1">
      <alignment horizontal="center" vertical="center"/>
      <protection locked="0"/>
    </xf>
    <xf numFmtId="0" fontId="29" fillId="0" borderId="0" xfId="0" applyFont="1" applyFill="1" applyAlignment="1" applyProtection="1">
      <alignment horizontal="center" vertical="center"/>
      <protection locked="0"/>
    </xf>
    <xf numFmtId="0" fontId="38" fillId="0" borderId="0" xfId="0" applyFont="1" applyAlignment="1" applyProtection="1">
      <alignment horizontal="left" vertical="center"/>
      <protection locked="0"/>
    </xf>
    <xf numFmtId="0" fontId="0" fillId="0" borderId="0" xfId="0" applyFont="1" applyAlignment="1" applyProtection="1">
      <alignment horizontal="left" vertical="center"/>
      <protection locked="0"/>
    </xf>
    <xf numFmtId="0" fontId="54" fillId="0" borderId="0" xfId="0" applyFont="1" applyFill="1" applyAlignment="1" applyProtection="1">
      <alignment horizontal="center" vertical="center"/>
      <protection locked="0"/>
    </xf>
    <xf numFmtId="0" fontId="0" fillId="0" borderId="3" xfId="0" applyBorder="1" applyAlignment="1" applyProtection="1">
      <alignment horizontal="center" vertical="center" wrapText="1"/>
      <protection locked="0"/>
    </xf>
    <xf numFmtId="0" fontId="0" fillId="0" borderId="3" xfId="0" applyBorder="1" applyAlignment="1" applyProtection="1">
      <alignment horizontal="center" vertical="center"/>
      <protection locked="0"/>
    </xf>
    <xf numFmtId="167" fontId="0" fillId="0" borderId="0" xfId="0" applyNumberFormat="1" applyFill="1" applyAlignment="1" applyProtection="1">
      <alignment vertical="center"/>
      <protection locked="0"/>
    </xf>
    <xf numFmtId="167" fontId="0" fillId="0" borderId="0" xfId="0" applyNumberFormat="1" applyFill="1" applyAlignment="1" applyProtection="1">
      <alignment horizontal="center" vertical="center"/>
      <protection locked="0"/>
    </xf>
    <xf numFmtId="0" fontId="17" fillId="0" borderId="0" xfId="0" applyFont="1" applyFill="1" applyAlignment="1" applyProtection="1">
      <alignment vertical="center"/>
      <protection locked="0" hidden="1"/>
    </xf>
    <xf numFmtId="0" fontId="30" fillId="0" borderId="0" xfId="1" applyFont="1" applyFill="1" applyBorder="1" applyAlignment="1" applyProtection="1">
      <alignment vertical="center"/>
      <protection locked="0" hidden="1"/>
    </xf>
    <xf numFmtId="0" fontId="1" fillId="0" borderId="0" xfId="1" applyFont="1" applyFill="1" applyBorder="1" applyAlignment="1" applyProtection="1">
      <alignment horizontal="right" vertical="center"/>
      <protection locked="0" hidden="1"/>
    </xf>
    <xf numFmtId="0" fontId="55" fillId="0" borderId="0" xfId="0" applyFont="1" applyAlignment="1" applyProtection="1">
      <alignment vertical="center"/>
      <protection locked="0"/>
    </xf>
    <xf numFmtId="0" fontId="12" fillId="0" borderId="3" xfId="0" applyFont="1" applyBorder="1" applyAlignment="1" applyProtection="1">
      <alignment vertical="center"/>
      <protection locked="0"/>
    </xf>
    <xf numFmtId="0" fontId="12" fillId="0" borderId="0" xfId="0" applyFont="1" applyAlignment="1" applyProtection="1">
      <alignment vertical="center"/>
      <protection locked="0"/>
    </xf>
    <xf numFmtId="0" fontId="12" fillId="0" borderId="0" xfId="0" applyFont="1" applyAlignment="1" applyProtection="1">
      <alignment horizontal="right" vertical="center"/>
      <protection locked="0"/>
    </xf>
    <xf numFmtId="0" fontId="56" fillId="0" borderId="0" xfId="0" applyFont="1" applyAlignment="1" applyProtection="1">
      <alignment horizontal="right" vertical="center"/>
      <protection locked="0"/>
    </xf>
    <xf numFmtId="0" fontId="14" fillId="0" borderId="3" xfId="0" applyFont="1" applyBorder="1" applyAlignment="1" applyProtection="1">
      <alignment horizontal="center" vertical="center"/>
      <protection locked="0"/>
    </xf>
    <xf numFmtId="0" fontId="0" fillId="0" borderId="0" xfId="0" applyFont="1" applyAlignment="1" applyProtection="1">
      <alignment horizontal="center" vertical="center"/>
      <protection locked="0"/>
    </xf>
    <xf numFmtId="2" fontId="14" fillId="0" borderId="3" xfId="0" applyNumberFormat="1" applyFont="1" applyFill="1" applyBorder="1" applyAlignment="1" applyProtection="1">
      <alignment horizontal="center" vertical="center"/>
      <protection locked="0"/>
    </xf>
    <xf numFmtId="0" fontId="0" fillId="6" borderId="3" xfId="0" applyFont="1" applyFill="1" applyBorder="1" applyAlignment="1" applyProtection="1">
      <alignment horizontal="center" vertical="center"/>
    </xf>
    <xf numFmtId="0" fontId="0" fillId="0" borderId="0" xfId="0" applyFill="1"/>
    <xf numFmtId="0" fontId="17" fillId="0" borderId="0" xfId="0" applyFont="1" applyFill="1" applyAlignment="1" applyProtection="1">
      <alignment vertical="center"/>
      <protection locked="0"/>
    </xf>
    <xf numFmtId="0" fontId="49" fillId="0" borderId="3" xfId="0" quotePrefix="1" applyFont="1" applyFill="1" applyBorder="1" applyAlignment="1">
      <alignment horizontal="center" vertical="center" wrapText="1" readingOrder="1"/>
    </xf>
    <xf numFmtId="0" fontId="59" fillId="0" borderId="0" xfId="5" applyFont="1"/>
    <xf numFmtId="0" fontId="62" fillId="0" borderId="0" xfId="5" applyFont="1"/>
    <xf numFmtId="0" fontId="62" fillId="0" borderId="0" xfId="5" applyFont="1" applyFill="1"/>
    <xf numFmtId="0" fontId="60" fillId="0" borderId="0" xfId="0" applyFont="1" applyAlignment="1" applyProtection="1">
      <alignment vertical="center"/>
      <protection hidden="1"/>
    </xf>
    <xf numFmtId="0" fontId="10" fillId="0" borderId="0" xfId="0" applyFont="1" applyAlignment="1" applyProtection="1">
      <alignment vertical="center"/>
      <protection hidden="1"/>
    </xf>
    <xf numFmtId="0" fontId="61" fillId="0" borderId="0" xfId="0" applyFont="1" applyAlignment="1" applyProtection="1">
      <alignment vertical="center"/>
      <protection hidden="1"/>
    </xf>
    <xf numFmtId="0" fontId="0" fillId="0" borderId="0" xfId="0" applyFont="1" applyFill="1" applyAlignment="1" applyProtection="1">
      <alignment horizontal="center" vertical="center"/>
      <protection locked="0"/>
    </xf>
    <xf numFmtId="0" fontId="12" fillId="0" borderId="3" xfId="0" applyFont="1" applyFill="1" applyBorder="1" applyAlignment="1" applyProtection="1">
      <alignment horizontal="center" vertical="center"/>
      <protection locked="0"/>
    </xf>
    <xf numFmtId="0" fontId="62" fillId="0" borderId="0" xfId="5" applyFont="1" applyBorder="1" applyAlignment="1" applyProtection="1">
      <alignment vertical="center"/>
      <protection locked="0"/>
    </xf>
    <xf numFmtId="0" fontId="38" fillId="0" borderId="0" xfId="0" applyFont="1" applyAlignment="1" applyProtection="1">
      <alignment vertical="center" wrapText="1"/>
      <protection locked="0"/>
    </xf>
    <xf numFmtId="0" fontId="38" fillId="0" borderId="0" xfId="0" applyFont="1" applyFill="1" applyAlignment="1" applyProtection="1">
      <alignment horizontal="right" vertical="center"/>
      <protection locked="0"/>
    </xf>
    <xf numFmtId="0" fontId="0" fillId="0" borderId="0" xfId="0" applyFont="1" applyFill="1" applyAlignment="1" applyProtection="1">
      <alignment horizontal="left" vertical="center"/>
      <protection locked="0"/>
    </xf>
    <xf numFmtId="0" fontId="0" fillId="6" borderId="3" xfId="0" applyFill="1" applyBorder="1" applyAlignment="1" applyProtection="1">
      <alignment horizontal="center" vertical="center"/>
      <protection locked="0"/>
    </xf>
    <xf numFmtId="0" fontId="0" fillId="0" borderId="0" xfId="0" quotePrefix="1" applyAlignment="1" applyProtection="1">
      <alignment vertical="center"/>
      <protection locked="0"/>
    </xf>
    <xf numFmtId="0" fontId="0" fillId="0" borderId="0" xfId="0" quotePrefix="1" applyAlignment="1" applyProtection="1">
      <alignment vertical="center" wrapText="1"/>
      <protection locked="0"/>
    </xf>
    <xf numFmtId="0" fontId="0" fillId="0" borderId="0" xfId="0" quotePrefix="1" applyAlignment="1" applyProtection="1">
      <alignment vertical="top" wrapText="1"/>
      <protection locked="0"/>
    </xf>
    <xf numFmtId="0" fontId="54" fillId="0" borderId="0" xfId="0" applyFont="1" applyAlignment="1" applyProtection="1">
      <alignment vertical="center"/>
      <protection locked="0"/>
    </xf>
    <xf numFmtId="164" fontId="14" fillId="0" borderId="3" xfId="0" applyNumberFormat="1" applyFont="1" applyFill="1" applyBorder="1" applyAlignment="1" applyProtection="1">
      <alignment horizontal="center" vertical="center"/>
      <protection locked="0"/>
    </xf>
    <xf numFmtId="0" fontId="14" fillId="0" borderId="3" xfId="0" quotePrefix="1" applyFont="1" applyFill="1" applyBorder="1" applyAlignment="1" applyProtection="1">
      <alignment horizontal="center" vertical="center"/>
      <protection locked="0"/>
    </xf>
    <xf numFmtId="2" fontId="7" fillId="0" borderId="3" xfId="0" applyNumberFormat="1" applyFont="1" applyFill="1" applyBorder="1" applyAlignment="1" applyProtection="1">
      <alignment horizontal="center" vertical="center"/>
      <protection locked="0"/>
    </xf>
    <xf numFmtId="0" fontId="7" fillId="0" borderId="0" xfId="0" applyFont="1" applyAlignment="1" applyProtection="1">
      <alignment horizontal="left" vertical="center"/>
      <protection locked="0"/>
    </xf>
    <xf numFmtId="0" fontId="0" fillId="0" borderId="0" xfId="0" applyFill="1"/>
    <xf numFmtId="0" fontId="0" fillId="0" borderId="0" xfId="0" applyFill="1"/>
    <xf numFmtId="0" fontId="0" fillId="0" borderId="0" xfId="0" quotePrefix="1" applyAlignment="1">
      <alignment horizontal="left" vertical="center" wrapText="1"/>
    </xf>
    <xf numFmtId="0" fontId="12" fillId="0" borderId="0" xfId="0" applyFont="1" applyFill="1" applyAlignment="1">
      <alignment horizontal="right" vertical="center"/>
    </xf>
    <xf numFmtId="0" fontId="0" fillId="10" borderId="22" xfId="0" applyFill="1" applyBorder="1"/>
    <xf numFmtId="0" fontId="7" fillId="10" borderId="24" xfId="0" applyFont="1" applyFill="1" applyBorder="1"/>
    <xf numFmtId="2" fontId="12" fillId="0" borderId="0" xfId="0" applyNumberFormat="1" applyFont="1" applyFill="1" applyAlignment="1">
      <alignment horizontal="center"/>
    </xf>
    <xf numFmtId="2" fontId="0" fillId="0" borderId="0" xfId="0" applyNumberFormat="1" applyFill="1" applyAlignment="1">
      <alignment horizontal="center"/>
    </xf>
    <xf numFmtId="2" fontId="12" fillId="0" borderId="0" xfId="0" applyNumberFormat="1" applyFont="1" applyFill="1"/>
    <xf numFmtId="0" fontId="12" fillId="10" borderId="30" xfId="0" applyFont="1" applyFill="1" applyBorder="1"/>
    <xf numFmtId="0" fontId="12" fillId="10" borderId="41" xfId="0" applyFont="1" applyFill="1" applyBorder="1"/>
    <xf numFmtId="0" fontId="0" fillId="0" borderId="0" xfId="0" applyFill="1"/>
    <xf numFmtId="0" fontId="7" fillId="0" borderId="0" xfId="0" applyFont="1" applyAlignment="1">
      <alignment horizontal="center"/>
    </xf>
    <xf numFmtId="0" fontId="0" fillId="0" borderId="0" xfId="0" applyAlignment="1">
      <alignment vertical="center"/>
    </xf>
    <xf numFmtId="0" fontId="38" fillId="0" borderId="0" xfId="0" applyFont="1" applyFill="1" applyAlignment="1" applyProtection="1">
      <alignment horizontal="right" vertical="center" wrapText="1"/>
      <protection locked="0"/>
    </xf>
    <xf numFmtId="0" fontId="7" fillId="0" borderId="0" xfId="0" applyFont="1" applyAlignment="1">
      <alignment horizontal="center" vertical="center"/>
    </xf>
    <xf numFmtId="0" fontId="0" fillId="0" borderId="0" xfId="0" applyFill="1" applyAlignment="1">
      <alignment horizontal="right" vertical="center"/>
    </xf>
    <xf numFmtId="0" fontId="0" fillId="0" borderId="0" xfId="0" applyFill="1" applyBorder="1" applyAlignment="1">
      <alignment horizontal="center" vertical="center"/>
    </xf>
    <xf numFmtId="0" fontId="0" fillId="0" borderId="0" xfId="0" applyFill="1" applyAlignment="1">
      <alignment vertical="center"/>
    </xf>
    <xf numFmtId="0" fontId="7" fillId="0" borderId="0" xfId="0" applyFont="1" applyFill="1" applyAlignment="1">
      <alignment vertical="center"/>
    </xf>
    <xf numFmtId="0" fontId="39" fillId="0" borderId="0" xfId="0" applyFont="1" applyAlignment="1">
      <alignment horizontal="right" vertical="center"/>
    </xf>
    <xf numFmtId="0" fontId="8" fillId="0" borderId="0" xfId="0" applyFont="1" applyAlignment="1" applyProtection="1">
      <alignment horizontal="center" vertical="center"/>
      <protection locked="0" hidden="1"/>
    </xf>
    <xf numFmtId="0" fontId="7" fillId="0" borderId="0" xfId="0" applyFont="1" applyAlignment="1">
      <alignment vertical="center"/>
    </xf>
    <xf numFmtId="0" fontId="30" fillId="7" borderId="3" xfId="0" applyFont="1" applyFill="1" applyBorder="1" applyAlignment="1">
      <alignment horizontal="center" vertical="center"/>
    </xf>
    <xf numFmtId="0" fontId="14" fillId="0" borderId="3" xfId="0" applyFont="1" applyBorder="1" applyAlignment="1">
      <alignment horizontal="center" vertical="center"/>
    </xf>
    <xf numFmtId="0" fontId="1" fillId="0" borderId="0" xfId="1" applyFont="1" applyFill="1" applyBorder="1" applyAlignment="1" applyProtection="1">
      <alignment horizontal="right" vertical="center"/>
      <protection hidden="1"/>
    </xf>
    <xf numFmtId="0" fontId="1" fillId="0" borderId="0" xfId="1" applyFont="1" applyBorder="1" applyAlignment="1" applyProtection="1">
      <alignment vertical="center"/>
      <protection hidden="1"/>
    </xf>
    <xf numFmtId="2" fontId="0" fillId="0" borderId="0" xfId="0" applyNumberFormat="1" applyFill="1" applyBorder="1" applyAlignment="1">
      <alignment horizontal="center" vertical="center"/>
    </xf>
    <xf numFmtId="0" fontId="12" fillId="0" borderId="0" xfId="0" applyFont="1" applyFill="1" applyAlignment="1" applyProtection="1">
      <alignment vertical="center"/>
      <protection hidden="1"/>
    </xf>
    <xf numFmtId="0" fontId="0" fillId="0" borderId="0" xfId="0" applyFont="1" applyFill="1" applyAlignment="1">
      <alignment vertical="center"/>
    </xf>
    <xf numFmtId="2" fontId="0" fillId="0" borderId="0" xfId="0" applyNumberFormat="1" applyFill="1" applyAlignment="1">
      <alignment horizontal="center" vertical="center"/>
    </xf>
    <xf numFmtId="0" fontId="0" fillId="0" borderId="0" xfId="0" quotePrefix="1" applyAlignment="1">
      <alignment vertical="center"/>
    </xf>
    <xf numFmtId="2" fontId="0" fillId="0" borderId="0" xfId="0" applyNumberFormat="1" applyFill="1" applyAlignment="1">
      <alignment horizontal="left" vertical="center"/>
    </xf>
    <xf numFmtId="10" fontId="0" fillId="0" borderId="0" xfId="0" applyNumberFormat="1" applyFont="1" applyAlignment="1">
      <alignment horizontal="left"/>
    </xf>
    <xf numFmtId="0" fontId="0" fillId="0" borderId="0" xfId="0" applyFont="1" applyAlignment="1">
      <alignment horizontal="left" vertical="center"/>
    </xf>
    <xf numFmtId="0" fontId="0" fillId="0" borderId="0" xfId="0" applyFont="1" applyAlignment="1">
      <alignment horizontal="left"/>
    </xf>
    <xf numFmtId="0" fontId="12" fillId="0" borderId="0" xfId="0" applyFont="1" applyAlignment="1">
      <alignment vertical="center"/>
    </xf>
    <xf numFmtId="0" fontId="0" fillId="0" borderId="0" xfId="0" applyAlignment="1">
      <alignment vertical="center" wrapText="1"/>
    </xf>
    <xf numFmtId="0" fontId="12" fillId="0" borderId="0" xfId="0" applyFont="1" applyAlignment="1">
      <alignment horizontal="center" vertical="center" wrapText="1"/>
    </xf>
    <xf numFmtId="0" fontId="12" fillId="0" borderId="0" xfId="0" applyFont="1" applyAlignment="1">
      <alignment horizontal="left" vertical="center"/>
    </xf>
    <xf numFmtId="0" fontId="1" fillId="0" borderId="0" xfId="0" applyFont="1" applyFill="1" applyBorder="1" applyAlignment="1">
      <alignment vertical="center"/>
    </xf>
    <xf numFmtId="166" fontId="1" fillId="0" borderId="0" xfId="0" applyNumberFormat="1" applyFont="1" applyFill="1" applyBorder="1" applyAlignment="1">
      <alignment vertical="center"/>
    </xf>
    <xf numFmtId="166" fontId="1" fillId="0" borderId="0" xfId="0" applyNumberFormat="1" applyFont="1" applyFill="1" applyBorder="1" applyAlignment="1">
      <alignment horizontal="center" vertical="center"/>
    </xf>
    <xf numFmtId="2" fontId="12" fillId="0" borderId="3" xfId="0" applyNumberFormat="1" applyFont="1" applyBorder="1" applyAlignment="1">
      <alignment horizontal="center" vertical="center"/>
    </xf>
    <xf numFmtId="164" fontId="14" fillId="0" borderId="3" xfId="0" applyNumberFormat="1" applyFont="1" applyBorder="1" applyAlignment="1">
      <alignment horizontal="center" vertical="center"/>
    </xf>
    <xf numFmtId="0" fontId="1" fillId="0" borderId="0" xfId="0" applyFont="1" applyFill="1" applyBorder="1" applyAlignment="1">
      <alignment horizontal="right" vertical="center"/>
    </xf>
    <xf numFmtId="0" fontId="7" fillId="0" borderId="0" xfId="0" applyFont="1" applyAlignment="1">
      <alignment horizontal="right" vertical="center"/>
    </xf>
    <xf numFmtId="0" fontId="12" fillId="0" borderId="0" xfId="0" applyFont="1" applyFill="1" applyBorder="1" applyAlignment="1" applyProtection="1">
      <alignment vertical="center"/>
      <protection hidden="1"/>
    </xf>
    <xf numFmtId="0" fontId="64" fillId="0" borderId="0" xfId="0" applyFont="1" applyFill="1" applyAlignment="1">
      <alignment vertical="center"/>
    </xf>
    <xf numFmtId="0" fontId="0" fillId="0" borderId="0" xfId="0" applyAlignment="1">
      <alignment horizontal="left" vertical="center" wrapText="1"/>
    </xf>
    <xf numFmtId="0" fontId="12" fillId="0" borderId="0" xfId="0" applyFont="1" applyFill="1" applyAlignment="1">
      <alignment horizontal="center" vertical="center"/>
    </xf>
    <xf numFmtId="0" fontId="12" fillId="0" borderId="3" xfId="0" applyFont="1" applyFill="1" applyBorder="1" applyAlignment="1">
      <alignment horizontal="center" vertical="center"/>
    </xf>
    <xf numFmtId="10" fontId="7" fillId="6" borderId="3" xfId="0" applyNumberFormat="1" applyFont="1" applyFill="1" applyBorder="1" applyAlignment="1">
      <alignment horizontal="center"/>
    </xf>
    <xf numFmtId="165" fontId="12" fillId="0" borderId="0" xfId="0" applyNumberFormat="1" applyFont="1" applyFill="1" applyAlignment="1">
      <alignment horizontal="center"/>
    </xf>
    <xf numFmtId="0" fontId="7" fillId="0" borderId="0" xfId="0" applyFont="1" applyFill="1" applyBorder="1"/>
    <xf numFmtId="0" fontId="12" fillId="0" borderId="0" xfId="0" applyFont="1" applyFill="1" applyBorder="1"/>
    <xf numFmtId="0" fontId="56" fillId="0" borderId="0" xfId="0" applyFont="1" applyFill="1" applyAlignment="1">
      <alignment horizontal="right"/>
    </xf>
    <xf numFmtId="166" fontId="12" fillId="0" borderId="0" xfId="0" applyNumberFormat="1" applyFont="1" applyFill="1"/>
    <xf numFmtId="0" fontId="14" fillId="0" borderId="0" xfId="0" applyFont="1" applyFill="1"/>
    <xf numFmtId="0" fontId="0" fillId="0" borderId="0" xfId="0" applyFill="1"/>
    <xf numFmtId="0" fontId="56" fillId="0" borderId="0" xfId="0" applyFont="1" applyAlignment="1">
      <alignment horizontal="right"/>
    </xf>
    <xf numFmtId="16" fontId="0" fillId="0" borderId="0" xfId="0" applyNumberFormat="1"/>
    <xf numFmtId="12" fontId="0" fillId="0" borderId="0" xfId="0" applyNumberFormat="1"/>
    <xf numFmtId="3" fontId="0" fillId="0" borderId="0" xfId="0" applyNumberFormat="1"/>
    <xf numFmtId="21" fontId="0" fillId="0" borderId="0" xfId="0" applyNumberFormat="1"/>
    <xf numFmtId="11" fontId="0" fillId="0" borderId="0" xfId="0" applyNumberFormat="1"/>
    <xf numFmtId="9" fontId="0" fillId="0" borderId="0" xfId="0" applyNumberFormat="1"/>
    <xf numFmtId="11" fontId="0" fillId="0" borderId="0" xfId="0" applyNumberFormat="1" applyFill="1"/>
    <xf numFmtId="0" fontId="7" fillId="0" borderId="0" xfId="0" applyFont="1" applyFill="1"/>
    <xf numFmtId="10" fontId="0" fillId="0" borderId="0" xfId="0" applyNumberFormat="1"/>
    <xf numFmtId="17" fontId="0" fillId="0" borderId="0" xfId="0" applyNumberFormat="1"/>
    <xf numFmtId="0" fontId="0" fillId="0" borderId="3" xfId="0" applyBorder="1"/>
    <xf numFmtId="0" fontId="0" fillId="0" borderId="0" xfId="0" applyFill="1" applyBorder="1" applyAlignment="1">
      <alignment horizontal="left" vertical="center"/>
    </xf>
    <xf numFmtId="0" fontId="0" fillId="0" borderId="0" xfId="0" applyFill="1"/>
    <xf numFmtId="16" fontId="0" fillId="0" borderId="0" xfId="0" applyNumberFormat="1" applyFill="1"/>
    <xf numFmtId="0" fontId="66" fillId="0" borderId="0" xfId="0" applyFont="1" applyFill="1"/>
    <xf numFmtId="0" fontId="0" fillId="0" borderId="0" xfId="0" applyFill="1"/>
    <xf numFmtId="0" fontId="0" fillId="0" borderId="0" xfId="0" applyFill="1" applyAlignment="1"/>
    <xf numFmtId="0" fontId="0" fillId="0" borderId="3" xfId="0" applyFill="1" applyBorder="1"/>
    <xf numFmtId="0" fontId="0" fillId="8" borderId="3" xfId="0" applyFill="1" applyBorder="1"/>
    <xf numFmtId="0" fontId="0" fillId="0" borderId="0" xfId="0" applyFill="1" applyBorder="1"/>
    <xf numFmtId="0" fontId="29" fillId="7" borderId="3" xfId="0" applyFont="1" applyFill="1" applyBorder="1" applyAlignment="1">
      <alignment horizontal="center" vertical="center"/>
    </xf>
    <xf numFmtId="0" fontId="0" fillId="6" borderId="3" xfId="0" applyFill="1" applyBorder="1"/>
    <xf numFmtId="0" fontId="0" fillId="0" borderId="0" xfId="0" applyFill="1" applyAlignment="1">
      <alignment horizontal="center" vertical="center"/>
    </xf>
    <xf numFmtId="0" fontId="0" fillId="0" borderId="5" xfId="0" applyFill="1" applyBorder="1"/>
    <xf numFmtId="0" fontId="29" fillId="7" borderId="3" xfId="0" applyFont="1" applyFill="1" applyBorder="1" applyAlignment="1">
      <alignment horizontal="center" vertical="center"/>
    </xf>
    <xf numFmtId="0" fontId="54" fillId="0" borderId="0" xfId="0" applyFont="1"/>
    <xf numFmtId="0" fontId="0" fillId="6" borderId="3" xfId="0" applyFill="1" applyBorder="1" applyAlignment="1" applyProtection="1">
      <alignment horizontal="center"/>
      <protection locked="0"/>
    </xf>
    <xf numFmtId="0" fontId="0" fillId="0" borderId="4" xfId="0" applyBorder="1"/>
    <xf numFmtId="0" fontId="29" fillId="0" borderId="0" xfId="0" applyFont="1" applyFill="1" applyBorder="1" applyAlignment="1">
      <alignment horizontal="center" vertical="center"/>
    </xf>
    <xf numFmtId="0" fontId="29" fillId="7" borderId="3" xfId="0" applyFont="1" applyFill="1" applyBorder="1" applyAlignment="1">
      <alignment horizontal="center" vertical="center"/>
    </xf>
    <xf numFmtId="0" fontId="0" fillId="0" borderId="18" xfId="0" applyBorder="1"/>
    <xf numFmtId="0" fontId="29" fillId="7" borderId="3" xfId="0" applyFont="1" applyFill="1" applyBorder="1"/>
    <xf numFmtId="0" fontId="29" fillId="7" borderId="18" xfId="0" applyFont="1" applyFill="1" applyBorder="1"/>
    <xf numFmtId="0" fontId="67" fillId="0" borderId="0" xfId="0" applyFont="1"/>
    <xf numFmtId="0" fontId="51" fillId="7" borderId="3" xfId="0" applyFont="1" applyFill="1" applyBorder="1" applyAlignment="1">
      <alignment horizontal="center" vertical="center" wrapText="1"/>
    </xf>
    <xf numFmtId="0" fontId="8" fillId="0" borderId="3" xfId="0" quotePrefix="1" applyFont="1" applyBorder="1" applyAlignment="1">
      <alignment horizontal="center" vertical="center"/>
    </xf>
    <xf numFmtId="0" fontId="53" fillId="0" borderId="3" xfId="0" applyFont="1" applyFill="1" applyBorder="1" applyAlignment="1">
      <alignment horizontal="center" vertical="center"/>
    </xf>
    <xf numFmtId="0" fontId="56" fillId="0" borderId="0" xfId="0" applyFont="1" applyAlignment="1"/>
    <xf numFmtId="0" fontId="12" fillId="0" borderId="3" xfId="0" applyFont="1" applyBorder="1" applyAlignment="1">
      <alignment horizontal="right" vertical="center"/>
    </xf>
    <xf numFmtId="0" fontId="0" fillId="0" borderId="3" xfId="0" applyBorder="1" applyAlignment="1">
      <alignment horizontal="center"/>
    </xf>
    <xf numFmtId="0" fontId="0" fillId="0" borderId="0" xfId="0" applyAlignment="1">
      <alignment horizontal="left" vertical="center" wrapText="1"/>
    </xf>
    <xf numFmtId="0" fontId="7" fillId="0" borderId="3" xfId="0" applyFont="1" applyBorder="1" applyAlignment="1">
      <alignment horizontal="center"/>
    </xf>
    <xf numFmtId="0" fontId="7" fillId="0" borderId="3" xfId="0" applyFont="1" applyBorder="1"/>
    <xf numFmtId="0" fontId="7" fillId="0" borderId="3" xfId="0" applyFont="1" applyFill="1" applyBorder="1"/>
    <xf numFmtId="0" fontId="0" fillId="6" borderId="3" xfId="0" applyFill="1" applyBorder="1" applyProtection="1">
      <protection locked="0"/>
    </xf>
    <xf numFmtId="0" fontId="0" fillId="8" borderId="3" xfId="0" applyFill="1" applyBorder="1" applyProtection="1">
      <protection locked="0"/>
    </xf>
    <xf numFmtId="0" fontId="0" fillId="8" borderId="0" xfId="0" applyFill="1" applyProtection="1">
      <protection locked="0"/>
    </xf>
    <xf numFmtId="0" fontId="68" fillId="0" borderId="0" xfId="0" applyFont="1" applyAlignment="1">
      <alignment horizontal="right"/>
    </xf>
    <xf numFmtId="0" fontId="69" fillId="0" borderId="0" xfId="0" applyFont="1" applyAlignment="1">
      <alignment horizontal="right"/>
    </xf>
    <xf numFmtId="0" fontId="8" fillId="0" borderId="32" xfId="0" applyFont="1" applyBorder="1" applyAlignment="1" applyProtection="1">
      <alignment vertical="center"/>
      <protection locked="0" hidden="1"/>
    </xf>
    <xf numFmtId="0" fontId="8" fillId="0" borderId="32" xfId="0" applyFont="1" applyFill="1" applyBorder="1" applyAlignment="1" applyProtection="1">
      <alignment vertical="center"/>
      <protection locked="0" hidden="1"/>
    </xf>
    <xf numFmtId="0" fontId="21" fillId="0" borderId="32" xfId="0" applyFont="1" applyFill="1" applyBorder="1" applyAlignment="1" applyProtection="1">
      <alignment vertical="center"/>
      <protection locked="0" hidden="1"/>
    </xf>
    <xf numFmtId="165" fontId="8" fillId="0" borderId="39" xfId="0" applyNumberFormat="1" applyFont="1" applyFill="1" applyBorder="1" applyAlignment="1" applyProtection="1">
      <alignment horizontal="center" vertical="center"/>
      <protection locked="0" hidden="1"/>
    </xf>
    <xf numFmtId="165" fontId="8" fillId="4" borderId="33" xfId="0" applyNumberFormat="1" applyFont="1" applyFill="1" applyBorder="1" applyAlignment="1" applyProtection="1">
      <alignment horizontal="center" vertical="center"/>
      <protection locked="0" hidden="1"/>
    </xf>
    <xf numFmtId="165" fontId="8" fillId="4" borderId="34" xfId="0" applyNumberFormat="1" applyFont="1" applyFill="1" applyBorder="1" applyAlignment="1" applyProtection="1">
      <alignment horizontal="center" vertical="center"/>
      <protection locked="0" hidden="1"/>
    </xf>
    <xf numFmtId="165" fontId="25" fillId="5" borderId="34" xfId="0" applyNumberFormat="1" applyFont="1" applyFill="1" applyBorder="1" applyAlignment="1" applyProtection="1">
      <alignment horizontal="center" vertical="center"/>
      <protection locked="0" hidden="1"/>
    </xf>
    <xf numFmtId="165" fontId="8" fillId="5" borderId="34" xfId="0" applyNumberFormat="1" applyFont="1" applyFill="1" applyBorder="1" applyAlignment="1" applyProtection="1">
      <alignment horizontal="center" vertical="center"/>
      <protection locked="0" hidden="1"/>
    </xf>
    <xf numFmtId="165" fontId="8" fillId="0" borderId="34" xfId="0" applyNumberFormat="1" applyFont="1" applyFill="1" applyBorder="1" applyAlignment="1" applyProtection="1">
      <alignment horizontal="center" vertical="center"/>
      <protection locked="0" hidden="1"/>
    </xf>
    <xf numFmtId="165" fontId="8" fillId="5" borderId="42" xfId="0" applyNumberFormat="1" applyFont="1" applyFill="1" applyBorder="1" applyAlignment="1" applyProtection="1">
      <alignment horizontal="center" vertical="center"/>
      <protection locked="0" hidden="1"/>
    </xf>
    <xf numFmtId="165" fontId="8" fillId="0" borderId="5" xfId="0" applyNumberFormat="1" applyFont="1" applyFill="1" applyBorder="1" applyAlignment="1" applyProtection="1">
      <alignment horizontal="center" vertical="center"/>
      <protection locked="0" hidden="1"/>
    </xf>
    <xf numFmtId="165" fontId="8" fillId="5" borderId="35" xfId="0" applyNumberFormat="1" applyFont="1" applyFill="1" applyBorder="1" applyAlignment="1" applyProtection="1">
      <alignment horizontal="center" vertical="center"/>
      <protection locked="0" hidden="1"/>
    </xf>
    <xf numFmtId="165" fontId="8" fillId="0" borderId="35" xfId="0" applyNumberFormat="1" applyFont="1" applyFill="1" applyBorder="1" applyAlignment="1" applyProtection="1">
      <alignment horizontal="center" vertical="center"/>
      <protection locked="0" hidden="1"/>
    </xf>
    <xf numFmtId="165" fontId="8" fillId="0" borderId="1" xfId="0" applyNumberFormat="1" applyFont="1" applyFill="1" applyBorder="1" applyAlignment="1" applyProtection="1">
      <alignment horizontal="center" vertical="center"/>
      <protection locked="0" hidden="1"/>
    </xf>
    <xf numFmtId="0" fontId="0" fillId="11" borderId="0" xfId="0" applyFill="1"/>
    <xf numFmtId="0" fontId="8" fillId="11" borderId="0" xfId="0" applyFont="1" applyFill="1" applyBorder="1" applyAlignment="1" applyProtection="1">
      <alignment vertical="center"/>
      <protection hidden="1"/>
    </xf>
    <xf numFmtId="0" fontId="51" fillId="7" borderId="0" xfId="0" applyFont="1" applyFill="1" applyBorder="1" applyAlignment="1" applyProtection="1">
      <alignment horizontal="center" vertical="center"/>
      <protection hidden="1"/>
    </xf>
    <xf numFmtId="0" fontId="0" fillId="11" borderId="0" xfId="0" applyFill="1" applyBorder="1"/>
    <xf numFmtId="0" fontId="8" fillId="0" borderId="0" xfId="0" applyFont="1" applyBorder="1" applyAlignment="1" applyProtection="1">
      <alignment vertical="center"/>
      <protection hidden="1"/>
    </xf>
    <xf numFmtId="0" fontId="8" fillId="4" borderId="0" xfId="0" applyFont="1" applyFill="1" applyBorder="1" applyAlignment="1" applyProtection="1">
      <alignment vertical="center"/>
      <protection hidden="1"/>
    </xf>
    <xf numFmtId="0" fontId="25" fillId="5" borderId="0" xfId="0" applyFont="1" applyFill="1" applyBorder="1" applyAlignment="1" applyProtection="1">
      <alignment vertical="center"/>
      <protection hidden="1"/>
    </xf>
    <xf numFmtId="0" fontId="8" fillId="5" borderId="0" xfId="0" applyFont="1" applyFill="1" applyBorder="1" applyAlignment="1" applyProtection="1">
      <alignment vertical="center"/>
      <protection hidden="1"/>
    </xf>
    <xf numFmtId="0" fontId="8" fillId="0" borderId="0" xfId="0" applyFont="1" applyFill="1" applyBorder="1" applyAlignment="1" applyProtection="1">
      <alignment vertical="center"/>
      <protection hidden="1"/>
    </xf>
    <xf numFmtId="0" fontId="0" fillId="0" borderId="0" xfId="0" applyFill="1"/>
    <xf numFmtId="0" fontId="8" fillId="0" borderId="0" xfId="0" applyFont="1" applyFill="1" applyAlignment="1" applyProtection="1">
      <alignment vertical="center"/>
      <protection locked="0" hidden="1"/>
    </xf>
    <xf numFmtId="2" fontId="0" fillId="0" borderId="0" xfId="0" applyNumberFormat="1"/>
    <xf numFmtId="0" fontId="0" fillId="6" borderId="3" xfId="0" quotePrefix="1" applyFill="1" applyBorder="1" applyProtection="1">
      <protection locked="0"/>
    </xf>
    <xf numFmtId="0" fontId="1" fillId="0" borderId="0" xfId="1" applyFont="1" applyFill="1" applyBorder="1" applyAlignment="1" applyProtection="1">
      <alignment horizontal="center" vertical="center"/>
      <protection hidden="1"/>
    </xf>
    <xf numFmtId="0" fontId="20" fillId="0" borderId="0" xfId="0" applyFont="1" applyAlignment="1" applyProtection="1">
      <alignment vertical="center"/>
      <protection hidden="1"/>
    </xf>
    <xf numFmtId="0" fontId="20" fillId="0" borderId="0" xfId="0" applyFont="1" applyFill="1" applyAlignment="1" applyProtection="1">
      <alignment vertical="center"/>
      <protection hidden="1"/>
    </xf>
    <xf numFmtId="0" fontId="29" fillId="7" borderId="3" xfId="0" applyFont="1" applyFill="1" applyBorder="1" applyAlignment="1">
      <alignment horizontal="center" vertical="center"/>
    </xf>
    <xf numFmtId="0" fontId="0" fillId="0" borderId="0" xfId="0" applyAlignment="1">
      <alignment horizontal="left" vertical="center" wrapText="1"/>
    </xf>
    <xf numFmtId="49" fontId="1" fillId="12" borderId="3" xfId="0" quotePrefix="1" applyNumberFormat="1" applyFont="1" applyFill="1" applyBorder="1"/>
    <xf numFmtId="49" fontId="0" fillId="0" borderId="0" xfId="0" quotePrefix="1" applyNumberFormat="1"/>
    <xf numFmtId="0" fontId="1" fillId="0" borderId="0" xfId="0" applyFont="1"/>
    <xf numFmtId="0" fontId="1" fillId="0" borderId="0" xfId="0" quotePrefix="1" applyFont="1"/>
    <xf numFmtId="0" fontId="0" fillId="0" borderId="3" xfId="0" quotePrefix="1" applyBorder="1"/>
    <xf numFmtId="0" fontId="0" fillId="0" borderId="0" xfId="0" applyAlignment="1">
      <alignment horizontal="left" vertical="center" wrapText="1"/>
    </xf>
    <xf numFmtId="0" fontId="29" fillId="7" borderId="3" xfId="0" applyFont="1" applyFill="1" applyBorder="1" applyAlignment="1">
      <alignment horizontal="center" vertical="center"/>
    </xf>
    <xf numFmtId="0" fontId="0" fillId="0" borderId="0" xfId="0" applyFill="1"/>
    <xf numFmtId="0" fontId="0" fillId="0" borderId="0" xfId="0" applyAlignment="1">
      <alignment horizontal="left" vertical="center" wrapText="1"/>
    </xf>
    <xf numFmtId="0" fontId="0" fillId="0" borderId="0" xfId="0" applyAlignment="1">
      <alignment horizontal="left" vertical="center" wrapText="1"/>
    </xf>
    <xf numFmtId="0" fontId="0" fillId="0" borderId="0" xfId="0" applyFont="1" applyFill="1"/>
    <xf numFmtId="0" fontId="0" fillId="6" borderId="3" xfId="0" applyNumberFormat="1" applyFill="1" applyBorder="1" applyProtection="1">
      <protection locked="0"/>
    </xf>
    <xf numFmtId="0" fontId="0" fillId="6" borderId="3" xfId="0" quotePrefix="1" applyNumberFormat="1" applyFill="1" applyBorder="1" applyProtection="1">
      <protection locked="0"/>
    </xf>
    <xf numFmtId="0" fontId="10" fillId="6" borderId="18" xfId="0" applyFont="1" applyFill="1" applyBorder="1" applyAlignment="1" applyProtection="1">
      <alignment horizontal="left"/>
      <protection locked="0"/>
    </xf>
    <xf numFmtId="0" fontId="10" fillId="6" borderId="19" xfId="0" applyFont="1" applyFill="1" applyBorder="1" applyAlignment="1" applyProtection="1">
      <alignment horizontal="left"/>
      <protection locked="0"/>
    </xf>
    <xf numFmtId="0" fontId="10" fillId="6" borderId="5" xfId="0" applyFont="1" applyFill="1" applyBorder="1" applyAlignment="1" applyProtection="1">
      <alignment horizontal="left"/>
      <protection locked="0"/>
    </xf>
    <xf numFmtId="0" fontId="30" fillId="7" borderId="0" xfId="0" applyFont="1" applyFill="1" applyAlignment="1">
      <alignment horizontal="center" vertical="center"/>
    </xf>
    <xf numFmtId="0" fontId="12" fillId="6" borderId="3" xfId="0" applyFont="1" applyFill="1" applyBorder="1" applyAlignment="1" applyProtection="1">
      <alignment horizontal="center"/>
      <protection locked="0"/>
    </xf>
    <xf numFmtId="0" fontId="12" fillId="0" borderId="3" xfId="0" applyFont="1" applyFill="1" applyBorder="1" applyAlignment="1" applyProtection="1">
      <alignment horizontal="center"/>
      <protection locked="0"/>
    </xf>
    <xf numFmtId="0" fontId="7" fillId="0" borderId="3" xfId="0" applyFont="1" applyBorder="1" applyAlignment="1">
      <alignment horizontal="center"/>
    </xf>
    <xf numFmtId="0" fontId="0" fillId="0" borderId="38" xfId="0" applyBorder="1" applyAlignment="1">
      <alignment horizontal="left" vertical="top" wrapText="1"/>
    </xf>
    <xf numFmtId="0" fontId="0" fillId="0" borderId="37" xfId="0" applyBorder="1" applyAlignment="1">
      <alignment horizontal="left" vertical="top" wrapText="1"/>
    </xf>
    <xf numFmtId="0" fontId="0" fillId="0" borderId="39" xfId="0" applyBorder="1" applyAlignment="1">
      <alignment horizontal="left" vertical="top" wrapText="1"/>
    </xf>
    <xf numFmtId="0" fontId="0" fillId="0" borderId="32" xfId="0" applyBorder="1" applyAlignment="1">
      <alignment horizontal="left" vertical="top" wrapText="1"/>
    </xf>
    <xf numFmtId="0" fontId="0" fillId="0" borderId="0" xfId="0" applyBorder="1" applyAlignment="1">
      <alignment horizontal="left" vertical="top" wrapText="1"/>
    </xf>
    <xf numFmtId="0" fontId="0" fillId="0" borderId="40" xfId="0" applyBorder="1" applyAlignment="1">
      <alignment horizontal="left" vertical="top" wrapText="1"/>
    </xf>
    <xf numFmtId="0" fontId="0" fillId="0" borderId="31" xfId="0" applyBorder="1" applyAlignment="1">
      <alignment horizontal="left" vertical="top" wrapText="1"/>
    </xf>
    <xf numFmtId="0" fontId="0" fillId="0" borderId="2" xfId="0" applyBorder="1" applyAlignment="1">
      <alignment horizontal="left" vertical="top" wrapText="1"/>
    </xf>
    <xf numFmtId="0" fontId="0" fillId="0" borderId="1" xfId="0" applyBorder="1" applyAlignment="1">
      <alignment horizontal="left" vertical="top" wrapText="1"/>
    </xf>
    <xf numFmtId="0" fontId="8" fillId="6" borderId="3" xfId="0" applyFont="1" applyFill="1" applyBorder="1" applyAlignment="1" applyProtection="1">
      <alignment horizontal="center" vertical="center"/>
      <protection locked="0" hidden="1"/>
    </xf>
    <xf numFmtId="0" fontId="14" fillId="0" borderId="31" xfId="0" applyFont="1" applyFill="1" applyBorder="1" applyAlignment="1" applyProtection="1">
      <alignment horizontal="center" vertical="center"/>
      <protection hidden="1"/>
    </xf>
    <xf numFmtId="0" fontId="14" fillId="0" borderId="2" xfId="0" applyFont="1" applyFill="1" applyBorder="1" applyAlignment="1" applyProtection="1">
      <alignment horizontal="center" vertical="center"/>
      <protection hidden="1"/>
    </xf>
    <xf numFmtId="0" fontId="14" fillId="0" borderId="1" xfId="0" applyFont="1" applyFill="1" applyBorder="1" applyAlignment="1" applyProtection="1">
      <alignment horizontal="center" vertical="center"/>
      <protection hidden="1"/>
    </xf>
    <xf numFmtId="0" fontId="12" fillId="0" borderId="31" xfId="0" applyFont="1" applyBorder="1" applyAlignment="1" applyProtection="1">
      <alignment horizontal="right" vertical="center"/>
      <protection hidden="1"/>
    </xf>
    <xf numFmtId="0" fontId="12" fillId="0" borderId="2" xfId="0" applyFont="1" applyBorder="1" applyAlignment="1" applyProtection="1">
      <alignment horizontal="right" vertical="center"/>
      <protection hidden="1"/>
    </xf>
    <xf numFmtId="0" fontId="12" fillId="0" borderId="1" xfId="0" applyFont="1" applyBorder="1" applyAlignment="1" applyProtection="1">
      <alignment horizontal="right" vertical="center"/>
      <protection hidden="1"/>
    </xf>
    <xf numFmtId="0" fontId="12" fillId="0" borderId="18" xfId="0" applyFont="1" applyBorder="1" applyAlignment="1" applyProtection="1">
      <alignment horizontal="right" vertical="center" wrapText="1"/>
      <protection hidden="1"/>
    </xf>
    <xf numFmtId="0" fontId="12" fillId="0" borderId="19" xfId="0" applyFont="1" applyBorder="1" applyAlignment="1" applyProtection="1">
      <alignment horizontal="right" vertical="center" wrapText="1"/>
      <protection hidden="1"/>
    </xf>
    <xf numFmtId="0" fontId="12" fillId="0" borderId="5" xfId="0" applyFont="1" applyBorder="1" applyAlignment="1" applyProtection="1">
      <alignment horizontal="right" vertical="center" wrapText="1"/>
      <protection hidden="1"/>
    </xf>
    <xf numFmtId="0" fontId="8" fillId="6" borderId="18" xfId="0" applyFont="1" applyFill="1" applyBorder="1" applyAlignment="1" applyProtection="1">
      <alignment horizontal="center" vertical="center"/>
      <protection locked="0"/>
    </xf>
    <xf numFmtId="0" fontId="8" fillId="6" borderId="19" xfId="0" applyFont="1" applyFill="1" applyBorder="1" applyAlignment="1" applyProtection="1">
      <alignment horizontal="center" vertical="center"/>
      <protection locked="0"/>
    </xf>
    <xf numFmtId="0" fontId="8" fillId="6" borderId="5" xfId="0" applyFont="1" applyFill="1" applyBorder="1" applyAlignment="1" applyProtection="1">
      <alignment horizontal="center" vertical="center"/>
      <protection locked="0"/>
    </xf>
    <xf numFmtId="0" fontId="12" fillId="0" borderId="18" xfId="0" applyFont="1" applyFill="1" applyBorder="1" applyAlignment="1" applyProtection="1">
      <alignment horizontal="right" vertical="center" wrapText="1"/>
      <protection hidden="1"/>
    </xf>
    <xf numFmtId="0" fontId="12" fillId="0" borderId="19" xfId="0" applyFont="1" applyFill="1" applyBorder="1" applyAlignment="1" applyProtection="1">
      <alignment horizontal="right" vertical="center" wrapText="1"/>
      <protection hidden="1"/>
    </xf>
    <xf numFmtId="0" fontId="12" fillId="0" borderId="5" xfId="0" applyFont="1" applyFill="1" applyBorder="1" applyAlignment="1" applyProtection="1">
      <alignment horizontal="right" vertical="center" wrapText="1"/>
      <protection hidden="1"/>
    </xf>
    <xf numFmtId="0" fontId="12" fillId="6" borderId="18" xfId="0" applyFont="1" applyFill="1" applyBorder="1" applyAlignment="1" applyProtection="1">
      <alignment horizontal="center" vertical="center"/>
      <protection locked="0"/>
    </xf>
    <xf numFmtId="0" fontId="12" fillId="6" borderId="19" xfId="0" applyFont="1" applyFill="1" applyBorder="1" applyAlignment="1" applyProtection="1">
      <alignment horizontal="center" vertical="center"/>
      <protection locked="0"/>
    </xf>
    <xf numFmtId="0" fontId="12" fillId="6" borderId="5" xfId="0" applyFont="1" applyFill="1" applyBorder="1" applyAlignment="1" applyProtection="1">
      <alignment horizontal="center" vertical="center"/>
      <protection locked="0"/>
    </xf>
    <xf numFmtId="0" fontId="1" fillId="6" borderId="18" xfId="1" applyFont="1" applyFill="1" applyBorder="1" applyAlignment="1" applyProtection="1">
      <alignment horizontal="center" vertical="center"/>
      <protection locked="0"/>
    </xf>
    <xf numFmtId="0" fontId="1" fillId="6" borderId="5" xfId="1" applyFont="1" applyFill="1" applyBorder="1" applyAlignment="1" applyProtection="1">
      <alignment horizontal="center" vertical="center"/>
      <protection locked="0"/>
    </xf>
    <xf numFmtId="164" fontId="12" fillId="0" borderId="6" xfId="4" applyNumberFormat="1" applyFont="1" applyFill="1" applyBorder="1" applyAlignment="1" applyProtection="1">
      <alignment horizontal="center" vertical="center"/>
      <protection hidden="1"/>
    </xf>
    <xf numFmtId="0" fontId="14" fillId="0" borderId="6" xfId="0" applyFont="1" applyBorder="1" applyAlignment="1" applyProtection="1">
      <alignment horizontal="center" vertical="center"/>
      <protection hidden="1"/>
    </xf>
    <xf numFmtId="0" fontId="1" fillId="0" borderId="6" xfId="0" applyFont="1" applyBorder="1" applyAlignment="1" applyProtection="1">
      <alignment horizontal="right" vertical="center"/>
      <protection hidden="1"/>
    </xf>
    <xf numFmtId="0" fontId="30" fillId="7" borderId="3" xfId="1" applyFont="1" applyFill="1" applyBorder="1" applyAlignment="1" applyProtection="1">
      <alignment horizontal="center" vertical="center"/>
      <protection hidden="1"/>
    </xf>
    <xf numFmtId="0" fontId="12" fillId="0" borderId="3" xfId="0" applyFont="1" applyBorder="1" applyAlignment="1" applyProtection="1">
      <alignment horizontal="right" vertical="center"/>
      <protection hidden="1"/>
    </xf>
    <xf numFmtId="0" fontId="12" fillId="6" borderId="3" xfId="0" applyFont="1" applyFill="1" applyBorder="1" applyAlignment="1" applyProtection="1">
      <alignment horizontal="center" vertical="center"/>
      <protection hidden="1"/>
    </xf>
    <xf numFmtId="165" fontId="65" fillId="0" borderId="18" xfId="0" applyNumberFormat="1" applyFont="1" applyFill="1" applyBorder="1" applyAlignment="1" applyProtection="1">
      <alignment horizontal="center" vertical="center"/>
      <protection hidden="1"/>
    </xf>
    <xf numFmtId="165" fontId="65" fillId="0" borderId="19" xfId="0" applyNumberFormat="1" applyFont="1" applyFill="1" applyBorder="1" applyAlignment="1" applyProtection="1">
      <alignment horizontal="center" vertical="center"/>
      <protection hidden="1"/>
    </xf>
    <xf numFmtId="165" fontId="65" fillId="0" borderId="5" xfId="0" applyNumberFormat="1" applyFont="1" applyFill="1" applyBorder="1" applyAlignment="1" applyProtection="1">
      <alignment horizontal="center" vertical="center"/>
      <protection hidden="1"/>
    </xf>
    <xf numFmtId="0" fontId="1" fillId="0" borderId="18" xfId="1" applyFont="1" applyBorder="1" applyAlignment="1" applyProtection="1">
      <alignment horizontal="right" vertical="center"/>
      <protection hidden="1"/>
    </xf>
    <xf numFmtId="0" fontId="1" fillId="0" borderId="19" xfId="1" applyFont="1" applyBorder="1" applyAlignment="1" applyProtection="1">
      <alignment horizontal="right" vertical="center"/>
      <protection hidden="1"/>
    </xf>
    <xf numFmtId="0" fontId="1" fillId="0" borderId="5" xfId="1" applyFont="1" applyBorder="1" applyAlignment="1" applyProtection="1">
      <alignment horizontal="right" vertical="center"/>
      <protection hidden="1"/>
    </xf>
    <xf numFmtId="167" fontId="1" fillId="0" borderId="18" xfId="1" applyNumberFormat="1" applyFont="1" applyFill="1" applyBorder="1" applyAlignment="1" applyProtection="1">
      <alignment horizontal="center" vertical="center"/>
      <protection hidden="1"/>
    </xf>
    <xf numFmtId="167" fontId="1" fillId="0" borderId="5" xfId="1" applyNumberFormat="1" applyFont="1" applyFill="1" applyBorder="1" applyAlignment="1" applyProtection="1">
      <alignment horizontal="center" vertical="center"/>
      <protection hidden="1"/>
    </xf>
    <xf numFmtId="0" fontId="1" fillId="0" borderId="31" xfId="1" applyFont="1" applyFill="1" applyBorder="1" applyAlignment="1" applyProtection="1">
      <alignment horizontal="right" vertical="center"/>
      <protection hidden="1"/>
    </xf>
    <xf numFmtId="0" fontId="1" fillId="0" borderId="2" xfId="1" applyFont="1" applyFill="1" applyBorder="1" applyAlignment="1" applyProtection="1">
      <alignment horizontal="right" vertical="center"/>
      <protection hidden="1"/>
    </xf>
    <xf numFmtId="0" fontId="1" fillId="0" borderId="1" xfId="1" applyFont="1" applyFill="1" applyBorder="1" applyAlignment="1" applyProtection="1">
      <alignment horizontal="right" vertical="center"/>
      <protection hidden="1"/>
    </xf>
    <xf numFmtId="0" fontId="30" fillId="7" borderId="32" xfId="1" applyFont="1" applyFill="1" applyBorder="1" applyAlignment="1" applyProtection="1">
      <alignment horizontal="center" vertical="center"/>
      <protection hidden="1"/>
    </xf>
    <xf numFmtId="0" fontId="30" fillId="7" borderId="0" xfId="1" applyFont="1" applyFill="1" applyBorder="1" applyAlignment="1" applyProtection="1">
      <alignment horizontal="center" vertical="center"/>
      <protection hidden="1"/>
    </xf>
    <xf numFmtId="0" fontId="8" fillId="0" borderId="12" xfId="0" applyFont="1" applyFill="1" applyBorder="1" applyAlignment="1" applyProtection="1">
      <alignment horizontal="center" vertical="center" textRotation="90"/>
      <protection locked="0" hidden="1"/>
    </xf>
    <xf numFmtId="0" fontId="8" fillId="0" borderId="13" xfId="0" applyFont="1" applyFill="1" applyBorder="1" applyAlignment="1" applyProtection="1">
      <alignment horizontal="center" vertical="center" textRotation="90"/>
      <protection locked="0" hidden="1"/>
    </xf>
    <xf numFmtId="0" fontId="8" fillId="0" borderId="14" xfId="0" applyFont="1" applyFill="1" applyBorder="1" applyAlignment="1" applyProtection="1">
      <alignment horizontal="center" vertical="center" textRotation="90"/>
      <protection locked="0" hidden="1"/>
    </xf>
    <xf numFmtId="0" fontId="8" fillId="0" borderId="12" xfId="0" applyFont="1" applyBorder="1" applyAlignment="1" applyProtection="1">
      <alignment horizontal="center" vertical="center" textRotation="90"/>
      <protection locked="0" hidden="1"/>
    </xf>
    <xf numFmtId="0" fontId="8" fillId="0" borderId="13" xfId="0" applyFont="1" applyBorder="1" applyAlignment="1" applyProtection="1">
      <alignment horizontal="center" vertical="center" textRotation="90"/>
      <protection locked="0" hidden="1"/>
    </xf>
    <xf numFmtId="0" fontId="8" fillId="0" borderId="14" xfId="0" applyFont="1" applyBorder="1" applyAlignment="1" applyProtection="1">
      <alignment horizontal="center" vertical="center" textRotation="90"/>
      <protection locked="0" hidden="1"/>
    </xf>
    <xf numFmtId="0" fontId="30" fillId="7" borderId="18" xfId="1" applyFont="1" applyFill="1" applyBorder="1" applyAlignment="1" applyProtection="1">
      <alignment horizontal="center" vertical="center"/>
      <protection hidden="1"/>
    </xf>
    <xf numFmtId="0" fontId="30" fillId="7" borderId="19" xfId="1" applyFont="1" applyFill="1" applyBorder="1" applyAlignment="1" applyProtection="1">
      <alignment horizontal="center" vertical="center"/>
      <protection hidden="1"/>
    </xf>
    <xf numFmtId="0" fontId="30" fillId="7" borderId="5" xfId="1" applyFont="1" applyFill="1" applyBorder="1" applyAlignment="1" applyProtection="1">
      <alignment horizontal="center" vertical="center"/>
      <protection hidden="1"/>
    </xf>
    <xf numFmtId="0" fontId="1" fillId="0" borderId="18" xfId="1" applyFont="1" applyBorder="1" applyAlignment="1" applyProtection="1">
      <alignment horizontal="right" vertical="center" wrapText="1"/>
      <protection hidden="1"/>
    </xf>
    <xf numFmtId="0" fontId="1" fillId="0" borderId="19" xfId="1" applyFont="1" applyBorder="1" applyAlignment="1" applyProtection="1">
      <alignment horizontal="right" vertical="center" wrapText="1"/>
      <protection hidden="1"/>
    </xf>
    <xf numFmtId="0" fontId="1" fillId="0" borderId="5" xfId="1" applyFont="1" applyBorder="1" applyAlignment="1" applyProtection="1">
      <alignment horizontal="right" vertical="center" wrapText="1"/>
      <protection hidden="1"/>
    </xf>
    <xf numFmtId="0" fontId="1" fillId="0" borderId="18" xfId="1" applyFont="1" applyFill="1" applyBorder="1" applyAlignment="1" applyProtection="1">
      <alignment horizontal="right" vertical="center" wrapText="1"/>
      <protection hidden="1"/>
    </xf>
    <xf numFmtId="0" fontId="1" fillId="0" borderId="19" xfId="1" applyFont="1" applyFill="1" applyBorder="1" applyAlignment="1" applyProtection="1">
      <alignment horizontal="right" vertical="center" wrapText="1"/>
      <protection hidden="1"/>
    </xf>
    <xf numFmtId="0" fontId="1" fillId="0" borderId="5" xfId="1" applyFont="1" applyFill="1" applyBorder="1" applyAlignment="1" applyProtection="1">
      <alignment horizontal="right" vertical="center" wrapText="1"/>
      <protection hidden="1"/>
    </xf>
    <xf numFmtId="0" fontId="71" fillId="0" borderId="0" xfId="5" applyFont="1" applyFill="1" applyAlignment="1" applyProtection="1">
      <alignment horizontal="center"/>
      <protection locked="0"/>
    </xf>
    <xf numFmtId="0" fontId="62" fillId="0" borderId="0" xfId="5" applyFont="1" applyFill="1" applyAlignment="1" applyProtection="1">
      <alignment horizontal="center"/>
      <protection locked="0"/>
    </xf>
    <xf numFmtId="0" fontId="14" fillId="0" borderId="18" xfId="0" applyFont="1" applyBorder="1" applyAlignment="1" applyProtection="1">
      <alignment horizontal="center" vertical="center"/>
      <protection hidden="1"/>
    </xf>
    <xf numFmtId="0" fontId="14" fillId="0" borderId="19" xfId="0" applyFont="1" applyBorder="1" applyAlignment="1" applyProtection="1">
      <alignment horizontal="center" vertical="center"/>
      <protection hidden="1"/>
    </xf>
    <xf numFmtId="0" fontId="14" fillId="0" borderId="5" xfId="0" applyFont="1" applyBorder="1" applyAlignment="1" applyProtection="1">
      <alignment horizontal="center" vertical="center"/>
      <protection hidden="1"/>
    </xf>
    <xf numFmtId="0" fontId="19" fillId="0" borderId="0" xfId="0" applyFont="1" applyBorder="1" applyAlignment="1" applyProtection="1">
      <alignment horizontal="center" vertical="center" wrapText="1"/>
      <protection hidden="1"/>
    </xf>
    <xf numFmtId="164" fontId="12" fillId="0" borderId="3" xfId="4" applyNumberFormat="1" applyFont="1" applyBorder="1" applyAlignment="1" applyProtection="1">
      <alignment horizontal="center" vertical="center"/>
      <protection hidden="1"/>
    </xf>
    <xf numFmtId="0" fontId="30" fillId="7" borderId="0" xfId="0" applyFont="1" applyFill="1" applyAlignment="1" applyProtection="1">
      <alignment horizontal="center" vertical="center"/>
      <protection hidden="1"/>
    </xf>
    <xf numFmtId="0" fontId="17" fillId="0" borderId="0" xfId="0" applyFont="1" applyFill="1" applyAlignment="1" applyProtection="1">
      <alignment horizontal="left" vertical="center"/>
      <protection hidden="1"/>
    </xf>
    <xf numFmtId="0" fontId="1" fillId="0" borderId="31" xfId="0" applyFont="1" applyBorder="1" applyAlignment="1" applyProtection="1">
      <alignment horizontal="right" vertical="center"/>
      <protection hidden="1"/>
    </xf>
    <xf numFmtId="0" fontId="1" fillId="0" borderId="2" xfId="0" applyFont="1" applyBorder="1" applyAlignment="1" applyProtection="1">
      <alignment horizontal="right" vertical="center"/>
      <protection hidden="1"/>
    </xf>
    <xf numFmtId="0" fontId="1" fillId="0" borderId="1" xfId="0" applyFont="1" applyBorder="1" applyAlignment="1" applyProtection="1">
      <alignment horizontal="right" vertical="center"/>
      <protection hidden="1"/>
    </xf>
    <xf numFmtId="0" fontId="1" fillId="6" borderId="31" xfId="0" applyFont="1" applyFill="1" applyBorder="1" applyAlignment="1" applyProtection="1">
      <alignment horizontal="center" vertical="center"/>
      <protection locked="0"/>
    </xf>
    <xf numFmtId="0" fontId="1" fillId="6" borderId="1" xfId="0" applyFont="1" applyFill="1" applyBorder="1" applyAlignment="1" applyProtection="1">
      <alignment horizontal="center" vertical="center"/>
      <protection locked="0"/>
    </xf>
    <xf numFmtId="0" fontId="12" fillId="0" borderId="31" xfId="0" applyFont="1" applyBorder="1" applyAlignment="1" applyProtection="1">
      <alignment horizontal="left" vertical="center"/>
      <protection hidden="1"/>
    </xf>
    <xf numFmtId="0" fontId="12" fillId="0" borderId="1" xfId="0" applyFont="1" applyBorder="1" applyAlignment="1" applyProtection="1">
      <alignment horizontal="left" vertical="center"/>
      <protection hidden="1"/>
    </xf>
    <xf numFmtId="0" fontId="1" fillId="0" borderId="3" xfId="1" applyFont="1" applyBorder="1" applyAlignment="1" applyProtection="1">
      <alignment horizontal="right" vertical="center"/>
      <protection hidden="1"/>
    </xf>
    <xf numFmtId="0" fontId="1" fillId="0" borderId="3" xfId="1" applyFont="1" applyFill="1" applyBorder="1" applyAlignment="1" applyProtection="1">
      <alignment horizontal="right" vertical="center"/>
      <protection hidden="1"/>
    </xf>
    <xf numFmtId="0" fontId="1" fillId="0" borderId="3" xfId="1" applyFont="1" applyFill="1" applyBorder="1" applyAlignment="1" applyProtection="1">
      <alignment horizontal="center" vertical="center"/>
      <protection hidden="1"/>
    </xf>
    <xf numFmtId="0" fontId="1" fillId="6" borderId="3" xfId="1" applyFont="1" applyFill="1" applyBorder="1" applyAlignment="1" applyProtection="1">
      <alignment horizontal="center" vertical="center"/>
      <protection locked="0" hidden="1"/>
    </xf>
    <xf numFmtId="0" fontId="8" fillId="0" borderId="0" xfId="0" applyFont="1" applyAlignment="1" applyProtection="1">
      <alignment horizontal="center" vertical="center"/>
      <protection locked="0" hidden="1"/>
    </xf>
    <xf numFmtId="165" fontId="8" fillId="0" borderId="0" xfId="0" applyNumberFormat="1" applyFont="1" applyAlignment="1" applyProtection="1">
      <alignment horizontal="center" vertical="center"/>
      <protection locked="0" hidden="1"/>
    </xf>
    <xf numFmtId="0" fontId="8" fillId="0" borderId="22" xfId="0" applyFont="1" applyBorder="1" applyAlignment="1" applyProtection="1">
      <alignment horizontal="center" vertical="center" textRotation="90"/>
      <protection locked="0" hidden="1"/>
    </xf>
    <xf numFmtId="0" fontId="8" fillId="0" borderId="23" xfId="0" applyFont="1" applyBorder="1" applyAlignment="1" applyProtection="1">
      <alignment horizontal="center" vertical="center" textRotation="90"/>
      <protection locked="0" hidden="1"/>
    </xf>
    <xf numFmtId="0" fontId="8" fillId="0" borderId="24" xfId="0" applyFont="1" applyBorder="1" applyAlignment="1" applyProtection="1">
      <alignment horizontal="center" vertical="center" textRotation="90"/>
      <protection locked="0" hidden="1"/>
    </xf>
    <xf numFmtId="0" fontId="10" fillId="0" borderId="18" xfId="0" applyFont="1" applyBorder="1" applyAlignment="1" applyProtection="1">
      <alignment horizontal="right" vertical="center" wrapText="1"/>
      <protection hidden="1"/>
    </xf>
    <xf numFmtId="0" fontId="10" fillId="0" borderId="19" xfId="0" applyFont="1" applyBorder="1" applyAlignment="1" applyProtection="1">
      <alignment horizontal="right" vertical="center" wrapText="1"/>
      <protection hidden="1"/>
    </xf>
    <xf numFmtId="0" fontId="10" fillId="0" borderId="5" xfId="0" applyFont="1" applyBorder="1" applyAlignment="1" applyProtection="1">
      <alignment horizontal="right" vertical="center" wrapText="1"/>
      <protection hidden="1"/>
    </xf>
    <xf numFmtId="0" fontId="7" fillId="0" borderId="0" xfId="0" applyFont="1" applyAlignment="1" applyProtection="1">
      <alignment horizontal="left" vertical="center"/>
      <protection locked="0"/>
    </xf>
    <xf numFmtId="0" fontId="0" fillId="0" borderId="0" xfId="0" quotePrefix="1" applyAlignment="1" applyProtection="1">
      <alignment horizontal="left" vertical="top" wrapText="1"/>
      <protection locked="0"/>
    </xf>
    <xf numFmtId="0" fontId="12" fillId="0" borderId="18" xfId="0" applyFont="1" applyFill="1" applyBorder="1" applyAlignment="1" applyProtection="1">
      <alignment horizontal="right" vertical="center"/>
      <protection locked="0"/>
    </xf>
    <xf numFmtId="0" fontId="12" fillId="0" borderId="19" xfId="0" applyFont="1" applyFill="1" applyBorder="1" applyAlignment="1" applyProtection="1">
      <alignment horizontal="right" vertical="center"/>
      <protection locked="0"/>
    </xf>
    <xf numFmtId="0" fontId="12" fillId="0" borderId="5" xfId="0" applyFont="1" applyFill="1" applyBorder="1" applyAlignment="1" applyProtection="1">
      <alignment horizontal="right" vertical="center"/>
      <protection locked="0"/>
    </xf>
    <xf numFmtId="0" fontId="29" fillId="7" borderId="0" xfId="0" applyFont="1" applyFill="1" applyAlignment="1" applyProtection="1">
      <alignment horizontal="center" vertical="center"/>
      <protection locked="0"/>
    </xf>
    <xf numFmtId="0" fontId="14" fillId="8" borderId="3" xfId="0" applyFont="1" applyFill="1" applyBorder="1" applyAlignment="1" applyProtection="1">
      <alignment horizontal="center" vertical="center"/>
      <protection locked="0"/>
    </xf>
    <xf numFmtId="0" fontId="12" fillId="0" borderId="18" xfId="0" applyFont="1" applyBorder="1" applyAlignment="1" applyProtection="1">
      <alignment horizontal="right" vertical="center"/>
      <protection locked="0"/>
    </xf>
    <xf numFmtId="0" fontId="12" fillId="0" borderId="19" xfId="0" applyFont="1" applyBorder="1" applyAlignment="1" applyProtection="1">
      <alignment horizontal="right" vertical="center"/>
      <protection locked="0"/>
    </xf>
    <xf numFmtId="0" fontId="12" fillId="0" borderId="5" xfId="0" applyFont="1" applyBorder="1" applyAlignment="1" applyProtection="1">
      <alignment horizontal="right" vertical="center"/>
      <protection locked="0"/>
    </xf>
    <xf numFmtId="0" fontId="30" fillId="7" borderId="3" xfId="1" applyFont="1" applyFill="1" applyBorder="1" applyAlignment="1" applyProtection="1">
      <alignment horizontal="center" vertical="center"/>
      <protection locked="0" hidden="1"/>
    </xf>
    <xf numFmtId="0" fontId="14" fillId="8" borderId="18" xfId="0" applyFont="1" applyFill="1" applyBorder="1" applyAlignment="1" applyProtection="1">
      <alignment horizontal="center" vertical="center"/>
      <protection locked="0"/>
    </xf>
    <xf numFmtId="0" fontId="14" fillId="8" borderId="19" xfId="0" applyFont="1" applyFill="1" applyBorder="1" applyAlignment="1" applyProtection="1">
      <alignment horizontal="center" vertical="center"/>
      <protection locked="0"/>
    </xf>
    <xf numFmtId="0" fontId="14" fillId="8" borderId="5" xfId="0" applyFont="1" applyFill="1" applyBorder="1" applyAlignment="1" applyProtection="1">
      <alignment horizontal="center" vertical="center"/>
      <protection locked="0"/>
    </xf>
    <xf numFmtId="0" fontId="30" fillId="7" borderId="18" xfId="1" applyFont="1" applyFill="1" applyBorder="1" applyAlignment="1" applyProtection="1">
      <alignment horizontal="center" vertical="center"/>
      <protection locked="0" hidden="1"/>
    </xf>
    <xf numFmtId="0" fontId="30" fillId="7" borderId="19" xfId="1" applyFont="1" applyFill="1" applyBorder="1" applyAlignment="1" applyProtection="1">
      <alignment horizontal="center" vertical="center"/>
      <protection locked="0" hidden="1"/>
    </xf>
    <xf numFmtId="0" fontId="30" fillId="7" borderId="5" xfId="1" applyFont="1" applyFill="1" applyBorder="1" applyAlignment="1" applyProtection="1">
      <alignment horizontal="center" vertical="center"/>
      <protection locked="0" hidden="1"/>
    </xf>
    <xf numFmtId="0" fontId="0" fillId="0" borderId="18" xfId="0" applyBorder="1" applyAlignment="1" applyProtection="1">
      <alignment horizontal="center" vertical="center"/>
      <protection locked="0"/>
    </xf>
    <xf numFmtId="0" fontId="0" fillId="0" borderId="19" xfId="0" applyBorder="1" applyAlignment="1" applyProtection="1">
      <alignment horizontal="center" vertical="center"/>
      <protection locked="0"/>
    </xf>
    <xf numFmtId="0" fontId="0" fillId="0" borderId="5" xfId="0" applyBorder="1" applyAlignment="1" applyProtection="1">
      <alignment horizontal="center" vertical="center"/>
      <protection locked="0"/>
    </xf>
    <xf numFmtId="0" fontId="38" fillId="0" borderId="0" xfId="0" applyFont="1" applyAlignment="1" applyProtection="1">
      <alignment horizontal="right" vertical="center" wrapText="1"/>
      <protection locked="0"/>
    </xf>
    <xf numFmtId="0" fontId="1" fillId="0" borderId="18" xfId="1" applyFont="1" applyBorder="1" applyAlignment="1" applyProtection="1">
      <alignment horizontal="right" vertical="center"/>
      <protection locked="0" hidden="1"/>
    </xf>
    <xf numFmtId="0" fontId="1" fillId="0" borderId="5" xfId="1" applyFont="1" applyBorder="1" applyAlignment="1" applyProtection="1">
      <alignment horizontal="right" vertical="center"/>
      <protection locked="0" hidden="1"/>
    </xf>
    <xf numFmtId="0" fontId="1" fillId="0" borderId="18" xfId="1" applyFont="1" applyFill="1" applyBorder="1" applyAlignment="1" applyProtection="1">
      <alignment horizontal="center" vertical="center"/>
      <protection locked="0" hidden="1"/>
    </xf>
    <xf numFmtId="0" fontId="1" fillId="0" borderId="19" xfId="1" applyFont="1" applyFill="1" applyBorder="1" applyAlignment="1" applyProtection="1">
      <alignment horizontal="center" vertical="center"/>
      <protection locked="0" hidden="1"/>
    </xf>
    <xf numFmtId="0" fontId="1" fillId="0" borderId="5" xfId="1" applyFont="1" applyFill="1" applyBorder="1" applyAlignment="1" applyProtection="1">
      <alignment horizontal="center" vertical="center"/>
      <protection locked="0" hidden="1"/>
    </xf>
    <xf numFmtId="0" fontId="7" fillId="8" borderId="0" xfId="0" applyFont="1" applyFill="1" applyAlignment="1" applyProtection="1">
      <alignment horizontal="center" vertical="center"/>
      <protection locked="0"/>
    </xf>
    <xf numFmtId="0" fontId="7" fillId="0" borderId="18" xfId="0" applyFont="1" applyFill="1" applyBorder="1" applyAlignment="1" applyProtection="1">
      <alignment horizontal="center" vertical="center"/>
      <protection locked="0"/>
    </xf>
    <xf numFmtId="0" fontId="7" fillId="0" borderId="19" xfId="0" applyFont="1" applyFill="1" applyBorder="1" applyAlignment="1" applyProtection="1">
      <alignment horizontal="center" vertical="center"/>
      <protection locked="0"/>
    </xf>
    <xf numFmtId="0" fontId="7" fillId="0" borderId="5" xfId="0" applyFont="1" applyFill="1" applyBorder="1" applyAlignment="1" applyProtection="1">
      <alignment horizontal="center" vertical="center"/>
      <protection locked="0"/>
    </xf>
    <xf numFmtId="0" fontId="17" fillId="0" borderId="0" xfId="0" applyFont="1" applyFill="1" applyAlignment="1" applyProtection="1">
      <alignment horizontal="center" vertical="center"/>
      <protection locked="0" hidden="1"/>
    </xf>
    <xf numFmtId="0" fontId="17" fillId="0" borderId="2" xfId="0" applyFont="1" applyFill="1" applyBorder="1" applyAlignment="1" applyProtection="1">
      <alignment horizontal="center" vertical="center"/>
      <protection locked="0" hidden="1"/>
    </xf>
    <xf numFmtId="0" fontId="14" fillId="0" borderId="18" xfId="0" applyFont="1" applyBorder="1" applyAlignment="1" applyProtection="1">
      <alignment horizontal="right" vertical="center"/>
      <protection locked="0"/>
    </xf>
    <xf numFmtId="0" fontId="14" fillId="0" borderId="5" xfId="0" applyFont="1" applyBorder="1" applyAlignment="1" applyProtection="1">
      <alignment horizontal="right" vertical="center"/>
      <protection locked="0"/>
    </xf>
    <xf numFmtId="164" fontId="14" fillId="6" borderId="18" xfId="0" applyNumberFormat="1" applyFont="1" applyFill="1" applyBorder="1" applyAlignment="1" applyProtection="1">
      <alignment horizontal="center" vertical="center"/>
      <protection locked="0"/>
    </xf>
    <xf numFmtId="164" fontId="14" fillId="6" borderId="5" xfId="0" applyNumberFormat="1" applyFont="1" applyFill="1" applyBorder="1" applyAlignment="1" applyProtection="1">
      <alignment horizontal="center" vertical="center"/>
      <protection locked="0"/>
    </xf>
    <xf numFmtId="0" fontId="57" fillId="0" borderId="18" xfId="0" applyFont="1" applyBorder="1" applyAlignment="1" applyProtection="1">
      <alignment horizontal="center" vertical="center"/>
      <protection locked="0"/>
    </xf>
    <xf numFmtId="0" fontId="57" fillId="0" borderId="19" xfId="0" applyFont="1" applyBorder="1" applyAlignment="1" applyProtection="1">
      <alignment horizontal="center" vertical="center"/>
      <protection locked="0"/>
    </xf>
    <xf numFmtId="0" fontId="57" fillId="0" borderId="5" xfId="0" applyFont="1" applyBorder="1" applyAlignment="1" applyProtection="1">
      <alignment horizontal="center" vertical="center"/>
      <protection locked="0"/>
    </xf>
    <xf numFmtId="0" fontId="57" fillId="0" borderId="18" xfId="0" applyFont="1" applyFill="1" applyBorder="1" applyAlignment="1" applyProtection="1">
      <alignment horizontal="center" vertical="center"/>
      <protection locked="0"/>
    </xf>
    <xf numFmtId="0" fontId="57" fillId="0" borderId="19" xfId="0" applyFont="1" applyFill="1" applyBorder="1" applyAlignment="1" applyProtection="1">
      <alignment horizontal="center" vertical="center"/>
      <protection locked="0"/>
    </xf>
    <xf numFmtId="0" fontId="57" fillId="0" borderId="5" xfId="0" applyFont="1" applyFill="1" applyBorder="1" applyAlignment="1" applyProtection="1">
      <alignment horizontal="center" vertical="center"/>
      <protection locked="0"/>
    </xf>
    <xf numFmtId="0" fontId="12" fillId="0" borderId="3" xfId="0" applyFont="1" applyFill="1" applyBorder="1" applyAlignment="1" applyProtection="1">
      <alignment horizontal="right" vertical="center"/>
      <protection locked="0"/>
    </xf>
    <xf numFmtId="0" fontId="0" fillId="0" borderId="0" xfId="0" applyFill="1"/>
    <xf numFmtId="0" fontId="7" fillId="0" borderId="0" xfId="0" applyFont="1" applyAlignment="1" applyProtection="1">
      <alignment horizontal="center" vertical="center"/>
      <protection locked="0"/>
    </xf>
    <xf numFmtId="0" fontId="29" fillId="7" borderId="18" xfId="0" applyFont="1" applyFill="1" applyBorder="1" applyAlignment="1" applyProtection="1">
      <alignment horizontal="center" vertical="center"/>
      <protection locked="0"/>
    </xf>
    <xf numFmtId="0" fontId="29" fillId="7" borderId="19" xfId="0" applyFont="1" applyFill="1" applyBorder="1" applyAlignment="1" applyProtection="1">
      <alignment horizontal="center" vertical="center"/>
      <protection locked="0"/>
    </xf>
    <xf numFmtId="0" fontId="29" fillId="7" borderId="5" xfId="0" applyFont="1" applyFill="1" applyBorder="1" applyAlignment="1" applyProtection="1">
      <alignment horizontal="center" vertical="center"/>
      <protection locked="0"/>
    </xf>
    <xf numFmtId="0" fontId="7" fillId="8" borderId="18" xfId="0" applyFont="1" applyFill="1" applyBorder="1" applyAlignment="1" applyProtection="1">
      <alignment horizontal="center" vertical="center"/>
      <protection locked="0"/>
    </xf>
    <xf numFmtId="0" fontId="7" fillId="8" borderId="19" xfId="0" applyFont="1" applyFill="1" applyBorder="1" applyAlignment="1" applyProtection="1">
      <alignment horizontal="center" vertical="center"/>
      <protection locked="0"/>
    </xf>
    <xf numFmtId="0" fontId="7" fillId="8" borderId="5" xfId="0" applyFont="1" applyFill="1" applyBorder="1" applyAlignment="1" applyProtection="1">
      <alignment horizontal="center" vertical="center"/>
      <protection locked="0"/>
    </xf>
    <xf numFmtId="0" fontId="0" fillId="0" borderId="18" xfId="0" applyFont="1" applyBorder="1" applyAlignment="1" applyProtection="1">
      <alignment horizontal="right" vertical="center"/>
      <protection locked="0"/>
    </xf>
    <xf numFmtId="0" fontId="0" fillId="0" borderId="19" xfId="0" applyFont="1" applyBorder="1" applyAlignment="1" applyProtection="1">
      <alignment horizontal="right" vertical="center"/>
      <protection locked="0"/>
    </xf>
    <xf numFmtId="0" fontId="0" fillId="0" borderId="5" xfId="0" applyFont="1" applyBorder="1" applyAlignment="1" applyProtection="1">
      <alignment horizontal="right" vertical="center"/>
      <protection locked="0"/>
    </xf>
    <xf numFmtId="0" fontId="29" fillId="7" borderId="38" xfId="0" applyFont="1" applyFill="1" applyBorder="1" applyAlignment="1" applyProtection="1">
      <alignment horizontal="center" vertical="center"/>
      <protection locked="0"/>
    </xf>
    <xf numFmtId="0" fontId="29" fillId="7" borderId="37" xfId="0" applyFont="1" applyFill="1" applyBorder="1" applyAlignment="1" applyProtection="1">
      <alignment horizontal="center" vertical="center"/>
      <protection locked="0"/>
    </xf>
    <xf numFmtId="0" fontId="29" fillId="7" borderId="39" xfId="0" applyFont="1" applyFill="1" applyBorder="1" applyAlignment="1" applyProtection="1">
      <alignment horizontal="center" vertical="center"/>
      <protection locked="0"/>
    </xf>
    <xf numFmtId="0" fontId="38" fillId="0" borderId="0" xfId="0" applyFont="1" applyFill="1" applyAlignment="1" applyProtection="1">
      <alignment horizontal="right" vertical="center" wrapText="1"/>
      <protection locked="0"/>
    </xf>
    <xf numFmtId="0" fontId="0" fillId="0" borderId="0" xfId="0" quotePrefix="1" applyAlignment="1">
      <alignment horizontal="left" vertical="center" wrapText="1"/>
    </xf>
    <xf numFmtId="0" fontId="0" fillId="0" borderId="0" xfId="0" applyAlignment="1">
      <alignment horizontal="left" vertical="center" wrapText="1"/>
    </xf>
    <xf numFmtId="0" fontId="12" fillId="0" borderId="3" xfId="0" applyFont="1" applyBorder="1" applyAlignment="1">
      <alignment horizontal="right" vertical="center"/>
    </xf>
    <xf numFmtId="0" fontId="12" fillId="0" borderId="3" xfId="0" applyFont="1" applyBorder="1" applyAlignment="1">
      <alignment horizontal="center" vertical="center"/>
    </xf>
    <xf numFmtId="164" fontId="14" fillId="6" borderId="18" xfId="0" applyNumberFormat="1" applyFont="1" applyFill="1" applyBorder="1" applyAlignment="1">
      <alignment horizontal="center" vertical="center"/>
    </xf>
    <xf numFmtId="164" fontId="14" fillId="6" borderId="5" xfId="0" applyNumberFormat="1" applyFont="1" applyFill="1" applyBorder="1" applyAlignment="1">
      <alignment horizontal="center" vertical="center"/>
    </xf>
    <xf numFmtId="0" fontId="12" fillId="0" borderId="3" xfId="0" applyFont="1" applyBorder="1" applyAlignment="1">
      <alignment horizontal="right" vertical="center" wrapText="1"/>
    </xf>
    <xf numFmtId="0" fontId="14" fillId="0" borderId="3" xfId="0" applyFont="1" applyBorder="1" applyAlignment="1">
      <alignment horizontal="center" vertical="center"/>
    </xf>
    <xf numFmtId="0" fontId="29" fillId="7" borderId="3" xfId="0" applyFont="1" applyFill="1" applyBorder="1" applyAlignment="1">
      <alignment horizontal="center" vertical="center"/>
    </xf>
    <xf numFmtId="0" fontId="7" fillId="0" borderId="3" xfId="0" applyFont="1" applyBorder="1" applyAlignment="1">
      <alignment horizontal="center" vertical="center"/>
    </xf>
    <xf numFmtId="0" fontId="7" fillId="0" borderId="18" xfId="0" applyFont="1" applyBorder="1" applyAlignment="1">
      <alignment horizontal="center" vertical="center"/>
    </xf>
    <xf numFmtId="0" fontId="7" fillId="0" borderId="5" xfId="0" applyFont="1" applyBorder="1" applyAlignment="1">
      <alignment horizontal="center" vertical="center"/>
    </xf>
    <xf numFmtId="0" fontId="14" fillId="0" borderId="3" xfId="0" applyFont="1" applyBorder="1" applyAlignment="1">
      <alignment horizontal="center"/>
    </xf>
    <xf numFmtId="0" fontId="30" fillId="7" borderId="3" xfId="0" applyFont="1" applyFill="1" applyBorder="1" applyAlignment="1">
      <alignment horizontal="center" vertical="center"/>
    </xf>
    <xf numFmtId="0" fontId="51" fillId="7" borderId="3" xfId="0" applyFont="1" applyFill="1" applyBorder="1" applyAlignment="1">
      <alignment horizontal="center" vertical="center" wrapText="1" readingOrder="1"/>
    </xf>
    <xf numFmtId="0" fontId="0" fillId="0" borderId="2" xfId="0" applyBorder="1" applyAlignment="1">
      <alignment horizontal="center" vertical="center"/>
    </xf>
  </cellXfs>
  <cellStyles count="6">
    <cellStyle name="Hyperlink" xfId="5" builtinId="8"/>
    <cellStyle name="Normal" xfId="0" builtinId="0"/>
    <cellStyle name="Normal 2" xfId="1" xr:uid="{00000000-0005-0000-0000-000001000000}"/>
    <cellStyle name="Normal 3" xfId="2" xr:uid="{00000000-0005-0000-0000-000002000000}"/>
    <cellStyle name="Normal 3 2" xfId="3" xr:uid="{00000000-0005-0000-0000-000003000000}"/>
    <cellStyle name="Percent" xfId="4" builtinId="5"/>
  </cellStyles>
  <dxfs count="49">
    <dxf>
      <font>
        <b/>
        <i val="0"/>
      </font>
      <fill>
        <patternFill>
          <bgColor rgb="FFFFFF00"/>
        </patternFill>
      </fill>
    </dxf>
    <dxf>
      <font>
        <b/>
        <i val="0"/>
      </font>
      <fill>
        <patternFill>
          <bgColor rgb="FFFFFF00"/>
        </patternFill>
      </fill>
    </dxf>
    <dxf>
      <font>
        <color theme="0"/>
      </font>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rgb="FF00B050"/>
      </font>
      <fill>
        <patternFill patternType="none">
          <bgColor auto="1"/>
        </patternFill>
      </fill>
    </dxf>
    <dxf>
      <font>
        <color rgb="FFFF000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rgb="FF00B050"/>
      </font>
      <fill>
        <patternFill patternType="none">
          <bgColor auto="1"/>
        </patternFill>
      </fill>
    </dxf>
    <dxf>
      <font>
        <color rgb="FFFF0000"/>
      </font>
    </dxf>
    <dxf>
      <font>
        <color rgb="FF00B050"/>
      </font>
      <fill>
        <patternFill patternType="none">
          <bgColor auto="1"/>
        </patternFill>
      </fill>
    </dxf>
    <dxf>
      <font>
        <color rgb="FFFF0000"/>
      </font>
    </dxf>
    <dxf>
      <font>
        <color rgb="FF00B050"/>
      </font>
      <fill>
        <patternFill patternType="none">
          <bgColor auto="1"/>
        </patternFill>
      </fill>
    </dxf>
    <dxf>
      <font>
        <color rgb="FFFF0000"/>
      </font>
    </dxf>
    <dxf>
      <font>
        <color rgb="FF00B050"/>
      </font>
      <fill>
        <patternFill patternType="none">
          <bgColor auto="1"/>
        </patternFill>
      </fill>
    </dxf>
    <dxf>
      <font>
        <color rgb="FFFF0000"/>
      </font>
    </dxf>
    <dxf>
      <font>
        <color theme="0"/>
      </font>
    </dxf>
    <dxf>
      <fill>
        <patternFill>
          <bgColor theme="0"/>
        </patternFill>
      </fill>
    </dxf>
    <dxf>
      <font>
        <color theme="0"/>
      </font>
      <fill>
        <patternFill patternType="none">
          <bgColor auto="1"/>
        </patternFill>
      </fill>
    </dxf>
    <dxf>
      <font>
        <b val="0"/>
        <i val="0"/>
        <color theme="1"/>
      </font>
    </dxf>
    <dxf>
      <font>
        <color rgb="FFFF0000"/>
      </font>
    </dxf>
    <dxf>
      <font>
        <color rgb="FFFF0000"/>
      </font>
      <border>
        <left/>
        <right/>
        <top/>
        <bottom/>
      </border>
    </dxf>
    <dxf>
      <font>
        <color theme="0"/>
      </font>
      <fill>
        <patternFill>
          <bgColor theme="0"/>
        </patternFill>
      </fill>
    </dxf>
    <dxf>
      <fill>
        <patternFill>
          <bgColor theme="0"/>
        </patternFill>
      </fill>
    </dxf>
    <dxf>
      <fill>
        <patternFill>
          <bgColor theme="0"/>
        </patternFill>
      </fill>
    </dxf>
    <dxf>
      <font>
        <color auto="1"/>
      </font>
      <fill>
        <patternFill>
          <bgColor theme="0"/>
        </patternFill>
      </fill>
    </dxf>
    <dxf>
      <font>
        <b/>
        <i val="0"/>
        <color rgb="FF00B050"/>
      </font>
    </dxf>
    <dxf>
      <font>
        <b/>
        <i val="0"/>
        <color rgb="FFFF0000"/>
      </font>
    </dxf>
    <dxf>
      <font>
        <color theme="0"/>
      </font>
      <border>
        <left/>
        <right/>
        <top style="thin">
          <color auto="1"/>
        </top>
        <bottom/>
        <vertical/>
        <horizontal/>
      </border>
    </dxf>
    <dxf>
      <font>
        <color theme="0"/>
      </font>
      <fill>
        <patternFill>
          <bgColor theme="0"/>
        </patternFill>
      </fill>
    </dxf>
    <dxf>
      <font>
        <b/>
        <i val="0"/>
        <color rgb="FFFF0000"/>
      </font>
    </dxf>
    <dxf>
      <font>
        <color theme="0"/>
      </font>
    </dxf>
    <dxf>
      <fill>
        <patternFill>
          <bgColor theme="0"/>
        </patternFill>
      </fill>
    </dxf>
    <dxf>
      <font>
        <b/>
        <i val="0"/>
      </font>
      <border>
        <left style="thin">
          <color auto="1"/>
        </left>
        <right style="thin">
          <color auto="1"/>
        </right>
        <top style="thin">
          <color auto="1"/>
        </top>
        <bottom style="thin">
          <color auto="1"/>
        </bottom>
        <vertical/>
        <horizontal/>
      </border>
    </dxf>
    <dxf>
      <font>
        <b/>
        <i val="0"/>
        <color rgb="FFFF0000"/>
      </font>
      <fill>
        <patternFill patternType="none">
          <fgColor indexed="64"/>
          <bgColor auto="1"/>
        </patternFill>
      </fill>
      <border>
        <left style="thin">
          <color auto="1"/>
        </left>
        <right style="thin">
          <color auto="1"/>
        </right>
        <top style="thin">
          <color auto="1"/>
        </top>
        <bottom style="thin">
          <color auto="1"/>
        </bottom>
      </border>
    </dxf>
    <dxf>
      <font>
        <b/>
        <i val="0"/>
        <color rgb="FF00B050"/>
      </font>
      <border>
        <left style="thin">
          <color auto="1"/>
        </left>
        <right style="thin">
          <color auto="1"/>
        </right>
        <top style="thin">
          <color auto="1"/>
        </top>
        <bottom style="thin">
          <color auto="1"/>
        </bottom>
      </border>
    </dxf>
  </dxfs>
  <tableStyles count="0" defaultTableStyle="TableStyleMedium9" defaultPivotStyle="PivotStyleLight16"/>
  <colors>
    <mruColors>
      <color rgb="FFE6E6E6"/>
      <color rgb="FF520B90"/>
      <color rgb="FF9FDFFF"/>
      <color rgb="FFFFFF99"/>
      <color rgb="FF66FF33"/>
      <color rgb="FFB3B3FF"/>
      <color rgb="FF66FF66"/>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customXml" Target="../customXml/item2.xml"/><Relationship Id="rId3" Type="http://schemas.openxmlformats.org/officeDocument/2006/relationships/worksheet" Target="worksheets/sheet3.xml"/><Relationship Id="rId21" Type="http://schemas.openxmlformats.org/officeDocument/2006/relationships/styles" Target="style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customXml" Target="../customXml/item1.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connections" Target="connection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calcChain" Target="calcChain.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heetMetadata" Target="metadata.xml"/><Relationship Id="rId28"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haredStrings" Target="sharedStrings.xml"/><Relationship Id="rId27" Type="http://schemas.openxmlformats.org/officeDocument/2006/relationships/customXml" Target="../customXml/item3.xml"/></Relationships>
</file>

<file path=xl/ctrlProps/ctrlProp1.xml><?xml version="1.0" encoding="utf-8"?>
<formControlPr xmlns="http://schemas.microsoft.com/office/spreadsheetml/2009/9/main" objectType="Label" lockText="1"/>
</file>

<file path=xl/ctrlProps/ctrlProp2.xml><?xml version="1.0" encoding="utf-8"?>
<formControlPr xmlns="http://schemas.microsoft.com/office/spreadsheetml/2009/9/main" objectType="Label" lockText="1"/>
</file>

<file path=xl/ctrlProps/ctrlProp3.xml><?xml version="1.0" encoding="utf-8"?>
<formControlPr xmlns="http://schemas.microsoft.com/office/spreadsheetml/2009/9/main" objectType="Label"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CheckBox" checked="Checked" fmlaLink="U1" noThreeD="1"/>
</file>

<file path=xl/ctrlProps/ctrlProp8.xml><?xml version="1.0" encoding="utf-8"?>
<formControlPr xmlns="http://schemas.microsoft.com/office/spreadsheetml/2009/9/main" objectType="CheckBox" fmlaLink="U2" noThreeD="1"/>
</file>

<file path=xl/ctrlProps/ctrlProp9.xml><?xml version="1.0" encoding="utf-8"?>
<formControlPr xmlns="http://schemas.microsoft.com/office/spreadsheetml/2009/9/main" objectType="CheckBox" fmlaLink="$U$3" lockText="1" noThreeD="1"/>
</file>

<file path=xl/ctrlProps/ctrlProp10.xml><?xml version="1.0" encoding="utf-8"?>
<formControlPr xmlns="http://schemas.microsoft.com/office/spreadsheetml/2009/9/main" objectType="CheckBox" checked="Checked" fmlaLink="AA13" lockText="1" noThreeD="1"/>
</file>

<file path=xl/ctrlProps/ctrlProp11.xml><?xml version="1.0" encoding="utf-8"?>
<formControlPr xmlns="http://schemas.microsoft.com/office/spreadsheetml/2009/9/main" objectType="CheckBox" fmlaLink="AA79" lockText="1" noThreeD="1"/>
</file>

<file path=xl/drawings/_rels/drawing1.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png"/><Relationship Id="rId1" Type="http://schemas.openxmlformats.org/officeDocument/2006/relationships/image" Target="../media/image1.png"/><Relationship Id="rId4" Type="http://schemas.openxmlformats.org/officeDocument/2006/relationships/image" Target="../media/image4.png"/></Relationships>
</file>

<file path=xl/drawings/_rels/drawing3.xml.rels><?xml version="1.0" encoding="UTF-8" standalone="yes"?>
<Relationships xmlns="http://schemas.openxmlformats.org/package/2006/relationships"><Relationship Id="rId8" Type="http://schemas.openxmlformats.org/officeDocument/2006/relationships/image" Target="../media/image13.png"/><Relationship Id="rId13" Type="http://schemas.openxmlformats.org/officeDocument/2006/relationships/image" Target="../media/image18.png"/><Relationship Id="rId3" Type="http://schemas.openxmlformats.org/officeDocument/2006/relationships/image" Target="../media/image8.jpg"/><Relationship Id="rId7" Type="http://schemas.openxmlformats.org/officeDocument/2006/relationships/image" Target="../media/image12.jpg"/><Relationship Id="rId12" Type="http://schemas.openxmlformats.org/officeDocument/2006/relationships/image" Target="../media/image17.png"/><Relationship Id="rId2" Type="http://schemas.openxmlformats.org/officeDocument/2006/relationships/image" Target="../media/image7.jpg"/><Relationship Id="rId1" Type="http://schemas.openxmlformats.org/officeDocument/2006/relationships/image" Target="../media/image1.png"/><Relationship Id="rId6" Type="http://schemas.openxmlformats.org/officeDocument/2006/relationships/image" Target="../media/image11.jpeg"/><Relationship Id="rId11" Type="http://schemas.openxmlformats.org/officeDocument/2006/relationships/image" Target="../media/image16.png"/><Relationship Id="rId5" Type="http://schemas.openxmlformats.org/officeDocument/2006/relationships/image" Target="../media/image10.jpg"/><Relationship Id="rId10" Type="http://schemas.openxmlformats.org/officeDocument/2006/relationships/image" Target="../media/image15.png"/><Relationship Id="rId4" Type="http://schemas.openxmlformats.org/officeDocument/2006/relationships/image" Target="../media/image9.jpg"/><Relationship Id="rId9" Type="http://schemas.openxmlformats.org/officeDocument/2006/relationships/image" Target="../media/image14.png"/></Relationships>
</file>

<file path=xl/drawings/_rels/drawing4.xml.rels><?xml version="1.0" encoding="UTF-8" standalone="yes"?>
<Relationships xmlns="http://schemas.openxmlformats.org/package/2006/relationships"><Relationship Id="rId8" Type="http://schemas.openxmlformats.org/officeDocument/2006/relationships/image" Target="../media/image26.png"/><Relationship Id="rId3" Type="http://schemas.openxmlformats.org/officeDocument/2006/relationships/image" Target="../media/image21.png"/><Relationship Id="rId7" Type="http://schemas.openxmlformats.org/officeDocument/2006/relationships/image" Target="../media/image25.png"/><Relationship Id="rId2" Type="http://schemas.openxmlformats.org/officeDocument/2006/relationships/image" Target="../media/image20.png"/><Relationship Id="rId1" Type="http://schemas.openxmlformats.org/officeDocument/2006/relationships/image" Target="../media/image19.png"/><Relationship Id="rId6" Type="http://schemas.openxmlformats.org/officeDocument/2006/relationships/image" Target="../media/image24.png"/><Relationship Id="rId5" Type="http://schemas.openxmlformats.org/officeDocument/2006/relationships/image" Target="../media/image23.png"/><Relationship Id="rId10" Type="http://schemas.openxmlformats.org/officeDocument/2006/relationships/image" Target="../media/image28.png"/><Relationship Id="rId4" Type="http://schemas.openxmlformats.org/officeDocument/2006/relationships/image" Target="../media/image22.png"/><Relationship Id="rId9" Type="http://schemas.openxmlformats.org/officeDocument/2006/relationships/image" Target="../media/image27.emf"/></Relationships>
</file>

<file path=xl/drawings/_rels/drawing9.xml.rels><?xml version="1.0" encoding="UTF-8" standalone="yes"?>
<Relationships xmlns="http://schemas.openxmlformats.org/package/2006/relationships"><Relationship Id="rId1" Type="http://schemas.openxmlformats.org/officeDocument/2006/relationships/image" Target="../media/image13.png"/></Relationships>
</file>

<file path=xl/drawings/_rels/drawing10.xml.rels><?xml version="1.0" encoding="UTF-8" standalone="yes"?>
<Relationships xmlns="http://schemas.openxmlformats.org/package/2006/relationships"><Relationship Id="rId2" Type="http://schemas.openxmlformats.org/officeDocument/2006/relationships/image" Target="../media/image31.png"/><Relationship Id="rId1" Type="http://schemas.openxmlformats.org/officeDocument/2006/relationships/image" Target="../media/image30.png"/></Relationships>
</file>

<file path=xl/drawings/_rels/vmlDrawing2.vml.rels><?xml version="1.0" encoding="UTF-8" standalone="yes"?>
<Relationships xmlns="http://schemas.openxmlformats.org/package/2006/relationships"><Relationship Id="rId2" Type="http://schemas.openxmlformats.org/officeDocument/2006/relationships/image" Target="../media/image6.wmf"/><Relationship Id="rId1" Type="http://schemas.openxmlformats.org/officeDocument/2006/relationships/image" Target="../media/image5.wmf"/></Relationships>
</file>

<file path=xl/drawings/_rels/vmlDrawing5.vml.rels><?xml version="1.0" encoding="UTF-8" standalone="yes"?>
<Relationships xmlns="http://schemas.openxmlformats.org/package/2006/relationships"><Relationship Id="rId1" Type="http://schemas.openxmlformats.org/officeDocument/2006/relationships/image" Target="../media/image29.emf"/></Relationships>
</file>

<file path=xl/drawings/_rels/vmlDrawing6.vml.rels><?xml version="1.0" encoding="UTF-8" standalone="yes"?>
<Relationships xmlns="http://schemas.openxmlformats.org/package/2006/relationships"><Relationship Id="rId1" Type="http://schemas.openxmlformats.org/officeDocument/2006/relationships/image" Target="../media/image29.emf"/></Relationships>
</file>

<file path=xl/drawings/_rels/vmlDrawing7.vml.rels><?xml version="1.0" encoding="UTF-8" standalone="yes"?>
<Relationships xmlns="http://schemas.openxmlformats.org/package/2006/relationships"><Relationship Id="rId1" Type="http://schemas.openxmlformats.org/officeDocument/2006/relationships/image" Target="../media/image29.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10</xdr:col>
          <xdr:colOff>57150</xdr:colOff>
          <xdr:row>6</xdr:row>
          <xdr:rowOff>161925</xdr:rowOff>
        </xdr:from>
        <xdr:to>
          <xdr:col>12</xdr:col>
          <xdr:colOff>333375</xdr:colOff>
          <xdr:row>8</xdr:row>
          <xdr:rowOff>38100</xdr:rowOff>
        </xdr:to>
        <xdr:sp macro="" textlink="">
          <xdr:nvSpPr>
            <xdr:cNvPr id="375809" name="ERI" hidden="1">
              <a:extLst>
                <a:ext uri="{63B3BB69-23CF-44E3-9099-C40C66FF867C}">
                  <a14:compatExt spid="_x0000_s375809"/>
                </a:ext>
                <a:ext uri="{FF2B5EF4-FFF2-40B4-BE49-F238E27FC236}">
                  <a16:creationId xmlns:a16="http://schemas.microsoft.com/office/drawing/2014/main" id="{00000000-0008-0000-0000-000001BC05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27432" rIns="0" bIns="0" anchor="t" upright="1"/>
            <a:lstStyle/>
            <a:p>
              <a:pPr algn="l" rtl="0">
                <a:defRPr sz="1000"/>
              </a:pPr>
              <a:r>
                <a:rPr lang="en-US" sz="1200" b="0" i="0" u="sng" strike="noStrike" baseline="0">
                  <a:solidFill>
                    <a:srgbClr val="0000E6"/>
                  </a:solidFill>
                  <a:latin typeface="Calibri"/>
                  <a:cs typeface="Calibri"/>
                </a:rPr>
                <a:t>Import ERI</a:t>
              </a:r>
            </a:p>
          </xdr:txBody>
        </xdr:sp>
        <xdr:clientData/>
      </xdr:twoCellAnchor>
    </mc:Choice>
    <mc:Fallback/>
  </mc:AlternateContent>
  <mc:AlternateContent xmlns:mc="http://schemas.openxmlformats.org/markup-compatibility/2006">
    <mc:Choice xmlns:a14="http://schemas.microsoft.com/office/drawing/2010/main" Requires="a14">
      <xdr:twoCellAnchor>
        <xdr:from>
          <xdr:col>10</xdr:col>
          <xdr:colOff>57150</xdr:colOff>
          <xdr:row>8</xdr:row>
          <xdr:rowOff>161925</xdr:rowOff>
        </xdr:from>
        <xdr:to>
          <xdr:col>12</xdr:col>
          <xdr:colOff>333375</xdr:colOff>
          <xdr:row>10</xdr:row>
          <xdr:rowOff>57150</xdr:rowOff>
        </xdr:to>
        <xdr:sp macro="" textlink="">
          <xdr:nvSpPr>
            <xdr:cNvPr id="375810" name="RTF_REPORT" descr="Import RTF" hidden="1">
              <a:extLst>
                <a:ext uri="{63B3BB69-23CF-44E3-9099-C40C66FF867C}">
                  <a14:compatExt spid="_x0000_s375810"/>
                </a:ext>
                <a:ext uri="{FF2B5EF4-FFF2-40B4-BE49-F238E27FC236}">
                  <a16:creationId xmlns:a16="http://schemas.microsoft.com/office/drawing/2014/main" id="{00000000-0008-0000-0000-000002BC05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27432" rIns="0" bIns="0" anchor="t" upright="1"/>
            <a:lstStyle/>
            <a:p>
              <a:pPr algn="l" rtl="0">
                <a:defRPr sz="1000"/>
              </a:pPr>
              <a:r>
                <a:rPr lang="en-US" sz="1200" b="0" i="0" u="sng" strike="noStrike" baseline="0">
                  <a:solidFill>
                    <a:srgbClr val="0000E6"/>
                  </a:solidFill>
                  <a:latin typeface="Calibri"/>
                  <a:cs typeface="Calibri"/>
                </a:rPr>
                <a:t>Import Wind Load RTF</a:t>
              </a:r>
            </a:p>
          </xdr:txBody>
        </xdr:sp>
        <xdr:clientData/>
      </xdr:twoCellAnchor>
    </mc:Choice>
    <mc:Fallback/>
  </mc:AlternateContent>
  <mc:AlternateContent xmlns:mc="http://schemas.openxmlformats.org/markup-compatibility/2006">
    <mc:Choice xmlns:a14="http://schemas.microsoft.com/office/drawing/2010/main" Requires="a14">
      <xdr:twoCellAnchor>
        <xdr:from>
          <xdr:col>10</xdr:col>
          <xdr:colOff>57150</xdr:colOff>
          <xdr:row>10</xdr:row>
          <xdr:rowOff>161925</xdr:rowOff>
        </xdr:from>
        <xdr:to>
          <xdr:col>12</xdr:col>
          <xdr:colOff>342900</xdr:colOff>
          <xdr:row>11</xdr:row>
          <xdr:rowOff>180975</xdr:rowOff>
        </xdr:to>
        <xdr:sp macro="" textlink="">
          <xdr:nvSpPr>
            <xdr:cNvPr id="375812" name="RTF_Report_Dead" hidden="1">
              <a:extLst>
                <a:ext uri="{63B3BB69-23CF-44E3-9099-C40C66FF867C}">
                  <a14:compatExt spid="_x0000_s375812"/>
                </a:ext>
                <a:ext uri="{FF2B5EF4-FFF2-40B4-BE49-F238E27FC236}">
                  <a16:creationId xmlns:a16="http://schemas.microsoft.com/office/drawing/2014/main" id="{00000000-0008-0000-0000-000004BC05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27432" rIns="0" bIns="0" anchor="t" upright="1"/>
            <a:lstStyle/>
            <a:p>
              <a:pPr algn="l" rtl="0">
                <a:defRPr sz="1000"/>
              </a:pPr>
              <a:r>
                <a:rPr lang="en-US" sz="1200" b="0" i="0" u="sng" strike="noStrike" baseline="0">
                  <a:solidFill>
                    <a:srgbClr val="0000E6"/>
                  </a:solidFill>
                  <a:latin typeface="Calibri"/>
                  <a:cs typeface="Calibri"/>
                </a:rPr>
                <a:t>Import Dead Load RTF</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409575</xdr:colOff>
          <xdr:row>6</xdr:row>
          <xdr:rowOff>76200</xdr:rowOff>
        </xdr:from>
        <xdr:to>
          <xdr:col>18</xdr:col>
          <xdr:colOff>161925</xdr:colOff>
          <xdr:row>9</xdr:row>
          <xdr:rowOff>47625</xdr:rowOff>
        </xdr:to>
        <xdr:sp macro="" textlink="">
          <xdr:nvSpPr>
            <xdr:cNvPr id="375815" name="Button 7" hidden="1">
              <a:extLst>
                <a:ext uri="{63B3BB69-23CF-44E3-9099-C40C66FF867C}">
                  <a14:compatExt spid="_x0000_s375815"/>
                </a:ext>
                <a:ext uri="{FF2B5EF4-FFF2-40B4-BE49-F238E27FC236}">
                  <a16:creationId xmlns:a16="http://schemas.microsoft.com/office/drawing/2014/main" id="{00000000-0008-0000-0000-000007BC05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Clear Imported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14</xdr:col>
          <xdr:colOff>400050</xdr:colOff>
          <xdr:row>10</xdr:row>
          <xdr:rowOff>28575</xdr:rowOff>
        </xdr:from>
        <xdr:to>
          <xdr:col>18</xdr:col>
          <xdr:colOff>161925</xdr:colOff>
          <xdr:row>13</xdr:row>
          <xdr:rowOff>9525</xdr:rowOff>
        </xdr:to>
        <xdr:sp macro="" textlink="">
          <xdr:nvSpPr>
            <xdr:cNvPr id="375817" name="Button 9" hidden="1">
              <a:extLst>
                <a:ext uri="{63B3BB69-23CF-44E3-9099-C40C66FF867C}">
                  <a14:compatExt spid="_x0000_s375817"/>
                </a:ext>
                <a:ext uri="{FF2B5EF4-FFF2-40B4-BE49-F238E27FC236}">
                  <a16:creationId xmlns:a16="http://schemas.microsoft.com/office/drawing/2014/main" id="{00000000-0008-0000-0000-000009BC05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Clear Stored Data for each Leg Reinforcement Section</a:t>
              </a:r>
            </a:p>
          </xdr:txBody>
        </xdr:sp>
        <xdr:clientData fPrintsWithSheet="0"/>
      </xdr:twoCellAnchor>
    </mc:Choice>
    <mc:Fallback/>
  </mc:AlternateContent>
  <xdr:twoCellAnchor editAs="oneCell">
    <xdr:from>
      <xdr:col>6</xdr:col>
      <xdr:colOff>7327</xdr:colOff>
      <xdr:row>0</xdr:row>
      <xdr:rowOff>175847</xdr:rowOff>
    </xdr:from>
    <xdr:to>
      <xdr:col>8</xdr:col>
      <xdr:colOff>384527</xdr:colOff>
      <xdr:row>4</xdr:row>
      <xdr:rowOff>178772</xdr:rowOff>
    </xdr:to>
    <xdr:pic>
      <xdr:nvPicPr>
        <xdr:cNvPr id="9" name="Picture 8">
          <a:extLst>
            <a:ext uri="{FF2B5EF4-FFF2-40B4-BE49-F238E27FC236}">
              <a16:creationId xmlns:a16="http://schemas.microsoft.com/office/drawing/2014/main" id="{00000000-0008-0000-0000-000009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5092212" y="175847"/>
          <a:ext cx="2217499" cy="764925"/>
        </a:xfrm>
        <a:prstGeom prst="rect">
          <a:avLst/>
        </a:prstGeom>
      </xdr:spPr>
    </xdr:pic>
    <xdr:clientData/>
  </xdr:twoCellAnchor>
  <xdr:twoCellAnchor editAs="absolute">
    <xdr:from>
      <xdr:col>13</xdr:col>
      <xdr:colOff>237233</xdr:colOff>
      <xdr:row>14</xdr:row>
      <xdr:rowOff>0</xdr:rowOff>
    </xdr:from>
    <xdr:to>
      <xdr:col>21</xdr:col>
      <xdr:colOff>149309</xdr:colOff>
      <xdr:row>29</xdr:row>
      <xdr:rowOff>131885</xdr:rowOff>
    </xdr:to>
    <xdr:sp macro="" textlink="">
      <xdr:nvSpPr>
        <xdr:cNvPr id="2" name="TextBox 1">
          <a:extLst>
            <a:ext uri="{FF2B5EF4-FFF2-40B4-BE49-F238E27FC236}">
              <a16:creationId xmlns:a16="http://schemas.microsoft.com/office/drawing/2014/main" id="{00000000-0008-0000-0000-000002000000}"/>
            </a:ext>
          </a:extLst>
        </xdr:cNvPr>
        <xdr:cNvSpPr txBox="1"/>
      </xdr:nvSpPr>
      <xdr:spPr>
        <a:xfrm>
          <a:off x="12648308" y="2667000"/>
          <a:ext cx="4788876" cy="3179885"/>
        </a:xfrm>
        <a:prstGeom prst="rect">
          <a:avLst/>
        </a:prstGeom>
        <a:solidFill>
          <a:schemeClr val="lt1"/>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u="sng">
              <a:solidFill>
                <a:schemeClr val="dk1"/>
              </a:solidFill>
              <a:effectLst/>
              <a:latin typeface="+mn-lt"/>
              <a:ea typeface="+mn-ea"/>
              <a:cs typeface="+mn-cs"/>
            </a:rPr>
            <a:t>TOOL TIPS</a:t>
          </a:r>
        </a:p>
        <a:p>
          <a:pPr lvl="0"/>
          <a:endParaRPr lang="en-US" sz="1100">
            <a:solidFill>
              <a:schemeClr val="dk1"/>
            </a:solidFill>
            <a:effectLst/>
            <a:latin typeface="+mn-lt"/>
            <a:ea typeface="+mn-ea"/>
            <a:cs typeface="+mn-cs"/>
          </a:endParaRPr>
        </a:p>
        <a:p>
          <a:pPr lvl="0"/>
          <a:r>
            <a:rPr lang="en-US" sz="1100">
              <a:solidFill>
                <a:schemeClr val="dk1"/>
              </a:solidFill>
              <a:effectLst/>
              <a:latin typeface="+mn-lt"/>
              <a:ea typeface="+mn-ea"/>
              <a:cs typeface="+mn-cs"/>
            </a:rPr>
            <a:t>1. Fill out Site Data</a:t>
          </a:r>
        </a:p>
        <a:p>
          <a:pPr lvl="0"/>
          <a:r>
            <a:rPr lang="en-US" sz="1100">
              <a:solidFill>
                <a:schemeClr val="dk1"/>
              </a:solidFill>
              <a:effectLst/>
              <a:latin typeface="+mn-lt"/>
              <a:ea typeface="+mn-ea"/>
              <a:cs typeface="+mn-cs"/>
            </a:rPr>
            <a:t>2. Import the ERI file</a:t>
          </a:r>
        </a:p>
        <a:p>
          <a:pPr lvl="1"/>
          <a:r>
            <a:rPr lang="en-US" sz="1100">
              <a:solidFill>
                <a:schemeClr val="dk1"/>
              </a:solidFill>
              <a:effectLst/>
              <a:latin typeface="+mn-lt"/>
              <a:ea typeface="+mn-ea"/>
              <a:cs typeface="+mn-cs"/>
            </a:rPr>
            <a:t>- Brings in the tower sections to apply reinforcement to</a:t>
          </a:r>
        </a:p>
        <a:p>
          <a:pPr lvl="0"/>
          <a:r>
            <a:rPr lang="en-US" sz="1100">
              <a:solidFill>
                <a:schemeClr val="dk1"/>
              </a:solidFill>
              <a:effectLst/>
              <a:latin typeface="+mn-lt"/>
              <a:ea typeface="+mn-ea"/>
              <a:cs typeface="+mn-cs"/>
            </a:rPr>
            <a:t>3. Import the RTF (report output file)</a:t>
          </a:r>
        </a:p>
        <a:p>
          <a:pPr lvl="1"/>
          <a:r>
            <a:rPr lang="en-US" sz="1100">
              <a:solidFill>
                <a:schemeClr val="dk1"/>
              </a:solidFill>
              <a:effectLst/>
              <a:latin typeface="+mn-lt"/>
              <a:ea typeface="+mn-ea"/>
              <a:cs typeface="+mn-cs"/>
            </a:rPr>
            <a:t>- Brings in the applied loads in the tower’s legs</a:t>
          </a:r>
        </a:p>
        <a:p>
          <a:pPr lvl="1"/>
          <a:r>
            <a:rPr lang="en-US" sz="1100">
              <a:solidFill>
                <a:schemeClr val="dk1"/>
              </a:solidFill>
              <a:effectLst/>
              <a:latin typeface="+mn-lt"/>
              <a:ea typeface="+mn-ea"/>
              <a:cs typeface="+mn-cs"/>
            </a:rPr>
            <a:t>- The dead load RTF import becomes available for guyed towers</a:t>
          </a:r>
        </a:p>
        <a:p>
          <a:pPr lvl="0"/>
          <a:r>
            <a:rPr lang="en-US" sz="1100">
              <a:solidFill>
                <a:schemeClr val="dk1"/>
              </a:solidFill>
              <a:effectLst/>
              <a:latin typeface="+mn-lt"/>
              <a:ea typeface="+mn-ea"/>
              <a:cs typeface="+mn-cs"/>
            </a:rPr>
            <a:t>4. Specify which tower sections to create leg reinforcement for</a:t>
          </a:r>
        </a:p>
        <a:p>
          <a:pPr lvl="0"/>
          <a:r>
            <a:rPr lang="en-US" sz="1100">
              <a:solidFill>
                <a:schemeClr val="dk1"/>
              </a:solidFill>
              <a:effectLst/>
              <a:latin typeface="+mn-lt"/>
              <a:ea typeface="+mn-ea"/>
              <a:cs typeface="+mn-cs"/>
            </a:rPr>
            <a:t>5. Navigate to the Leg Reinforcement Inputs</a:t>
          </a:r>
        </a:p>
        <a:p>
          <a:pPr lvl="1"/>
          <a:r>
            <a:rPr lang="en-US" sz="1100">
              <a:solidFill>
                <a:schemeClr val="dk1"/>
              </a:solidFill>
              <a:effectLst/>
              <a:latin typeface="+mn-lt"/>
              <a:ea typeface="+mn-ea"/>
              <a:cs typeface="+mn-cs"/>
            </a:rPr>
            <a:t>- Toggle or navigate to a Section to be edited</a:t>
          </a:r>
        </a:p>
        <a:p>
          <a:pPr lvl="1"/>
          <a:r>
            <a:rPr lang="en-US" sz="1100">
              <a:solidFill>
                <a:schemeClr val="dk1"/>
              </a:solidFill>
              <a:effectLst/>
              <a:latin typeface="+mn-lt"/>
              <a:ea typeface="+mn-ea"/>
              <a:cs typeface="+mn-cs"/>
            </a:rPr>
            <a:t>- Complete all Sections specified to create reinforcement for</a:t>
          </a:r>
        </a:p>
        <a:p>
          <a:pPr lvl="0"/>
          <a:r>
            <a:rPr lang="en-US" sz="1100">
              <a:solidFill>
                <a:schemeClr val="dk1"/>
              </a:solidFill>
              <a:effectLst/>
              <a:latin typeface="+mn-lt"/>
              <a:ea typeface="+mn-ea"/>
              <a:cs typeface="+mn-cs"/>
            </a:rPr>
            <a:t>6. Return to the Import</a:t>
          </a:r>
          <a:r>
            <a:rPr lang="en-US" sz="1100" baseline="0">
              <a:solidFill>
                <a:schemeClr val="dk1"/>
              </a:solidFill>
              <a:effectLst/>
              <a:latin typeface="+mn-lt"/>
              <a:ea typeface="+mn-ea"/>
              <a:cs typeface="+mn-cs"/>
            </a:rPr>
            <a:t> worksheet to c</a:t>
          </a:r>
          <a:r>
            <a:rPr lang="en-US" sz="1100">
              <a:solidFill>
                <a:schemeClr val="dk1"/>
              </a:solidFill>
              <a:effectLst/>
              <a:latin typeface="+mn-lt"/>
              <a:ea typeface="+mn-ea"/>
              <a:cs typeface="+mn-cs"/>
            </a:rPr>
            <a:t>reate the modified ERI file</a:t>
          </a:r>
        </a:p>
        <a:p>
          <a:pPr lvl="0"/>
          <a:r>
            <a:rPr lang="en-US" sz="1100">
              <a:solidFill>
                <a:schemeClr val="dk1"/>
              </a:solidFill>
              <a:effectLst/>
              <a:latin typeface="+mn-lt"/>
              <a:ea typeface="+mn-ea"/>
              <a:cs typeface="+mn-cs"/>
            </a:rPr>
            <a:t>7. Run the modified ERI file</a:t>
          </a:r>
        </a:p>
        <a:p>
          <a:pPr lvl="0"/>
          <a:r>
            <a:rPr lang="en-US" sz="1100">
              <a:solidFill>
                <a:schemeClr val="dk1"/>
              </a:solidFill>
              <a:effectLst/>
              <a:latin typeface="+mn-lt"/>
              <a:ea typeface="+mn-ea"/>
              <a:cs typeface="+mn-cs"/>
            </a:rPr>
            <a:t>8. Reimport the RTF file to using the output from the modified ERI file</a:t>
          </a:r>
        </a:p>
        <a:p>
          <a:pPr lvl="1"/>
          <a:r>
            <a:rPr lang="en-US" sz="1100">
              <a:solidFill>
                <a:schemeClr val="dk1"/>
              </a:solidFill>
              <a:effectLst/>
              <a:latin typeface="+mn-lt"/>
              <a:ea typeface="+mn-ea"/>
              <a:cs typeface="+mn-cs"/>
            </a:rPr>
            <a:t>- Choose to overwrite the stored loads with the newly imported loads</a:t>
          </a:r>
        </a:p>
        <a:p>
          <a:pPr lvl="0"/>
          <a:r>
            <a:rPr lang="en-US" sz="1100">
              <a:solidFill>
                <a:schemeClr val="dk1"/>
              </a:solidFill>
              <a:effectLst/>
              <a:latin typeface="+mn-lt"/>
              <a:ea typeface="+mn-ea"/>
              <a:cs typeface="+mn-cs"/>
            </a:rPr>
            <a:t>9. Print the combined PDF</a:t>
          </a:r>
        </a:p>
        <a:p>
          <a:pPr lvl="0"/>
          <a:r>
            <a:rPr lang="en-US" sz="1100">
              <a:solidFill>
                <a:schemeClr val="dk1"/>
              </a:solidFill>
              <a:effectLst/>
              <a:latin typeface="+mn-lt"/>
              <a:ea typeface="+mn-ea"/>
              <a:cs typeface="+mn-cs"/>
            </a:rPr>
            <a:t>               - The new loads are input for each Section and printed.</a:t>
          </a:r>
        </a:p>
        <a:p>
          <a:endParaRPr lang="en-US" sz="1100"/>
        </a:p>
      </xdr:txBody>
    </xdr:sp>
    <xdr:clientData/>
  </xdr:twoCellAnchor>
  <xdr:twoCellAnchor editAs="absolute">
    <xdr:from>
      <xdr:col>8</xdr:col>
      <xdr:colOff>2753298</xdr:colOff>
      <xdr:row>1</xdr:row>
      <xdr:rowOff>19035</xdr:rowOff>
    </xdr:from>
    <xdr:to>
      <xdr:col>10</xdr:col>
      <xdr:colOff>13108</xdr:colOff>
      <xdr:row>5</xdr:row>
      <xdr:rowOff>171514</xdr:rowOff>
    </xdr:to>
    <xdr:pic macro="[0]!Next_Leg_Reinforcement_Inputs">
      <xdr:nvPicPr>
        <xdr:cNvPr id="11" name="Next_Leg_Reinforcement_Inputs">
          <a:extLst>
            <a:ext uri="{FF2B5EF4-FFF2-40B4-BE49-F238E27FC236}">
              <a16:creationId xmlns:a16="http://schemas.microsoft.com/office/drawing/2014/main" id="{00000000-0008-0000-0000-00000B000000}"/>
            </a:ext>
          </a:extLst>
        </xdr:cNvPr>
        <xdr:cNvPicPr>
          <a:picLocks noChangeAspect="1"/>
        </xdr:cNvPicPr>
      </xdr:nvPicPr>
      <xdr:blipFill>
        <a:blip xmlns:r="http://schemas.openxmlformats.org/officeDocument/2006/relationships" r:embed="rId2"/>
        <a:stretch>
          <a:fillRect/>
        </a:stretch>
      </xdr:blipFill>
      <xdr:spPr>
        <a:xfrm>
          <a:off x="9688285" y="209535"/>
          <a:ext cx="915945" cy="914479"/>
        </a:xfrm>
        <a:prstGeom prst="rect">
          <a:avLst/>
        </a:prstGeom>
        <a:noFill/>
      </xdr:spPr>
    </xdr:pic>
    <xdr:clientData fPrintsWithSheet="0"/>
  </xdr:twoCellAnchor>
  <xdr:twoCellAnchor editAs="absolute">
    <xdr:from>
      <xdr:col>7</xdr:col>
      <xdr:colOff>987701</xdr:colOff>
      <xdr:row>2</xdr:row>
      <xdr:rowOff>150920</xdr:rowOff>
    </xdr:from>
    <xdr:to>
      <xdr:col>8</xdr:col>
      <xdr:colOff>2835360</xdr:colOff>
      <xdr:row>4</xdr:row>
      <xdr:rowOff>78530</xdr:rowOff>
    </xdr:to>
    <xdr:sp macro="" textlink="">
      <xdr:nvSpPr>
        <xdr:cNvPr id="12" name="TextBox 11">
          <a:extLst>
            <a:ext uri="{FF2B5EF4-FFF2-40B4-BE49-F238E27FC236}">
              <a16:creationId xmlns:a16="http://schemas.microsoft.com/office/drawing/2014/main" id="{00000000-0008-0000-0000-00000C000000}"/>
            </a:ext>
          </a:extLst>
        </xdr:cNvPr>
        <xdr:cNvSpPr txBox="1"/>
      </xdr:nvSpPr>
      <xdr:spPr>
        <a:xfrm>
          <a:off x="6847114" y="531920"/>
          <a:ext cx="2923233" cy="30861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r"/>
          <a:r>
            <a:rPr lang="en-US" sz="1200" b="1" baseline="0"/>
            <a:t>Leg Reinforcement Inputs</a:t>
          </a:r>
        </a:p>
      </xdr:txBody>
    </xdr:sp>
    <xdr:clientData fPrintsWithSheet="0"/>
  </xdr:twoCellAnchor>
  <xdr:twoCellAnchor editAs="oneCell">
    <xdr:from>
      <xdr:col>9</xdr:col>
      <xdr:colOff>117231</xdr:colOff>
      <xdr:row>17</xdr:row>
      <xdr:rowOff>43966</xdr:rowOff>
    </xdr:from>
    <xdr:to>
      <xdr:col>10</xdr:col>
      <xdr:colOff>429381</xdr:colOff>
      <xdr:row>22</xdr:row>
      <xdr:rowOff>5866</xdr:rowOff>
    </xdr:to>
    <xdr:pic macro="[0]!Print_Combined_PDF">
      <xdr:nvPicPr>
        <xdr:cNvPr id="16" name="Picture 15" descr="Glossy 3d blue orbs2 095 icon">
          <a:extLst>
            <a:ext uri="{FF2B5EF4-FFF2-40B4-BE49-F238E27FC236}">
              <a16:creationId xmlns:a16="http://schemas.microsoft.com/office/drawing/2014/main" id="{00000000-0008-0000-0000-00001000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9686193" y="3472966"/>
          <a:ext cx="920285" cy="914400"/>
        </a:xfrm>
        <a:prstGeom prst="rect">
          <a:avLst/>
        </a:prstGeom>
        <a:noFill/>
        <a:extLst>
          <a:ext uri="{909E8E84-426E-40DD-AFC4-6F175D3DCCD1}">
            <a14:hiddenFill xmlns:a14="http://schemas.microsoft.com/office/drawing/2010/main">
              <a:solidFill>
                <a:srgbClr val="FFFFFF"/>
              </a:solidFill>
            </a14:hiddenFill>
          </a:ext>
        </a:extLst>
      </xdr:spPr>
    </xdr:pic>
    <xdr:clientData fPrintsWithSheet="0"/>
  </xdr:twoCellAnchor>
  <xdr:twoCellAnchor editAs="oneCell">
    <xdr:from>
      <xdr:col>10</xdr:col>
      <xdr:colOff>300406</xdr:colOff>
      <xdr:row>18</xdr:row>
      <xdr:rowOff>146543</xdr:rowOff>
    </xdr:from>
    <xdr:to>
      <xdr:col>15</xdr:col>
      <xdr:colOff>177314</xdr:colOff>
      <xdr:row>20</xdr:row>
      <xdr:rowOff>74153</xdr:rowOff>
    </xdr:to>
    <xdr:sp macro="" textlink="">
      <xdr:nvSpPr>
        <xdr:cNvPr id="17" name="TextBox 16">
          <a:extLst>
            <a:ext uri="{FF2B5EF4-FFF2-40B4-BE49-F238E27FC236}">
              <a16:creationId xmlns:a16="http://schemas.microsoft.com/office/drawing/2014/main" id="{00000000-0008-0000-0000-000011000000}"/>
            </a:ext>
          </a:extLst>
        </xdr:cNvPr>
        <xdr:cNvSpPr txBox="1"/>
      </xdr:nvSpPr>
      <xdr:spPr>
        <a:xfrm>
          <a:off x="10477502" y="3766043"/>
          <a:ext cx="2917581" cy="30861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l"/>
          <a:r>
            <a:rPr lang="en-US" sz="1200" b="1" baseline="0"/>
            <a:t>Print Combined PDF</a:t>
          </a:r>
        </a:p>
      </xdr:txBody>
    </xdr:sp>
    <xdr:clientData fPrintsWithSheet="0"/>
  </xdr:twoCellAnchor>
  <xdr:twoCellAnchor editAs="oneCell">
    <xdr:from>
      <xdr:col>9</xdr:col>
      <xdr:colOff>117231</xdr:colOff>
      <xdr:row>14</xdr:row>
      <xdr:rowOff>14655</xdr:rowOff>
    </xdr:from>
    <xdr:to>
      <xdr:col>10</xdr:col>
      <xdr:colOff>421299</xdr:colOff>
      <xdr:row>17</xdr:row>
      <xdr:rowOff>167055</xdr:rowOff>
    </xdr:to>
    <xdr:pic macro="[0]!TNX_Geometry_Export">
      <xdr:nvPicPr>
        <xdr:cNvPr id="18" name="Picture 17" descr="Glossy 3d blue orbs2 083 icon">
          <a:extLst>
            <a:ext uri="{FF2B5EF4-FFF2-40B4-BE49-F238E27FC236}">
              <a16:creationId xmlns:a16="http://schemas.microsoft.com/office/drawing/2014/main" id="{00000000-0008-0000-0000-00001200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9686193" y="2681655"/>
          <a:ext cx="912203" cy="914400"/>
        </a:xfrm>
        <a:prstGeom prst="rect">
          <a:avLst/>
        </a:prstGeom>
        <a:noFill/>
        <a:extLst>
          <a:ext uri="{909E8E84-426E-40DD-AFC4-6F175D3DCCD1}">
            <a14:hiddenFill xmlns:a14="http://schemas.microsoft.com/office/drawing/2010/main">
              <a:solidFill>
                <a:srgbClr val="FFFFFF"/>
              </a:solidFill>
            </a14:hiddenFill>
          </a:ext>
        </a:extLst>
      </xdr:spPr>
    </xdr:pic>
    <xdr:clientData fPrintsWithSheet="0"/>
  </xdr:twoCellAnchor>
  <xdr:twoCellAnchor editAs="oneCell">
    <xdr:from>
      <xdr:col>10</xdr:col>
      <xdr:colOff>291613</xdr:colOff>
      <xdr:row>15</xdr:row>
      <xdr:rowOff>130424</xdr:rowOff>
    </xdr:from>
    <xdr:to>
      <xdr:col>15</xdr:col>
      <xdr:colOff>168521</xdr:colOff>
      <xdr:row>16</xdr:row>
      <xdr:rowOff>58034</xdr:rowOff>
    </xdr:to>
    <xdr:sp macro="" textlink="">
      <xdr:nvSpPr>
        <xdr:cNvPr id="19" name="TextBox 18">
          <a:extLst>
            <a:ext uri="{FF2B5EF4-FFF2-40B4-BE49-F238E27FC236}">
              <a16:creationId xmlns:a16="http://schemas.microsoft.com/office/drawing/2014/main" id="{00000000-0008-0000-0000-000013000000}"/>
            </a:ext>
          </a:extLst>
        </xdr:cNvPr>
        <xdr:cNvSpPr txBox="1"/>
      </xdr:nvSpPr>
      <xdr:spPr>
        <a:xfrm>
          <a:off x="10468709" y="2987924"/>
          <a:ext cx="2917581" cy="30861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l"/>
          <a:r>
            <a:rPr lang="en-US" sz="1200" b="1" baseline="0"/>
            <a:t>Create Modified ERI File</a:t>
          </a:r>
        </a:p>
      </xdr:txBody>
    </xdr:sp>
    <xdr:clientData fPrintsWithSheet="0"/>
  </xdr:twoCellAnchor>
  <mc:AlternateContent xmlns:mc="http://schemas.openxmlformats.org/markup-compatibility/2006">
    <mc:Choice xmlns:a14="http://schemas.microsoft.com/office/drawing/2010/main" Requires="a14">
      <xdr:twoCellAnchor>
        <xdr:from>
          <xdr:col>4</xdr:col>
          <xdr:colOff>276225</xdr:colOff>
          <xdr:row>12</xdr:row>
          <xdr:rowOff>19050</xdr:rowOff>
        </xdr:from>
        <xdr:to>
          <xdr:col>7</xdr:col>
          <xdr:colOff>95250</xdr:colOff>
          <xdr:row>14</xdr:row>
          <xdr:rowOff>161925</xdr:rowOff>
        </xdr:to>
        <xdr:sp macro="" textlink="">
          <xdr:nvSpPr>
            <xdr:cNvPr id="375845" name="Button 37" hidden="1">
              <a:extLst>
                <a:ext uri="{63B3BB69-23CF-44E3-9099-C40C66FF867C}">
                  <a14:compatExt spid="_x0000_s375845"/>
                </a:ext>
                <a:ext uri="{FF2B5EF4-FFF2-40B4-BE49-F238E27FC236}">
                  <a16:creationId xmlns:a16="http://schemas.microsoft.com/office/drawing/2014/main" id="{00000000-0008-0000-0000-000025BC05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Import Inputs</a:t>
              </a:r>
            </a:p>
          </xdr:txBody>
        </xdr:sp>
        <xdr:clientData fLocksWithSheet="0"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46</xdr:row>
          <xdr:rowOff>0</xdr:rowOff>
        </xdr:from>
        <xdr:to>
          <xdr:col>5</xdr:col>
          <xdr:colOff>466725</xdr:colOff>
          <xdr:row>65</xdr:row>
          <xdr:rowOff>47625</xdr:rowOff>
        </xdr:to>
        <xdr:sp macro="" textlink="">
          <xdr:nvSpPr>
            <xdr:cNvPr id="400830" name="Object 1470" hidden="1">
              <a:extLst>
                <a:ext uri="{63B3BB69-23CF-44E3-9099-C40C66FF867C}">
                  <a14:compatExt spid="_x0000_s400830"/>
                </a:ext>
                <a:ext uri="{FF2B5EF4-FFF2-40B4-BE49-F238E27FC236}">
                  <a16:creationId xmlns:a16="http://schemas.microsoft.com/office/drawing/2014/main" id="{00000000-0008-0000-0400-0000BE1D0600}"/>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0</xdr:colOff>
          <xdr:row>51</xdr:row>
          <xdr:rowOff>0</xdr:rowOff>
        </xdr:from>
        <xdr:to>
          <xdr:col>6</xdr:col>
          <xdr:colOff>381000</xdr:colOff>
          <xdr:row>73</xdr:row>
          <xdr:rowOff>123825</xdr:rowOff>
        </xdr:to>
        <xdr:sp macro="" textlink="">
          <xdr:nvSpPr>
            <xdr:cNvPr id="400829" name="Object 1469" hidden="1">
              <a:extLst>
                <a:ext uri="{63B3BB69-23CF-44E3-9099-C40C66FF867C}">
                  <a14:compatExt spid="_x0000_s400829"/>
                </a:ext>
                <a:ext uri="{FF2B5EF4-FFF2-40B4-BE49-F238E27FC236}">
                  <a16:creationId xmlns:a16="http://schemas.microsoft.com/office/drawing/2014/main" id="{00000000-0008-0000-0400-0000BD1D0600}"/>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xdr:twoCellAnchor editAs="oneCell">
    <xdr:from>
      <xdr:col>10</xdr:col>
      <xdr:colOff>291363</xdr:colOff>
      <xdr:row>0</xdr:row>
      <xdr:rowOff>33616</xdr:rowOff>
    </xdr:from>
    <xdr:to>
      <xdr:col>17</xdr:col>
      <xdr:colOff>303458</xdr:colOff>
      <xdr:row>4</xdr:row>
      <xdr:rowOff>36541</xdr:rowOff>
    </xdr:to>
    <xdr:pic>
      <xdr:nvPicPr>
        <xdr:cNvPr id="2" name="Picture 1">
          <a:extLst>
            <a:ext uri="{FF2B5EF4-FFF2-40B4-BE49-F238E27FC236}">
              <a16:creationId xmlns:a16="http://schemas.microsoft.com/office/drawing/2014/main" id="{00000000-0008-0000-09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3429010" y="33616"/>
          <a:ext cx="2208448" cy="764925"/>
        </a:xfrm>
        <a:prstGeom prst="rect">
          <a:avLst/>
        </a:prstGeom>
      </xdr:spPr>
    </xdr:pic>
    <xdr:clientData/>
  </xdr:twoCellAnchor>
  <xdr:twoCellAnchor editAs="oneCell">
    <xdr:from>
      <xdr:col>10</xdr:col>
      <xdr:colOff>126784</xdr:colOff>
      <xdr:row>20</xdr:row>
      <xdr:rowOff>169325</xdr:rowOff>
    </xdr:from>
    <xdr:to>
      <xdr:col>17</xdr:col>
      <xdr:colOff>216431</xdr:colOff>
      <xdr:row>33</xdr:row>
      <xdr:rowOff>23628</xdr:rowOff>
    </xdr:to>
    <xdr:pic>
      <xdr:nvPicPr>
        <xdr:cNvPr id="3" name="Pipe Fit" hidden="1">
          <a:extLst>
            <a:ext uri="{FF2B5EF4-FFF2-40B4-BE49-F238E27FC236}">
              <a16:creationId xmlns:a16="http://schemas.microsoft.com/office/drawing/2014/main" id="{00000000-0008-0000-0900-000003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3379938" y="3810806"/>
          <a:ext cx="2295051" cy="2292776"/>
        </a:xfrm>
        <a:prstGeom prst="rect">
          <a:avLst/>
        </a:prstGeom>
      </xdr:spPr>
    </xdr:pic>
    <xdr:clientData/>
  </xdr:twoCellAnchor>
  <xdr:twoCellAnchor editAs="oneCell">
    <xdr:from>
      <xdr:col>10</xdr:col>
      <xdr:colOff>117259</xdr:colOff>
      <xdr:row>20</xdr:row>
      <xdr:rowOff>171521</xdr:rowOff>
    </xdr:from>
    <xdr:to>
      <xdr:col>17</xdr:col>
      <xdr:colOff>206906</xdr:colOff>
      <xdr:row>33</xdr:row>
      <xdr:rowOff>22314</xdr:rowOff>
    </xdr:to>
    <xdr:pic>
      <xdr:nvPicPr>
        <xdr:cNvPr id="4" name="Pipe Small" hidden="1">
          <a:extLst>
            <a:ext uri="{FF2B5EF4-FFF2-40B4-BE49-F238E27FC236}">
              <a16:creationId xmlns:a16="http://schemas.microsoft.com/office/drawing/2014/main" id="{00000000-0008-0000-0900-00000400000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3370413" y="3813002"/>
          <a:ext cx="2295051" cy="2291462"/>
        </a:xfrm>
        <a:prstGeom prst="rect">
          <a:avLst/>
        </a:prstGeom>
      </xdr:spPr>
    </xdr:pic>
    <xdr:clientData/>
  </xdr:twoCellAnchor>
  <xdr:twoCellAnchor editAs="oneCell">
    <xdr:from>
      <xdr:col>10</xdr:col>
      <xdr:colOff>117259</xdr:colOff>
      <xdr:row>20</xdr:row>
      <xdr:rowOff>181046</xdr:rowOff>
    </xdr:from>
    <xdr:to>
      <xdr:col>17</xdr:col>
      <xdr:colOff>206906</xdr:colOff>
      <xdr:row>33</xdr:row>
      <xdr:rowOff>22314</xdr:rowOff>
    </xdr:to>
    <xdr:pic>
      <xdr:nvPicPr>
        <xdr:cNvPr id="5" name="Pipe Big">
          <a:extLst>
            <a:ext uri="{FF2B5EF4-FFF2-40B4-BE49-F238E27FC236}">
              <a16:creationId xmlns:a16="http://schemas.microsoft.com/office/drawing/2014/main" id="{00000000-0008-0000-0900-000005000000}"/>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3370413" y="3822527"/>
          <a:ext cx="2295051" cy="2291462"/>
        </a:xfrm>
        <a:prstGeom prst="rect">
          <a:avLst/>
        </a:prstGeom>
      </xdr:spPr>
    </xdr:pic>
    <xdr:clientData/>
  </xdr:twoCellAnchor>
  <xdr:twoCellAnchor editAs="oneCell">
    <xdr:from>
      <xdr:col>10</xdr:col>
      <xdr:colOff>117259</xdr:colOff>
      <xdr:row>20</xdr:row>
      <xdr:rowOff>181046</xdr:rowOff>
    </xdr:from>
    <xdr:to>
      <xdr:col>17</xdr:col>
      <xdr:colOff>206906</xdr:colOff>
      <xdr:row>33</xdr:row>
      <xdr:rowOff>22314</xdr:rowOff>
    </xdr:to>
    <xdr:pic>
      <xdr:nvPicPr>
        <xdr:cNvPr id="6" name="SR Fit" hidden="1">
          <a:extLst>
            <a:ext uri="{FF2B5EF4-FFF2-40B4-BE49-F238E27FC236}">
              <a16:creationId xmlns:a16="http://schemas.microsoft.com/office/drawing/2014/main" id="{00000000-0008-0000-0900-000006000000}"/>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Lst>
        </a:blip>
        <a:stretch>
          <a:fillRect/>
        </a:stretch>
      </xdr:blipFill>
      <xdr:spPr>
        <a:xfrm>
          <a:off x="3370413" y="3822527"/>
          <a:ext cx="2295051" cy="2291462"/>
        </a:xfrm>
        <a:prstGeom prst="rect">
          <a:avLst/>
        </a:prstGeom>
      </xdr:spPr>
    </xdr:pic>
    <xdr:clientData/>
  </xdr:twoCellAnchor>
  <xdr:twoCellAnchor editAs="oneCell">
    <xdr:from>
      <xdr:col>10</xdr:col>
      <xdr:colOff>117259</xdr:colOff>
      <xdr:row>20</xdr:row>
      <xdr:rowOff>178848</xdr:rowOff>
    </xdr:from>
    <xdr:to>
      <xdr:col>17</xdr:col>
      <xdr:colOff>206906</xdr:colOff>
      <xdr:row>33</xdr:row>
      <xdr:rowOff>22314</xdr:rowOff>
    </xdr:to>
    <xdr:pic>
      <xdr:nvPicPr>
        <xdr:cNvPr id="7" name="SR Small" hidden="1">
          <a:extLst>
            <a:ext uri="{FF2B5EF4-FFF2-40B4-BE49-F238E27FC236}">
              <a16:creationId xmlns:a16="http://schemas.microsoft.com/office/drawing/2014/main" id="{00000000-0008-0000-0900-000007000000}"/>
            </a:ext>
          </a:extLst>
        </xdr:cNvPr>
        <xdr:cNvPicPr>
          <a:picLocks noChangeAspect="1"/>
        </xdr:cNvPicPr>
      </xdr:nvPicPr>
      <xdr:blipFill>
        <a:blip xmlns:r="http://schemas.openxmlformats.org/officeDocument/2006/relationships" r:embed="rId6" cstate="print">
          <a:extLst>
            <a:ext uri="{28A0092B-C50C-407E-A947-70E740481C1C}">
              <a14:useLocalDpi xmlns:a14="http://schemas.microsoft.com/office/drawing/2010/main" val="0"/>
            </a:ext>
          </a:extLst>
        </a:blip>
        <a:stretch>
          <a:fillRect/>
        </a:stretch>
      </xdr:blipFill>
      <xdr:spPr>
        <a:xfrm>
          <a:off x="3370413" y="3820329"/>
          <a:ext cx="2295051" cy="2291462"/>
        </a:xfrm>
        <a:prstGeom prst="rect">
          <a:avLst/>
        </a:prstGeom>
      </xdr:spPr>
    </xdr:pic>
    <xdr:clientData/>
  </xdr:twoCellAnchor>
  <xdr:twoCellAnchor editAs="oneCell">
    <xdr:from>
      <xdr:col>10</xdr:col>
      <xdr:colOff>117259</xdr:colOff>
      <xdr:row>20</xdr:row>
      <xdr:rowOff>174775</xdr:rowOff>
    </xdr:from>
    <xdr:to>
      <xdr:col>17</xdr:col>
      <xdr:colOff>206906</xdr:colOff>
      <xdr:row>33</xdr:row>
      <xdr:rowOff>22314</xdr:rowOff>
    </xdr:to>
    <xdr:pic>
      <xdr:nvPicPr>
        <xdr:cNvPr id="8" name="SR Big" hidden="1">
          <a:extLst>
            <a:ext uri="{FF2B5EF4-FFF2-40B4-BE49-F238E27FC236}">
              <a16:creationId xmlns:a16="http://schemas.microsoft.com/office/drawing/2014/main" id="{00000000-0008-0000-0900-000008000000}"/>
            </a:ext>
          </a:extLst>
        </xdr:cNvPr>
        <xdr:cNvPicPr>
          <a:picLocks noChangeAspect="1"/>
        </xdr:cNvPicPr>
      </xdr:nvPicPr>
      <xdr:blipFill>
        <a:blip xmlns:r="http://schemas.openxmlformats.org/officeDocument/2006/relationships" r:embed="rId7" cstate="print">
          <a:extLst>
            <a:ext uri="{28A0092B-C50C-407E-A947-70E740481C1C}">
              <a14:useLocalDpi xmlns:a14="http://schemas.microsoft.com/office/drawing/2010/main" val="0"/>
            </a:ext>
          </a:extLst>
        </a:blip>
        <a:stretch>
          <a:fillRect/>
        </a:stretch>
      </xdr:blipFill>
      <xdr:spPr>
        <a:xfrm>
          <a:off x="3370413" y="3816256"/>
          <a:ext cx="2295051" cy="2291462"/>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16</xdr:col>
          <xdr:colOff>228600</xdr:colOff>
          <xdr:row>17</xdr:row>
          <xdr:rowOff>0</xdr:rowOff>
        </xdr:from>
        <xdr:to>
          <xdr:col>17</xdr:col>
          <xdr:colOff>161925</xdr:colOff>
          <xdr:row>17</xdr:row>
          <xdr:rowOff>180975</xdr:rowOff>
        </xdr:to>
        <xdr:sp macro="" textlink="">
          <xdr:nvSpPr>
            <xdr:cNvPr id="351261" name="Check Box 29" hidden="1">
              <a:extLst>
                <a:ext uri="{63B3BB69-23CF-44E3-9099-C40C66FF867C}">
                  <a14:compatExt spid="_x0000_s351261"/>
                </a:ext>
                <a:ext uri="{FF2B5EF4-FFF2-40B4-BE49-F238E27FC236}">
                  <a16:creationId xmlns:a16="http://schemas.microsoft.com/office/drawing/2014/main" id="{00000000-0008-0000-0900-00001D5C05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editAs="oneCell">
    <xdr:from>
      <xdr:col>10</xdr:col>
      <xdr:colOff>104776</xdr:colOff>
      <xdr:row>21</xdr:row>
      <xdr:rowOff>16854</xdr:rowOff>
    </xdr:from>
    <xdr:to>
      <xdr:col>17</xdr:col>
      <xdr:colOff>231273</xdr:colOff>
      <xdr:row>31</xdr:row>
      <xdr:rowOff>35904</xdr:rowOff>
    </xdr:to>
    <xdr:pic>
      <xdr:nvPicPr>
        <xdr:cNvPr id="9" name="Form Fit Detail" hidden="1">
          <a:extLst>
            <a:ext uri="{FF2B5EF4-FFF2-40B4-BE49-F238E27FC236}">
              <a16:creationId xmlns:a16="http://schemas.microsoft.com/office/drawing/2014/main" id="{00000000-0008-0000-0900-000009000000}"/>
            </a:ext>
          </a:extLst>
        </xdr:cNvPr>
        <xdr:cNvPicPr>
          <a:picLocks noChangeAspect="1"/>
        </xdr:cNvPicPr>
      </xdr:nvPicPr>
      <xdr:blipFill>
        <a:blip xmlns:r="http://schemas.openxmlformats.org/officeDocument/2006/relationships" r:embed="rId8"/>
        <a:stretch>
          <a:fillRect/>
        </a:stretch>
      </xdr:blipFill>
      <xdr:spPr>
        <a:xfrm>
          <a:off x="3357930" y="3848835"/>
          <a:ext cx="2331901" cy="1907198"/>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16</xdr:col>
          <xdr:colOff>228600</xdr:colOff>
          <xdr:row>17</xdr:row>
          <xdr:rowOff>171450</xdr:rowOff>
        </xdr:from>
        <xdr:to>
          <xdr:col>17</xdr:col>
          <xdr:colOff>219075</xdr:colOff>
          <xdr:row>19</xdr:row>
          <xdr:rowOff>9525</xdr:rowOff>
        </xdr:to>
        <xdr:sp macro="" textlink="">
          <xdr:nvSpPr>
            <xdr:cNvPr id="351433" name="Check Box 201" hidden="1">
              <a:extLst>
                <a:ext uri="{63B3BB69-23CF-44E3-9099-C40C66FF867C}">
                  <a14:compatExt spid="_x0000_s351433"/>
                </a:ext>
                <a:ext uri="{FF2B5EF4-FFF2-40B4-BE49-F238E27FC236}">
                  <a16:creationId xmlns:a16="http://schemas.microsoft.com/office/drawing/2014/main" id="{00000000-0008-0000-0900-0000C95C05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85725</xdr:colOff>
          <xdr:row>42</xdr:row>
          <xdr:rowOff>0</xdr:rowOff>
        </xdr:from>
        <xdr:to>
          <xdr:col>16</xdr:col>
          <xdr:colOff>28575</xdr:colOff>
          <xdr:row>43</xdr:row>
          <xdr:rowOff>180975</xdr:rowOff>
        </xdr:to>
        <xdr:sp macro="" textlink="">
          <xdr:nvSpPr>
            <xdr:cNvPr id="351435" name="Check Box 203" descr="Print Bolt-On Design Information" hidden="1">
              <a:extLst>
                <a:ext uri="{63B3BB69-23CF-44E3-9099-C40C66FF867C}">
                  <a14:compatExt spid="_x0000_s351435"/>
                </a:ext>
                <a:ext uri="{FF2B5EF4-FFF2-40B4-BE49-F238E27FC236}">
                  <a16:creationId xmlns:a16="http://schemas.microsoft.com/office/drawing/2014/main" id="{00000000-0008-0000-0900-0000CB5C05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Print Bolt-On Connection Info</a:t>
              </a:r>
            </a:p>
          </xdr:txBody>
        </xdr:sp>
        <xdr:clientData fPrintsWithSheet="0"/>
      </xdr:twoCellAnchor>
    </mc:Choice>
    <mc:Fallback/>
  </mc:AlternateContent>
  <xdr:twoCellAnchor>
    <xdr:from>
      <xdr:col>11</xdr:col>
      <xdr:colOff>66261</xdr:colOff>
      <xdr:row>41</xdr:row>
      <xdr:rowOff>99391</xdr:rowOff>
    </xdr:from>
    <xdr:to>
      <xdr:col>16</xdr:col>
      <xdr:colOff>124239</xdr:colOff>
      <xdr:row>44</xdr:row>
      <xdr:rowOff>91109</xdr:rowOff>
    </xdr:to>
    <xdr:sp macro="" textlink="">
      <xdr:nvSpPr>
        <xdr:cNvPr id="10" name="Rectangle 9">
          <a:extLst>
            <a:ext uri="{FF2B5EF4-FFF2-40B4-BE49-F238E27FC236}">
              <a16:creationId xmlns:a16="http://schemas.microsoft.com/office/drawing/2014/main" id="{00000000-0008-0000-0900-00000A000000}"/>
            </a:ext>
          </a:extLst>
        </xdr:cNvPr>
        <xdr:cNvSpPr/>
      </xdr:nvSpPr>
      <xdr:spPr>
        <a:xfrm>
          <a:off x="3636065" y="7189304"/>
          <a:ext cx="1631674" cy="397566"/>
        </a:xfrm>
        <a:prstGeom prst="rect">
          <a:avLst/>
        </a:prstGeom>
        <a:solidFill>
          <a:schemeClr val="bg1"/>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11</xdr:col>
      <xdr:colOff>31219</xdr:colOff>
      <xdr:row>41</xdr:row>
      <xdr:rowOff>0</xdr:rowOff>
    </xdr:from>
    <xdr:to>
      <xdr:col>17</xdr:col>
      <xdr:colOff>227135</xdr:colOff>
      <xdr:row>41</xdr:row>
      <xdr:rowOff>183172</xdr:rowOff>
    </xdr:to>
    <xdr:sp macro="" textlink="">
      <xdr:nvSpPr>
        <xdr:cNvPr id="16" name="Rectangle 15" hidden="1">
          <a:extLst>
            <a:ext uri="{FF2B5EF4-FFF2-40B4-BE49-F238E27FC236}">
              <a16:creationId xmlns:a16="http://schemas.microsoft.com/office/drawing/2014/main" id="{00000000-0008-0000-0900-000010000000}"/>
            </a:ext>
          </a:extLst>
        </xdr:cNvPr>
        <xdr:cNvSpPr/>
      </xdr:nvSpPr>
      <xdr:spPr>
        <a:xfrm>
          <a:off x="3636065" y="7803171"/>
          <a:ext cx="2086262" cy="234463"/>
        </a:xfrm>
        <a:prstGeom prst="rect">
          <a:avLst/>
        </a:prstGeom>
        <a:solidFill>
          <a:schemeClr val="bg1"/>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oneCell">
    <xdr:from>
      <xdr:col>21</xdr:col>
      <xdr:colOff>849924</xdr:colOff>
      <xdr:row>2</xdr:row>
      <xdr:rowOff>109906</xdr:rowOff>
    </xdr:from>
    <xdr:to>
      <xdr:col>21</xdr:col>
      <xdr:colOff>2754924</xdr:colOff>
      <xdr:row>4</xdr:row>
      <xdr:rowOff>37516</xdr:rowOff>
    </xdr:to>
    <xdr:sp macro="" textlink="">
      <xdr:nvSpPr>
        <xdr:cNvPr id="18" name="TextBox 17">
          <a:extLst>
            <a:ext uri="{FF2B5EF4-FFF2-40B4-BE49-F238E27FC236}">
              <a16:creationId xmlns:a16="http://schemas.microsoft.com/office/drawing/2014/main" id="{00000000-0008-0000-0900-000012000000}"/>
            </a:ext>
          </a:extLst>
        </xdr:cNvPr>
        <xdr:cNvSpPr txBox="1"/>
      </xdr:nvSpPr>
      <xdr:spPr>
        <a:xfrm>
          <a:off x="7077809" y="490906"/>
          <a:ext cx="1905000" cy="30861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l"/>
          <a:r>
            <a:rPr lang="en-US" sz="1200" b="1" baseline="0"/>
            <a:t>TNX/Report Import</a:t>
          </a:r>
        </a:p>
      </xdr:txBody>
    </xdr:sp>
    <xdr:clientData fPrintsWithSheet="0"/>
  </xdr:twoCellAnchor>
  <xdr:twoCellAnchor editAs="oneCell">
    <xdr:from>
      <xdr:col>21</xdr:col>
      <xdr:colOff>7327</xdr:colOff>
      <xdr:row>1</xdr:row>
      <xdr:rowOff>21983</xdr:rowOff>
    </xdr:from>
    <xdr:to>
      <xdr:col>21</xdr:col>
      <xdr:colOff>921806</xdr:colOff>
      <xdr:row>5</xdr:row>
      <xdr:rowOff>174462</xdr:rowOff>
    </xdr:to>
    <xdr:pic macro="[0]!Previous_Import">
      <xdr:nvPicPr>
        <xdr:cNvPr id="19" name="Previous_Import">
          <a:extLst>
            <a:ext uri="{FF2B5EF4-FFF2-40B4-BE49-F238E27FC236}">
              <a16:creationId xmlns:a16="http://schemas.microsoft.com/office/drawing/2014/main" id="{00000000-0008-0000-0900-000013000000}"/>
            </a:ext>
          </a:extLst>
        </xdr:cNvPr>
        <xdr:cNvPicPr>
          <a:picLocks noChangeAspect="1"/>
        </xdr:cNvPicPr>
      </xdr:nvPicPr>
      <xdr:blipFill>
        <a:blip xmlns:r="http://schemas.openxmlformats.org/officeDocument/2006/relationships" r:embed="rId9"/>
        <a:stretch>
          <a:fillRect/>
        </a:stretch>
      </xdr:blipFill>
      <xdr:spPr>
        <a:xfrm>
          <a:off x="6235212" y="212483"/>
          <a:ext cx="914479" cy="914479"/>
        </a:xfrm>
        <a:prstGeom prst="rect">
          <a:avLst/>
        </a:prstGeom>
        <a:noFill/>
      </xdr:spPr>
    </xdr:pic>
    <xdr:clientData fPrintsWithSheet="0"/>
  </xdr:twoCellAnchor>
  <xdr:twoCellAnchor editAs="oneCell">
    <xdr:from>
      <xdr:col>21</xdr:col>
      <xdr:colOff>827941</xdr:colOff>
      <xdr:row>12</xdr:row>
      <xdr:rowOff>14652</xdr:rowOff>
    </xdr:from>
    <xdr:to>
      <xdr:col>21</xdr:col>
      <xdr:colOff>2732941</xdr:colOff>
      <xdr:row>13</xdr:row>
      <xdr:rowOff>132766</xdr:rowOff>
    </xdr:to>
    <xdr:sp macro="" textlink="">
      <xdr:nvSpPr>
        <xdr:cNvPr id="20" name="Next_Tower_Section_Textbox" hidden="1">
          <a:extLst>
            <a:ext uri="{FF2B5EF4-FFF2-40B4-BE49-F238E27FC236}">
              <a16:creationId xmlns:a16="http://schemas.microsoft.com/office/drawing/2014/main" id="{00000000-0008-0000-0900-000014000000}"/>
            </a:ext>
          </a:extLst>
        </xdr:cNvPr>
        <xdr:cNvSpPr txBox="1"/>
      </xdr:nvSpPr>
      <xdr:spPr>
        <a:xfrm>
          <a:off x="7055826" y="2110152"/>
          <a:ext cx="1905000" cy="30861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l"/>
          <a:r>
            <a:rPr lang="en-US" sz="1200" b="1" baseline="0"/>
            <a:t>Next Tower Section</a:t>
          </a:r>
        </a:p>
      </xdr:txBody>
    </xdr:sp>
    <xdr:clientData fPrintsWithSheet="0"/>
  </xdr:twoCellAnchor>
  <xdr:twoCellAnchor editAs="oneCell">
    <xdr:from>
      <xdr:col>21</xdr:col>
      <xdr:colOff>820611</xdr:colOff>
      <xdr:row>6</xdr:row>
      <xdr:rowOff>183169</xdr:rowOff>
    </xdr:from>
    <xdr:to>
      <xdr:col>21</xdr:col>
      <xdr:colOff>2725611</xdr:colOff>
      <xdr:row>9</xdr:row>
      <xdr:rowOff>111537</xdr:rowOff>
    </xdr:to>
    <xdr:sp macro="" textlink="">
      <xdr:nvSpPr>
        <xdr:cNvPr id="22" name="Previous_Tower_Section_Textbox" hidden="1">
          <a:extLst>
            <a:ext uri="{FF2B5EF4-FFF2-40B4-BE49-F238E27FC236}">
              <a16:creationId xmlns:a16="http://schemas.microsoft.com/office/drawing/2014/main" id="{00000000-0008-0000-0900-000016000000}"/>
            </a:ext>
          </a:extLst>
        </xdr:cNvPr>
        <xdr:cNvSpPr txBox="1"/>
      </xdr:nvSpPr>
      <xdr:spPr>
        <a:xfrm>
          <a:off x="7048496" y="1326169"/>
          <a:ext cx="1905000" cy="30936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l"/>
          <a:r>
            <a:rPr lang="en-US" sz="1200" b="1" baseline="0"/>
            <a:t>Previous Tower Section</a:t>
          </a:r>
        </a:p>
      </xdr:txBody>
    </xdr:sp>
    <xdr:clientData fPrintsWithSheet="0"/>
  </xdr:twoCellAnchor>
  <xdr:twoCellAnchor editAs="oneCell">
    <xdr:from>
      <xdr:col>21</xdr:col>
      <xdr:colOff>14654</xdr:colOff>
      <xdr:row>18</xdr:row>
      <xdr:rowOff>29318</xdr:rowOff>
    </xdr:from>
    <xdr:to>
      <xdr:col>21</xdr:col>
      <xdr:colOff>929055</xdr:colOff>
      <xdr:row>23</xdr:row>
      <xdr:rowOff>175846</xdr:rowOff>
    </xdr:to>
    <xdr:pic macro="[0]!Print_PDF_Click">
      <xdr:nvPicPr>
        <xdr:cNvPr id="24" name="Picture 23">
          <a:extLst>
            <a:ext uri="{FF2B5EF4-FFF2-40B4-BE49-F238E27FC236}">
              <a16:creationId xmlns:a16="http://schemas.microsoft.com/office/drawing/2014/main" id="{00000000-0008-0000-0900-000018000000}"/>
            </a:ext>
          </a:extLst>
        </xdr:cNvPr>
        <xdr:cNvPicPr>
          <a:picLocks noChangeAspect="1"/>
        </xdr:cNvPicPr>
      </xdr:nvPicPr>
      <xdr:blipFill>
        <a:blip xmlns:r="http://schemas.openxmlformats.org/officeDocument/2006/relationships" r:embed="rId10"/>
        <a:stretch>
          <a:fillRect/>
        </a:stretch>
      </xdr:blipFill>
      <xdr:spPr>
        <a:xfrm>
          <a:off x="6242539" y="3370395"/>
          <a:ext cx="914401" cy="908528"/>
        </a:xfrm>
        <a:prstGeom prst="rect">
          <a:avLst/>
        </a:prstGeom>
      </xdr:spPr>
    </xdr:pic>
    <xdr:clientData fPrintsWithSheet="0"/>
  </xdr:twoCellAnchor>
  <xdr:twoCellAnchor editAs="oneCell">
    <xdr:from>
      <xdr:col>21</xdr:col>
      <xdr:colOff>820615</xdr:colOff>
      <xdr:row>19</xdr:row>
      <xdr:rowOff>146540</xdr:rowOff>
    </xdr:from>
    <xdr:to>
      <xdr:col>21</xdr:col>
      <xdr:colOff>2725615</xdr:colOff>
      <xdr:row>22</xdr:row>
      <xdr:rowOff>74150</xdr:rowOff>
    </xdr:to>
    <xdr:sp macro="" textlink="">
      <xdr:nvSpPr>
        <xdr:cNvPr id="25" name="Previous_Tower_Section_Textbox">
          <a:extLst>
            <a:ext uri="{FF2B5EF4-FFF2-40B4-BE49-F238E27FC236}">
              <a16:creationId xmlns:a16="http://schemas.microsoft.com/office/drawing/2014/main" id="{00000000-0008-0000-0900-000019000000}"/>
            </a:ext>
          </a:extLst>
        </xdr:cNvPr>
        <xdr:cNvSpPr txBox="1"/>
      </xdr:nvSpPr>
      <xdr:spPr>
        <a:xfrm>
          <a:off x="7048500" y="3678117"/>
          <a:ext cx="1905000" cy="30861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l"/>
          <a:r>
            <a:rPr lang="en-US" sz="1200" b="1" baseline="0"/>
            <a:t>Print PDF</a:t>
          </a:r>
        </a:p>
      </xdr:txBody>
    </xdr:sp>
    <xdr:clientData fPrintsWithSheet="0"/>
  </xdr:twoCellAnchor>
  <xdr:twoCellAnchor editAs="oneCell">
    <xdr:from>
      <xdr:col>21</xdr:col>
      <xdr:colOff>7327</xdr:colOff>
      <xdr:row>10</xdr:row>
      <xdr:rowOff>73265</xdr:rowOff>
    </xdr:from>
    <xdr:to>
      <xdr:col>21</xdr:col>
      <xdr:colOff>924724</xdr:colOff>
      <xdr:row>15</xdr:row>
      <xdr:rowOff>29549</xdr:rowOff>
    </xdr:to>
    <xdr:pic macro="[0]!Next_Tower_Section">
      <xdr:nvPicPr>
        <xdr:cNvPr id="31" name="Next_Tower_Section_Button" descr="Glossy 3d blue arrow right.png" hidden="1">
          <a:extLst>
            <a:ext uri="{FF2B5EF4-FFF2-40B4-BE49-F238E27FC236}">
              <a16:creationId xmlns:a16="http://schemas.microsoft.com/office/drawing/2014/main" id="{00000000-0008-0000-0900-00001F000000}"/>
            </a:ext>
          </a:extLst>
        </xdr:cNvPr>
        <xdr:cNvPicPr>
          <a:picLocks noChangeAspect="1" noChangeArrowheads="1"/>
        </xdr:cNvPicPr>
      </xdr:nvPicPr>
      <xdr:blipFill>
        <a:blip xmlns:r="http://schemas.openxmlformats.org/officeDocument/2006/relationships" r:embed="rId11">
          <a:extLst>
            <a:ext uri="{28A0092B-C50C-407E-A947-70E740481C1C}">
              <a14:useLocalDpi xmlns:a14="http://schemas.microsoft.com/office/drawing/2010/main" val="0"/>
            </a:ext>
          </a:extLst>
        </a:blip>
        <a:srcRect/>
        <a:stretch>
          <a:fillRect/>
        </a:stretch>
      </xdr:blipFill>
      <xdr:spPr bwMode="auto">
        <a:xfrm>
          <a:off x="6235212" y="1787765"/>
          <a:ext cx="917397" cy="908784"/>
        </a:xfrm>
        <a:prstGeom prst="rect">
          <a:avLst/>
        </a:prstGeom>
        <a:noFill/>
        <a:extLst>
          <a:ext uri="{909E8E84-426E-40DD-AFC4-6F175D3DCCD1}">
            <a14:hiddenFill xmlns:a14="http://schemas.microsoft.com/office/drawing/2010/main">
              <a:solidFill>
                <a:srgbClr val="FFFFFF"/>
              </a:solidFill>
            </a14:hiddenFill>
          </a:ext>
        </a:extLst>
      </xdr:spPr>
    </xdr:pic>
    <xdr:clientData fPrintsWithSheet="0"/>
  </xdr:twoCellAnchor>
  <xdr:twoCellAnchor editAs="oneCell">
    <xdr:from>
      <xdr:col>21</xdr:col>
      <xdr:colOff>7327</xdr:colOff>
      <xdr:row>5</xdr:row>
      <xdr:rowOff>61562</xdr:rowOff>
    </xdr:from>
    <xdr:to>
      <xdr:col>21</xdr:col>
      <xdr:colOff>926705</xdr:colOff>
      <xdr:row>11</xdr:row>
      <xdr:rowOff>20560</xdr:rowOff>
    </xdr:to>
    <xdr:pic macro="[0]!Previous_Tower_Section">
      <xdr:nvPicPr>
        <xdr:cNvPr id="33" name="Previous_Tower_Section_Button" descr="Glossy 3d blue arrow left.png" hidden="1">
          <a:extLst>
            <a:ext uri="{FF2B5EF4-FFF2-40B4-BE49-F238E27FC236}">
              <a16:creationId xmlns:a16="http://schemas.microsoft.com/office/drawing/2014/main" id="{00000000-0008-0000-0900-000021000000}"/>
            </a:ext>
          </a:extLst>
        </xdr:cNvPr>
        <xdr:cNvPicPr>
          <a:picLocks noChangeAspect="1" noChangeArrowheads="1"/>
        </xdr:cNvPicPr>
      </xdr:nvPicPr>
      <xdr:blipFill>
        <a:blip xmlns:r="http://schemas.openxmlformats.org/officeDocument/2006/relationships" r:embed="rId12">
          <a:extLst>
            <a:ext uri="{28A0092B-C50C-407E-A947-70E740481C1C}">
              <a14:useLocalDpi xmlns:a14="http://schemas.microsoft.com/office/drawing/2010/main" val="0"/>
            </a:ext>
          </a:extLst>
        </a:blip>
        <a:srcRect/>
        <a:stretch>
          <a:fillRect/>
        </a:stretch>
      </xdr:blipFill>
      <xdr:spPr bwMode="auto">
        <a:xfrm>
          <a:off x="6235212" y="1014062"/>
          <a:ext cx="919378" cy="911498"/>
        </a:xfrm>
        <a:prstGeom prst="rect">
          <a:avLst/>
        </a:prstGeom>
        <a:noFill/>
        <a:extLst>
          <a:ext uri="{909E8E84-426E-40DD-AFC4-6F175D3DCCD1}">
            <a14:hiddenFill xmlns:a14="http://schemas.microsoft.com/office/drawing/2010/main">
              <a:solidFill>
                <a:srgbClr val="FFFFFF"/>
              </a:solidFill>
            </a14:hiddenFill>
          </a:ext>
        </a:extLst>
      </xdr:spPr>
    </xdr:pic>
    <xdr:clientData fPrintsWithSheet="0"/>
  </xdr:twoCellAnchor>
  <xdr:twoCellAnchor editAs="oneCell">
    <xdr:from>
      <xdr:col>21</xdr:col>
      <xdr:colOff>813288</xdr:colOff>
      <xdr:row>16</xdr:row>
      <xdr:rowOff>21981</xdr:rowOff>
    </xdr:from>
    <xdr:to>
      <xdr:col>21</xdr:col>
      <xdr:colOff>2718288</xdr:colOff>
      <xdr:row>17</xdr:row>
      <xdr:rowOff>37514</xdr:rowOff>
    </xdr:to>
    <xdr:sp macro="" textlink="">
      <xdr:nvSpPr>
        <xdr:cNvPr id="35" name="Previous_Tower_Section_Textbox">
          <a:extLst>
            <a:ext uri="{FF2B5EF4-FFF2-40B4-BE49-F238E27FC236}">
              <a16:creationId xmlns:a16="http://schemas.microsoft.com/office/drawing/2014/main" id="{00000000-0008-0000-0900-000023000000}"/>
            </a:ext>
          </a:extLst>
        </xdr:cNvPr>
        <xdr:cNvSpPr txBox="1"/>
      </xdr:nvSpPr>
      <xdr:spPr>
        <a:xfrm>
          <a:off x="7041173" y="2879481"/>
          <a:ext cx="1905000" cy="30861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l"/>
          <a:r>
            <a:rPr lang="en-US" sz="1200" b="1" baseline="0"/>
            <a:t>Copy Current Inputs to...</a:t>
          </a:r>
        </a:p>
      </xdr:txBody>
    </xdr:sp>
    <xdr:clientData fPrintsWithSheet="0"/>
  </xdr:twoCellAnchor>
  <xdr:twoCellAnchor editAs="oneCell">
    <xdr:from>
      <xdr:col>21</xdr:col>
      <xdr:colOff>7327</xdr:colOff>
      <xdr:row>14</xdr:row>
      <xdr:rowOff>95252</xdr:rowOff>
    </xdr:from>
    <xdr:to>
      <xdr:col>21</xdr:col>
      <xdr:colOff>921727</xdr:colOff>
      <xdr:row>18</xdr:row>
      <xdr:rowOff>145075</xdr:rowOff>
    </xdr:to>
    <xdr:pic macro="[0]!Copy_Inputs_Button">
      <xdr:nvPicPr>
        <xdr:cNvPr id="36" name="Picture 35" descr="Glossy 3d blue orbs2 082 icon">
          <a:extLst>
            <a:ext uri="{FF2B5EF4-FFF2-40B4-BE49-F238E27FC236}">
              <a16:creationId xmlns:a16="http://schemas.microsoft.com/office/drawing/2014/main" id="{00000000-0008-0000-0900-000024000000}"/>
            </a:ext>
          </a:extLst>
        </xdr:cNvPr>
        <xdr:cNvPicPr>
          <a:picLocks noChangeAspect="1" noChangeArrowheads="1"/>
        </xdr:cNvPicPr>
      </xdr:nvPicPr>
      <xdr:blipFill>
        <a:blip xmlns:r="http://schemas.openxmlformats.org/officeDocument/2006/relationships" r:embed="rId13">
          <a:extLst>
            <a:ext uri="{28A0092B-C50C-407E-A947-70E740481C1C}">
              <a14:useLocalDpi xmlns:a14="http://schemas.microsoft.com/office/drawing/2010/main" val="0"/>
            </a:ext>
          </a:extLst>
        </a:blip>
        <a:srcRect/>
        <a:stretch>
          <a:fillRect/>
        </a:stretch>
      </xdr:blipFill>
      <xdr:spPr bwMode="auto">
        <a:xfrm>
          <a:off x="6235212" y="2571752"/>
          <a:ext cx="914400" cy="9144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4.xml><?xml version="1.0" encoding="utf-8"?>
<xdr:wsDr xmlns:xdr="http://schemas.openxmlformats.org/drawingml/2006/spreadsheetDrawing" xmlns:a="http://schemas.openxmlformats.org/drawingml/2006/main">
  <xdr:twoCellAnchor>
    <xdr:from>
      <xdr:col>21</xdr:col>
      <xdr:colOff>7328</xdr:colOff>
      <xdr:row>215</xdr:row>
      <xdr:rowOff>12455</xdr:rowOff>
    </xdr:from>
    <xdr:to>
      <xdr:col>25</xdr:col>
      <xdr:colOff>124559</xdr:colOff>
      <xdr:row>234</xdr:row>
      <xdr:rowOff>128959</xdr:rowOff>
    </xdr:to>
    <xdr:pic>
      <xdr:nvPicPr>
        <xdr:cNvPr id="6" name="Picture 5">
          <a:extLst>
            <a:ext uri="{FF2B5EF4-FFF2-40B4-BE49-F238E27FC236}">
              <a16:creationId xmlns:a16="http://schemas.microsoft.com/office/drawing/2014/main" id="{00000000-0008-0000-0A00-000006000000}"/>
            </a:ext>
          </a:extLst>
        </xdr:cNvPr>
        <xdr:cNvPicPr>
          <a:picLocks noChangeAspect="1"/>
        </xdr:cNvPicPr>
      </xdr:nvPicPr>
      <xdr:blipFill>
        <a:blip xmlns:r="http://schemas.openxmlformats.org/officeDocument/2006/relationships" r:embed="rId1"/>
        <a:stretch>
          <a:fillRect/>
        </a:stretch>
      </xdr:blipFill>
      <xdr:spPr>
        <a:xfrm>
          <a:off x="13056578" y="41208080"/>
          <a:ext cx="2555631" cy="4040804"/>
        </a:xfrm>
        <a:prstGeom prst="rect">
          <a:avLst/>
        </a:prstGeom>
        <a:ln w="12700">
          <a:solidFill>
            <a:schemeClr val="tx1"/>
          </a:solidFill>
        </a:ln>
      </xdr:spPr>
    </xdr:pic>
    <xdr:clientData/>
  </xdr:twoCellAnchor>
  <xdr:twoCellAnchor editAs="oneCell">
    <xdr:from>
      <xdr:col>7</xdr:col>
      <xdr:colOff>8189</xdr:colOff>
      <xdr:row>53</xdr:row>
      <xdr:rowOff>141240</xdr:rowOff>
    </xdr:from>
    <xdr:to>
      <xdr:col>11</xdr:col>
      <xdr:colOff>129902</xdr:colOff>
      <xdr:row>74</xdr:row>
      <xdr:rowOff>169821</xdr:rowOff>
    </xdr:to>
    <xdr:pic>
      <xdr:nvPicPr>
        <xdr:cNvPr id="7" name="Picture 6">
          <a:extLst>
            <a:ext uri="{FF2B5EF4-FFF2-40B4-BE49-F238E27FC236}">
              <a16:creationId xmlns:a16="http://schemas.microsoft.com/office/drawing/2014/main" id="{00000000-0008-0000-0A00-000007000000}"/>
            </a:ext>
          </a:extLst>
        </xdr:cNvPr>
        <xdr:cNvPicPr>
          <a:picLocks noChangeAspect="1"/>
        </xdr:cNvPicPr>
      </xdr:nvPicPr>
      <xdr:blipFill>
        <a:blip xmlns:r="http://schemas.openxmlformats.org/officeDocument/2006/relationships" r:embed="rId1"/>
        <a:stretch>
          <a:fillRect/>
        </a:stretch>
      </xdr:blipFill>
      <xdr:spPr>
        <a:xfrm>
          <a:off x="4275389" y="8561340"/>
          <a:ext cx="2560113" cy="4029081"/>
        </a:xfrm>
        <a:prstGeom prst="rect">
          <a:avLst/>
        </a:prstGeom>
        <a:ln w="12700">
          <a:solidFill>
            <a:schemeClr val="tx1"/>
          </a:solidFill>
        </a:ln>
      </xdr:spPr>
    </xdr:pic>
    <xdr:clientData/>
  </xdr:twoCellAnchor>
  <xdr:twoCellAnchor editAs="oneCell">
    <xdr:from>
      <xdr:col>1</xdr:col>
      <xdr:colOff>504825</xdr:colOff>
      <xdr:row>53</xdr:row>
      <xdr:rowOff>142874</xdr:rowOff>
    </xdr:from>
    <xdr:to>
      <xdr:col>6</xdr:col>
      <xdr:colOff>238124</xdr:colOff>
      <xdr:row>74</xdr:row>
      <xdr:rowOff>167077</xdr:rowOff>
    </xdr:to>
    <xdr:pic>
      <xdr:nvPicPr>
        <xdr:cNvPr id="18" name="Picture 17">
          <a:extLst>
            <a:ext uri="{FF2B5EF4-FFF2-40B4-BE49-F238E27FC236}">
              <a16:creationId xmlns:a16="http://schemas.microsoft.com/office/drawing/2014/main" id="{00000000-0008-0000-0A00-000012000000}"/>
            </a:ext>
          </a:extLst>
        </xdr:cNvPr>
        <xdr:cNvPicPr>
          <a:picLocks noChangeAspect="1"/>
        </xdr:cNvPicPr>
      </xdr:nvPicPr>
      <xdr:blipFill>
        <a:blip xmlns:r="http://schemas.openxmlformats.org/officeDocument/2006/relationships" r:embed="rId2"/>
        <a:stretch>
          <a:fillRect/>
        </a:stretch>
      </xdr:blipFill>
      <xdr:spPr>
        <a:xfrm>
          <a:off x="1114425" y="8562974"/>
          <a:ext cx="2781299" cy="4024703"/>
        </a:xfrm>
        <a:prstGeom prst="rect">
          <a:avLst/>
        </a:prstGeom>
        <a:ln w="12700">
          <a:solidFill>
            <a:schemeClr val="tx1"/>
          </a:solidFill>
        </a:ln>
      </xdr:spPr>
    </xdr:pic>
    <xdr:clientData/>
  </xdr:twoCellAnchor>
  <xdr:twoCellAnchor editAs="oneCell">
    <xdr:from>
      <xdr:col>5</xdr:col>
      <xdr:colOff>386390</xdr:colOff>
      <xdr:row>33</xdr:row>
      <xdr:rowOff>66674</xdr:rowOff>
    </xdr:from>
    <xdr:to>
      <xdr:col>11</xdr:col>
      <xdr:colOff>465373</xdr:colOff>
      <xdr:row>48</xdr:row>
      <xdr:rowOff>85725</xdr:rowOff>
    </xdr:to>
    <xdr:pic>
      <xdr:nvPicPr>
        <xdr:cNvPr id="19" name="Picture 18">
          <a:extLst>
            <a:ext uri="{FF2B5EF4-FFF2-40B4-BE49-F238E27FC236}">
              <a16:creationId xmlns:a16="http://schemas.microsoft.com/office/drawing/2014/main" id="{00000000-0008-0000-0A00-000013000000}"/>
            </a:ext>
          </a:extLst>
        </xdr:cNvPr>
        <xdr:cNvPicPr>
          <a:picLocks noChangeAspect="1"/>
        </xdr:cNvPicPr>
      </xdr:nvPicPr>
      <xdr:blipFill>
        <a:blip xmlns:r="http://schemas.openxmlformats.org/officeDocument/2006/relationships" r:embed="rId3"/>
        <a:stretch>
          <a:fillRect/>
        </a:stretch>
      </xdr:blipFill>
      <xdr:spPr>
        <a:xfrm>
          <a:off x="3434390" y="4676774"/>
          <a:ext cx="3736583" cy="2914651"/>
        </a:xfrm>
        <a:prstGeom prst="rect">
          <a:avLst/>
        </a:prstGeom>
        <a:ln w="12700">
          <a:solidFill>
            <a:schemeClr val="tx1"/>
          </a:solidFill>
        </a:ln>
      </xdr:spPr>
    </xdr:pic>
    <xdr:clientData/>
  </xdr:twoCellAnchor>
  <mc:AlternateContent xmlns:mc="http://schemas.openxmlformats.org/markup-compatibility/2006">
    <mc:Choice xmlns:a14="http://schemas.microsoft.com/office/drawing/2010/main" Requires="a14">
      <xdr:twoCellAnchor editAs="oneCell">
        <xdr:from>
          <xdr:col>16</xdr:col>
          <xdr:colOff>333375</xdr:colOff>
          <xdr:row>12</xdr:row>
          <xdr:rowOff>19050</xdr:rowOff>
        </xdr:from>
        <xdr:to>
          <xdr:col>16</xdr:col>
          <xdr:colOff>638175</xdr:colOff>
          <xdr:row>12</xdr:row>
          <xdr:rowOff>171450</xdr:rowOff>
        </xdr:to>
        <xdr:sp macro="" textlink="">
          <xdr:nvSpPr>
            <xdr:cNvPr id="369691" name="Check Box 27" hidden="1">
              <a:extLst>
                <a:ext uri="{63B3BB69-23CF-44E3-9099-C40C66FF867C}">
                  <a14:compatExt spid="_x0000_s369691"/>
                </a:ext>
                <a:ext uri="{FF2B5EF4-FFF2-40B4-BE49-F238E27FC236}">
                  <a16:creationId xmlns:a16="http://schemas.microsoft.com/office/drawing/2014/main" id="{00000000-0008-0000-0A00-00001BA405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xdr:from>
      <xdr:col>21</xdr:col>
      <xdr:colOff>9525</xdr:colOff>
      <xdr:row>85</xdr:row>
      <xdr:rowOff>22333</xdr:rowOff>
    </xdr:from>
    <xdr:to>
      <xdr:col>30</xdr:col>
      <xdr:colOff>560921</xdr:colOff>
      <xdr:row>95</xdr:row>
      <xdr:rowOff>142452</xdr:rowOff>
    </xdr:to>
    <xdr:pic>
      <xdr:nvPicPr>
        <xdr:cNvPr id="21" name="Picture 20">
          <a:extLst>
            <a:ext uri="{FF2B5EF4-FFF2-40B4-BE49-F238E27FC236}">
              <a16:creationId xmlns:a16="http://schemas.microsoft.com/office/drawing/2014/main" id="{00000000-0008-0000-0A00-000015000000}"/>
            </a:ext>
          </a:extLst>
        </xdr:cNvPr>
        <xdr:cNvPicPr>
          <a:picLocks noChangeAspect="1"/>
        </xdr:cNvPicPr>
      </xdr:nvPicPr>
      <xdr:blipFill>
        <a:blip xmlns:r="http://schemas.openxmlformats.org/officeDocument/2006/relationships" r:embed="rId4"/>
        <a:stretch>
          <a:fillRect/>
        </a:stretch>
      </xdr:blipFill>
      <xdr:spPr>
        <a:xfrm>
          <a:off x="13058775" y="14424133"/>
          <a:ext cx="5523446" cy="2215619"/>
        </a:xfrm>
        <a:prstGeom prst="rect">
          <a:avLst/>
        </a:prstGeom>
        <a:ln w="12700">
          <a:solidFill>
            <a:schemeClr val="tx1"/>
          </a:solidFill>
        </a:ln>
      </xdr:spPr>
    </xdr:pic>
    <xdr:clientData/>
  </xdr:twoCellAnchor>
  <xdr:twoCellAnchor>
    <xdr:from>
      <xdr:col>21</xdr:col>
      <xdr:colOff>16239</xdr:colOff>
      <xdr:row>117</xdr:row>
      <xdr:rowOff>19051</xdr:rowOff>
    </xdr:from>
    <xdr:to>
      <xdr:col>28</xdr:col>
      <xdr:colOff>317458</xdr:colOff>
      <xdr:row>132</xdr:row>
      <xdr:rowOff>57151</xdr:rowOff>
    </xdr:to>
    <xdr:pic>
      <xdr:nvPicPr>
        <xdr:cNvPr id="25" name="Picture 24">
          <a:extLst>
            <a:ext uri="{FF2B5EF4-FFF2-40B4-BE49-F238E27FC236}">
              <a16:creationId xmlns:a16="http://schemas.microsoft.com/office/drawing/2014/main" id="{00000000-0008-0000-0A00-000019000000}"/>
            </a:ext>
          </a:extLst>
        </xdr:cNvPr>
        <xdr:cNvPicPr>
          <a:picLocks noChangeAspect="1"/>
        </xdr:cNvPicPr>
      </xdr:nvPicPr>
      <xdr:blipFill>
        <a:blip xmlns:r="http://schemas.openxmlformats.org/officeDocument/2006/relationships" r:embed="rId3"/>
        <a:stretch>
          <a:fillRect/>
        </a:stretch>
      </xdr:blipFill>
      <xdr:spPr>
        <a:xfrm>
          <a:off x="13065489" y="21021676"/>
          <a:ext cx="4054069" cy="3162300"/>
        </a:xfrm>
        <a:prstGeom prst="rect">
          <a:avLst/>
        </a:prstGeom>
        <a:ln w="12700">
          <a:solidFill>
            <a:schemeClr val="tx1"/>
          </a:solidFill>
        </a:ln>
      </xdr:spPr>
    </xdr:pic>
    <xdr:clientData/>
  </xdr:twoCellAnchor>
  <xdr:twoCellAnchor>
    <xdr:from>
      <xdr:col>21</xdr:col>
      <xdr:colOff>9525</xdr:colOff>
      <xdr:row>195</xdr:row>
      <xdr:rowOff>9525</xdr:rowOff>
    </xdr:from>
    <xdr:to>
      <xdr:col>25</xdr:col>
      <xdr:colOff>352424</xdr:colOff>
      <xdr:row>214</xdr:row>
      <xdr:rowOff>109928</xdr:rowOff>
    </xdr:to>
    <xdr:pic>
      <xdr:nvPicPr>
        <xdr:cNvPr id="26" name="Picture 25">
          <a:extLst>
            <a:ext uri="{FF2B5EF4-FFF2-40B4-BE49-F238E27FC236}">
              <a16:creationId xmlns:a16="http://schemas.microsoft.com/office/drawing/2014/main" id="{00000000-0008-0000-0A00-00001A000000}"/>
            </a:ext>
          </a:extLst>
        </xdr:cNvPr>
        <xdr:cNvPicPr>
          <a:picLocks noChangeAspect="1"/>
        </xdr:cNvPicPr>
      </xdr:nvPicPr>
      <xdr:blipFill>
        <a:blip xmlns:r="http://schemas.openxmlformats.org/officeDocument/2006/relationships" r:embed="rId2"/>
        <a:stretch>
          <a:fillRect/>
        </a:stretch>
      </xdr:blipFill>
      <xdr:spPr>
        <a:xfrm>
          <a:off x="13058775" y="37090350"/>
          <a:ext cx="2781299" cy="4024703"/>
        </a:xfrm>
        <a:prstGeom prst="rect">
          <a:avLst/>
        </a:prstGeom>
        <a:ln w="12700">
          <a:solidFill>
            <a:schemeClr val="tx1"/>
          </a:solidFill>
        </a:ln>
      </xdr:spPr>
    </xdr:pic>
    <xdr:clientData/>
  </xdr:twoCellAnchor>
  <xdr:twoCellAnchor editAs="oneCell">
    <xdr:from>
      <xdr:col>1</xdr:col>
      <xdr:colOff>142875</xdr:colOff>
      <xdr:row>33</xdr:row>
      <xdr:rowOff>66675</xdr:rowOff>
    </xdr:from>
    <xdr:to>
      <xdr:col>5</xdr:col>
      <xdr:colOff>304800</xdr:colOff>
      <xdr:row>48</xdr:row>
      <xdr:rowOff>87328</xdr:rowOff>
    </xdr:to>
    <xdr:pic>
      <xdr:nvPicPr>
        <xdr:cNvPr id="22" name="Picture 21">
          <a:extLst>
            <a:ext uri="{FF2B5EF4-FFF2-40B4-BE49-F238E27FC236}">
              <a16:creationId xmlns:a16="http://schemas.microsoft.com/office/drawing/2014/main" id="{00000000-0008-0000-0A00-000016000000}"/>
            </a:ext>
          </a:extLst>
        </xdr:cNvPr>
        <xdr:cNvPicPr>
          <a:picLocks noChangeAspect="1"/>
        </xdr:cNvPicPr>
      </xdr:nvPicPr>
      <xdr:blipFill>
        <a:blip xmlns:r="http://schemas.openxmlformats.org/officeDocument/2006/relationships" r:embed="rId5"/>
        <a:stretch>
          <a:fillRect/>
        </a:stretch>
      </xdr:blipFill>
      <xdr:spPr>
        <a:xfrm>
          <a:off x="752475" y="4676775"/>
          <a:ext cx="2600325" cy="2916253"/>
        </a:xfrm>
        <a:prstGeom prst="rect">
          <a:avLst/>
        </a:prstGeom>
        <a:ln w="12700">
          <a:solidFill>
            <a:schemeClr val="tx1"/>
          </a:solidFill>
        </a:ln>
      </xdr:spPr>
    </xdr:pic>
    <xdr:clientData/>
  </xdr:twoCellAnchor>
  <xdr:twoCellAnchor>
    <xdr:from>
      <xdr:col>21</xdr:col>
      <xdr:colOff>9525</xdr:colOff>
      <xdr:row>99</xdr:row>
      <xdr:rowOff>0</xdr:rowOff>
    </xdr:from>
    <xdr:to>
      <xdr:col>27</xdr:col>
      <xdr:colOff>114300</xdr:colOff>
      <xdr:row>116</xdr:row>
      <xdr:rowOff>21098</xdr:rowOff>
    </xdr:to>
    <xdr:pic>
      <xdr:nvPicPr>
        <xdr:cNvPr id="28" name="Picture 27">
          <a:extLst>
            <a:ext uri="{FF2B5EF4-FFF2-40B4-BE49-F238E27FC236}">
              <a16:creationId xmlns:a16="http://schemas.microsoft.com/office/drawing/2014/main" id="{00000000-0008-0000-0A00-00001C000000}"/>
            </a:ext>
          </a:extLst>
        </xdr:cNvPr>
        <xdr:cNvPicPr>
          <a:picLocks noChangeAspect="1"/>
        </xdr:cNvPicPr>
      </xdr:nvPicPr>
      <xdr:blipFill>
        <a:blip xmlns:r="http://schemas.openxmlformats.org/officeDocument/2006/relationships" r:embed="rId5"/>
        <a:stretch>
          <a:fillRect/>
        </a:stretch>
      </xdr:blipFill>
      <xdr:spPr>
        <a:xfrm>
          <a:off x="13058775" y="17297400"/>
          <a:ext cx="3152775" cy="3535823"/>
        </a:xfrm>
        <a:prstGeom prst="rect">
          <a:avLst/>
        </a:prstGeom>
        <a:ln w="12700">
          <a:solidFill>
            <a:schemeClr val="tx1"/>
          </a:solidFill>
        </a:ln>
      </xdr:spPr>
    </xdr:pic>
    <xdr:clientData/>
  </xdr:twoCellAnchor>
  <xdr:twoCellAnchor editAs="oneCell">
    <xdr:from>
      <xdr:col>2</xdr:col>
      <xdr:colOff>390525</xdr:colOff>
      <xdr:row>15</xdr:row>
      <xdr:rowOff>84529</xdr:rowOff>
    </xdr:from>
    <xdr:to>
      <xdr:col>10</xdr:col>
      <xdr:colOff>228600</xdr:colOff>
      <xdr:row>28</xdr:row>
      <xdr:rowOff>110496</xdr:rowOff>
    </xdr:to>
    <xdr:pic>
      <xdr:nvPicPr>
        <xdr:cNvPr id="27" name="Picture 26">
          <a:extLst>
            <a:ext uri="{FF2B5EF4-FFF2-40B4-BE49-F238E27FC236}">
              <a16:creationId xmlns:a16="http://schemas.microsoft.com/office/drawing/2014/main" id="{00000000-0008-0000-0A00-00001B000000}"/>
            </a:ext>
          </a:extLst>
        </xdr:cNvPr>
        <xdr:cNvPicPr>
          <a:picLocks noChangeAspect="1"/>
        </xdr:cNvPicPr>
      </xdr:nvPicPr>
      <xdr:blipFill>
        <a:blip xmlns:r="http://schemas.openxmlformats.org/officeDocument/2006/relationships" r:embed="rId6"/>
        <a:stretch>
          <a:fillRect/>
        </a:stretch>
      </xdr:blipFill>
      <xdr:spPr>
        <a:xfrm>
          <a:off x="1609725" y="1456129"/>
          <a:ext cx="4714875" cy="2502467"/>
        </a:xfrm>
        <a:prstGeom prst="rect">
          <a:avLst/>
        </a:prstGeom>
        <a:ln w="12700">
          <a:solidFill>
            <a:schemeClr val="tx1"/>
          </a:solidFill>
        </a:ln>
      </xdr:spPr>
    </xdr:pic>
    <xdr:clientData/>
  </xdr:twoCellAnchor>
  <xdr:twoCellAnchor editAs="oneCell">
    <xdr:from>
      <xdr:col>21</xdr:col>
      <xdr:colOff>0</xdr:colOff>
      <xdr:row>14</xdr:row>
      <xdr:rowOff>0</xdr:rowOff>
    </xdr:from>
    <xdr:to>
      <xdr:col>25</xdr:col>
      <xdr:colOff>114300</xdr:colOff>
      <xdr:row>47</xdr:row>
      <xdr:rowOff>177418</xdr:rowOff>
    </xdr:to>
    <xdr:pic>
      <xdr:nvPicPr>
        <xdr:cNvPr id="32" name="Picture 31">
          <a:extLst>
            <a:ext uri="{FF2B5EF4-FFF2-40B4-BE49-F238E27FC236}">
              <a16:creationId xmlns:a16="http://schemas.microsoft.com/office/drawing/2014/main" id="{00000000-0008-0000-0A00-000020000000}"/>
            </a:ext>
          </a:extLst>
        </xdr:cNvPr>
        <xdr:cNvPicPr>
          <a:picLocks noChangeAspect="1"/>
        </xdr:cNvPicPr>
      </xdr:nvPicPr>
      <xdr:blipFill>
        <a:blip xmlns:r="http://schemas.openxmlformats.org/officeDocument/2006/relationships" r:embed="rId7"/>
        <a:stretch>
          <a:fillRect/>
        </a:stretch>
      </xdr:blipFill>
      <xdr:spPr>
        <a:xfrm>
          <a:off x="13049250" y="1181100"/>
          <a:ext cx="2552700" cy="6463918"/>
        </a:xfrm>
        <a:prstGeom prst="rect">
          <a:avLst/>
        </a:prstGeom>
        <a:ln w="12700">
          <a:solidFill>
            <a:schemeClr val="tx1"/>
          </a:solidFill>
        </a:ln>
      </xdr:spPr>
    </xdr:pic>
    <xdr:clientData/>
  </xdr:twoCellAnchor>
  <xdr:twoCellAnchor>
    <xdr:from>
      <xdr:col>21</xdr:col>
      <xdr:colOff>0</xdr:colOff>
      <xdr:row>588</xdr:row>
      <xdr:rowOff>0</xdr:rowOff>
    </xdr:from>
    <xdr:to>
      <xdr:col>31</xdr:col>
      <xdr:colOff>379927</xdr:colOff>
      <xdr:row>607</xdr:row>
      <xdr:rowOff>107623</xdr:rowOff>
    </xdr:to>
    <xdr:pic>
      <xdr:nvPicPr>
        <xdr:cNvPr id="38" name="Picture 37">
          <a:extLst>
            <a:ext uri="{FF2B5EF4-FFF2-40B4-BE49-F238E27FC236}">
              <a16:creationId xmlns:a16="http://schemas.microsoft.com/office/drawing/2014/main" id="{00000000-0008-0000-0A00-000026000000}"/>
            </a:ext>
          </a:extLst>
        </xdr:cNvPr>
        <xdr:cNvPicPr>
          <a:picLocks noChangeAspect="1"/>
        </xdr:cNvPicPr>
      </xdr:nvPicPr>
      <xdr:blipFill>
        <a:blip xmlns:r="http://schemas.openxmlformats.org/officeDocument/2006/relationships" r:embed="rId8"/>
        <a:stretch>
          <a:fillRect/>
        </a:stretch>
      </xdr:blipFill>
      <xdr:spPr>
        <a:xfrm>
          <a:off x="13154025" y="113566575"/>
          <a:ext cx="5961577" cy="4089073"/>
        </a:xfrm>
        <a:prstGeom prst="rect">
          <a:avLst/>
        </a:prstGeom>
        <a:ln w="12700">
          <a:solidFill>
            <a:schemeClr val="tx1"/>
          </a:solidFill>
        </a:ln>
      </xdr:spPr>
    </xdr:pic>
    <xdr:clientData/>
  </xdr:twoCellAnchor>
  <mc:AlternateContent xmlns:mc="http://schemas.openxmlformats.org/markup-compatibility/2006">
    <mc:Choice xmlns:a14="http://schemas.microsoft.com/office/drawing/2010/main" Requires="a14">
      <xdr:twoCellAnchor editAs="oneCell">
        <xdr:from>
          <xdr:col>16</xdr:col>
          <xdr:colOff>333375</xdr:colOff>
          <xdr:row>77</xdr:row>
          <xdr:rowOff>171450</xdr:rowOff>
        </xdr:from>
        <xdr:to>
          <xdr:col>16</xdr:col>
          <xdr:colOff>647700</xdr:colOff>
          <xdr:row>79</xdr:row>
          <xdr:rowOff>9525</xdr:rowOff>
        </xdr:to>
        <xdr:sp macro="" textlink="">
          <xdr:nvSpPr>
            <xdr:cNvPr id="369701" name="Check Box 37" hidden="1">
              <a:extLst>
                <a:ext uri="{63B3BB69-23CF-44E3-9099-C40C66FF867C}">
                  <a14:compatExt spid="_x0000_s369701"/>
                </a:ext>
                <a:ext uri="{FF2B5EF4-FFF2-40B4-BE49-F238E27FC236}">
                  <a16:creationId xmlns:a16="http://schemas.microsoft.com/office/drawing/2014/main" id="{00000000-0008-0000-0A00-000025A405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xdr:from>
      <xdr:col>21</xdr:col>
      <xdr:colOff>13187</xdr:colOff>
      <xdr:row>237</xdr:row>
      <xdr:rowOff>14653</xdr:rowOff>
    </xdr:from>
    <xdr:to>
      <xdr:col>29</xdr:col>
      <xdr:colOff>286069</xdr:colOff>
      <xdr:row>247</xdr:row>
      <xdr:rowOff>9525</xdr:rowOff>
    </xdr:to>
    <xdr:pic>
      <xdr:nvPicPr>
        <xdr:cNvPr id="2" name="Picture 1">
          <a:extLst>
            <a:ext uri="{FF2B5EF4-FFF2-40B4-BE49-F238E27FC236}">
              <a16:creationId xmlns:a16="http://schemas.microsoft.com/office/drawing/2014/main" id="{00000000-0008-0000-0A00-000002000000}"/>
            </a:ext>
          </a:extLst>
        </xdr:cNvPr>
        <xdr:cNvPicPr>
          <a:picLocks noChangeAspect="1" noChangeArrowheads="1"/>
        </xdr:cNvPicPr>
      </xdr:nvPicPr>
      <xdr:blipFill>
        <a:blip xmlns:r="http://schemas.openxmlformats.org/officeDocument/2006/relationships" r:embed="rId9">
          <a:extLst>
            <a:ext uri="{28A0092B-C50C-407E-A947-70E740481C1C}">
              <a14:useLocalDpi xmlns:a14="http://schemas.microsoft.com/office/drawing/2010/main" val="0"/>
            </a:ext>
          </a:extLst>
        </a:blip>
        <a:srcRect/>
        <a:stretch>
          <a:fillRect/>
        </a:stretch>
      </xdr:blipFill>
      <xdr:spPr bwMode="auto">
        <a:xfrm>
          <a:off x="13062437" y="45706078"/>
          <a:ext cx="4635332" cy="2014172"/>
        </a:xfrm>
        <a:prstGeom prst="rect">
          <a:avLst/>
        </a:prstGeom>
        <a:ln w="12700">
          <a:solidFill>
            <a:schemeClr val="tx1"/>
          </a:solid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10</xdr:col>
      <xdr:colOff>333374</xdr:colOff>
      <xdr:row>660</xdr:row>
      <xdr:rowOff>1571</xdr:rowOff>
    </xdr:from>
    <xdr:to>
      <xdr:col>13</xdr:col>
      <xdr:colOff>238125</xdr:colOff>
      <xdr:row>674</xdr:row>
      <xdr:rowOff>85987</xdr:rowOff>
    </xdr:to>
    <xdr:pic>
      <xdr:nvPicPr>
        <xdr:cNvPr id="20" name="Picture 19">
          <a:extLst>
            <a:ext uri="{FF2B5EF4-FFF2-40B4-BE49-F238E27FC236}">
              <a16:creationId xmlns:a16="http://schemas.microsoft.com/office/drawing/2014/main" id="{00000000-0008-0000-0A00-000014000000}"/>
            </a:ext>
          </a:extLst>
        </xdr:cNvPr>
        <xdr:cNvPicPr>
          <a:picLocks noChangeAspect="1"/>
        </xdr:cNvPicPr>
      </xdr:nvPicPr>
      <xdr:blipFill>
        <a:blip xmlns:r="http://schemas.openxmlformats.org/officeDocument/2006/relationships" r:embed="rId10"/>
        <a:stretch>
          <a:fillRect/>
        </a:stretch>
      </xdr:blipFill>
      <xdr:spPr>
        <a:xfrm>
          <a:off x="6429374" y="135399446"/>
          <a:ext cx="1733551" cy="2751416"/>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xdr:twoCellAnchor>
    <xdr:from>
      <xdr:col>18</xdr:col>
      <xdr:colOff>19050</xdr:colOff>
      <xdr:row>7</xdr:row>
      <xdr:rowOff>219075</xdr:rowOff>
    </xdr:from>
    <xdr:to>
      <xdr:col>26</xdr:col>
      <xdr:colOff>85725</xdr:colOff>
      <xdr:row>17</xdr:row>
      <xdr:rowOff>57150</xdr:rowOff>
    </xdr:to>
    <xdr:sp macro="" textlink="">
      <xdr:nvSpPr>
        <xdr:cNvPr id="2" name="TextBox 1">
          <a:extLst>
            <a:ext uri="{FF2B5EF4-FFF2-40B4-BE49-F238E27FC236}">
              <a16:creationId xmlns:a16="http://schemas.microsoft.com/office/drawing/2014/main" id="{00000000-0008-0000-0B00-000002000000}"/>
            </a:ext>
          </a:extLst>
        </xdr:cNvPr>
        <xdr:cNvSpPr txBox="1"/>
      </xdr:nvSpPr>
      <xdr:spPr>
        <a:xfrm>
          <a:off x="11172825" y="2009775"/>
          <a:ext cx="4943475" cy="2733675"/>
        </a:xfrm>
        <a:prstGeom prst="rect">
          <a:avLst/>
        </a:prstGeom>
        <a:ln/>
      </xdr:spPr>
      <xdr:style>
        <a:lnRef idx="2">
          <a:schemeClr val="dk1"/>
        </a:lnRef>
        <a:fillRef idx="1">
          <a:schemeClr val="lt1"/>
        </a:fillRef>
        <a:effectRef idx="0">
          <a:schemeClr val="dk1"/>
        </a:effectRef>
        <a:fontRef idx="minor">
          <a:schemeClr val="dk1"/>
        </a:fontRef>
      </xdr:style>
      <xdr:txBody>
        <a:bodyPr vertOverflow="clip" horzOverflow="clip" wrap="square" rtlCol="0" anchor="t"/>
        <a:lstStyle/>
        <a:p>
          <a:pPr lvl="0"/>
          <a:r>
            <a:rPr lang="en-US" sz="1100" b="1">
              <a:solidFill>
                <a:schemeClr val="dk1"/>
              </a:solidFill>
              <a:effectLst/>
              <a:latin typeface="+mn-lt"/>
              <a:ea typeface="+mn-ea"/>
              <a:cs typeface="+mn-cs"/>
            </a:rPr>
            <a:t>K</a:t>
          </a:r>
          <a:r>
            <a:rPr lang="en-US" sz="1100" b="1" baseline="-25000">
              <a:solidFill>
                <a:schemeClr val="dk1"/>
              </a:solidFill>
              <a:effectLst/>
              <a:latin typeface="+mn-lt"/>
              <a:ea typeface="+mn-ea"/>
              <a:cs typeface="+mn-cs"/>
            </a:rPr>
            <a:t>i</a:t>
          </a:r>
          <a:r>
            <a:rPr lang="en-US" sz="1100" b="1">
              <a:solidFill>
                <a:schemeClr val="dk1"/>
              </a:solidFill>
              <a:effectLst/>
              <a:latin typeface="+mn-lt"/>
              <a:ea typeface="+mn-ea"/>
              <a:cs typeface="+mn-cs"/>
            </a:rPr>
            <a:t>:</a:t>
          </a:r>
          <a:r>
            <a:rPr lang="en-US" sz="1100" b="1" baseline="0">
              <a:solidFill>
                <a:schemeClr val="dk1"/>
              </a:solidFill>
              <a:effectLst/>
              <a:latin typeface="+mn-lt"/>
              <a:ea typeface="+mn-ea"/>
              <a:cs typeface="+mn-cs"/>
            </a:rPr>
            <a:t> Effective Length Factor for Split Pipe Member (ENG-MAP-10383 Split Pipe Design Methodology)</a:t>
          </a:r>
        </a:p>
        <a:p>
          <a:pPr lvl="0"/>
          <a:endParaRPr lang="en-US" sz="1100" b="1">
            <a:solidFill>
              <a:schemeClr val="dk1"/>
            </a:solidFill>
            <a:effectLst/>
            <a:latin typeface="+mn-lt"/>
            <a:ea typeface="+mn-ea"/>
            <a:cs typeface="+mn-cs"/>
          </a:endParaRPr>
        </a:p>
        <a:p>
          <a:pPr lvl="0"/>
          <a:r>
            <a:rPr lang="en-US" sz="1100" b="1">
              <a:solidFill>
                <a:schemeClr val="dk1"/>
              </a:solidFill>
              <a:effectLst/>
              <a:latin typeface="+mn-lt"/>
              <a:ea typeface="+mn-ea"/>
              <a:cs typeface="+mn-cs"/>
            </a:rPr>
            <a:t>1.0</a:t>
          </a:r>
          <a:r>
            <a:rPr lang="en-US" sz="1100">
              <a:solidFill>
                <a:schemeClr val="dk1"/>
              </a:solidFill>
              <a:effectLst/>
              <a:latin typeface="+mn-lt"/>
              <a:ea typeface="+mn-ea"/>
              <a:cs typeface="+mn-cs"/>
            </a:rPr>
            <a:t> - the modification design did not use an effective length factor</a:t>
          </a:r>
        </a:p>
        <a:p>
          <a:pPr lvl="0"/>
          <a:endParaRPr lang="en-US" sz="1100">
            <a:solidFill>
              <a:schemeClr val="dk1"/>
            </a:solidFill>
            <a:effectLst/>
            <a:latin typeface="+mn-lt"/>
            <a:ea typeface="+mn-ea"/>
            <a:cs typeface="+mn-cs"/>
          </a:endParaRPr>
        </a:p>
        <a:p>
          <a:pPr lvl="0"/>
          <a:r>
            <a:rPr lang="en-US" sz="1100" b="1">
              <a:solidFill>
                <a:schemeClr val="dk1"/>
              </a:solidFill>
              <a:effectLst/>
              <a:latin typeface="+mn-lt"/>
              <a:ea typeface="+mn-ea"/>
              <a:cs typeface="+mn-cs"/>
            </a:rPr>
            <a:t>0.86</a:t>
          </a:r>
          <a:r>
            <a:rPr lang="en-US" sz="1100">
              <a:solidFill>
                <a:schemeClr val="dk1"/>
              </a:solidFill>
              <a:effectLst/>
              <a:latin typeface="+mn-lt"/>
              <a:ea typeface="+mn-ea"/>
              <a:cs typeface="+mn-cs"/>
            </a:rPr>
            <a:t> – the modification design used an effective length factor, but information on what factor was used is unavailable</a:t>
          </a:r>
        </a:p>
        <a:p>
          <a:pPr lvl="0"/>
          <a:endParaRPr lang="en-US" sz="1100">
            <a:solidFill>
              <a:schemeClr val="dk1"/>
            </a:solidFill>
            <a:effectLst/>
            <a:latin typeface="+mn-lt"/>
            <a:ea typeface="+mn-ea"/>
            <a:cs typeface="+mn-cs"/>
          </a:endParaRPr>
        </a:p>
        <a:p>
          <a:pPr lvl="0"/>
          <a:r>
            <a:rPr lang="en-US" sz="1100" b="1">
              <a:solidFill>
                <a:schemeClr val="dk1"/>
              </a:solidFill>
              <a:effectLst/>
              <a:latin typeface="+mn-lt"/>
              <a:ea typeface="+mn-ea"/>
              <a:cs typeface="+mn-cs"/>
            </a:rPr>
            <a:t>0.8</a:t>
          </a:r>
          <a:r>
            <a:rPr lang="en-US" sz="1100">
              <a:solidFill>
                <a:schemeClr val="dk1"/>
              </a:solidFill>
              <a:effectLst/>
              <a:latin typeface="+mn-lt"/>
              <a:ea typeface="+mn-ea"/>
              <a:cs typeface="+mn-cs"/>
            </a:rPr>
            <a:t> – the modification design used an effective length factor, but the factor used was less than 0.8</a:t>
          </a:r>
        </a:p>
        <a:p>
          <a:pPr lvl="0"/>
          <a:endParaRPr lang="en-US" sz="1100">
            <a:solidFill>
              <a:schemeClr val="dk1"/>
            </a:solidFill>
            <a:effectLst/>
            <a:latin typeface="+mn-lt"/>
            <a:ea typeface="+mn-ea"/>
            <a:cs typeface="+mn-cs"/>
          </a:endParaRPr>
        </a:p>
        <a:p>
          <a:pPr lvl="0"/>
          <a:r>
            <a:rPr lang="en-US" sz="1100" b="1">
              <a:solidFill>
                <a:schemeClr val="dk1"/>
              </a:solidFill>
              <a:effectLst/>
              <a:latin typeface="+mn-lt"/>
              <a:ea typeface="+mn-ea"/>
              <a:cs typeface="+mn-cs"/>
            </a:rPr>
            <a:t>Other</a:t>
          </a:r>
          <a:r>
            <a:rPr lang="en-US" sz="1100">
              <a:solidFill>
                <a:schemeClr val="dk1"/>
              </a:solidFill>
              <a:effectLst/>
              <a:latin typeface="+mn-lt"/>
              <a:ea typeface="+mn-ea"/>
              <a:cs typeface="+mn-cs"/>
            </a:rPr>
            <a:t> – the modification design used an effective length factor, the information on the factor is available, and the factor is greater than 0.8.  In this condition, the effective length factor used during modification is the one that should be used for analysis. </a:t>
          </a:r>
        </a:p>
        <a:p>
          <a:endParaRPr lang="en-US" sz="1100"/>
        </a:p>
      </xdr:txBody>
    </xdr:sp>
    <xdr:clientData/>
  </xdr:twoCellAnchor>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10</xdr:col>
          <xdr:colOff>590550</xdr:colOff>
          <xdr:row>34</xdr:row>
          <xdr:rowOff>47625</xdr:rowOff>
        </xdr:from>
        <xdr:to>
          <xdr:col>15</xdr:col>
          <xdr:colOff>200025</xdr:colOff>
          <xdr:row>45</xdr:row>
          <xdr:rowOff>38100</xdr:rowOff>
        </xdr:to>
        <xdr:sp macro="" textlink="">
          <xdr:nvSpPr>
            <xdr:cNvPr id="363521" name="Object 1" hidden="1">
              <a:extLst>
                <a:ext uri="{63B3BB69-23CF-44E3-9099-C40C66FF867C}">
                  <a14:compatExt spid="_x0000_s363521"/>
                </a:ext>
                <a:ext uri="{FF2B5EF4-FFF2-40B4-BE49-F238E27FC236}">
                  <a16:creationId xmlns:a16="http://schemas.microsoft.com/office/drawing/2014/main" id="{00000000-0008-0000-0C00-0000018C0500}"/>
                </a:ext>
              </a:extLst>
            </xdr:cNvPr>
            <xdr:cNvSpPr/>
          </xdr:nvSpPr>
          <xdr:spPr bwMode="auto">
            <a:xfrm>
              <a:off x="0" y="0"/>
              <a:ext cx="0" cy="0"/>
            </a:xfrm>
            <a:prstGeom prst="rect">
              <a:avLst/>
            </a:prstGeom>
            <a:solidFill>
              <a:srgbClr val="FFFFFF" mc:Ignorable="a14" a14:legacySpreadsheetColorIndex="65"/>
            </a:solidFill>
            <a:ln w="9525">
              <a:solidFill>
                <a:srgbClr val="000000" mc:Ignorable="a14" a14:legacySpreadsheetColorIndex="64"/>
              </a:solidFill>
              <a:miter lim="800000"/>
              <a:headEnd/>
              <a:tailEnd/>
            </a:ln>
          </xdr:spPr>
        </xdr:sp>
        <xdr:clientData/>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10</xdr:col>
          <xdr:colOff>590550</xdr:colOff>
          <xdr:row>40</xdr:row>
          <xdr:rowOff>38100</xdr:rowOff>
        </xdr:from>
        <xdr:to>
          <xdr:col>15</xdr:col>
          <xdr:colOff>200025</xdr:colOff>
          <xdr:row>51</xdr:row>
          <xdr:rowOff>28575</xdr:rowOff>
        </xdr:to>
        <xdr:sp macro="" textlink="">
          <xdr:nvSpPr>
            <xdr:cNvPr id="356353" name="Object 1" hidden="1">
              <a:extLst>
                <a:ext uri="{63B3BB69-23CF-44E3-9099-C40C66FF867C}">
                  <a14:compatExt spid="_x0000_s356353"/>
                </a:ext>
                <a:ext uri="{FF2B5EF4-FFF2-40B4-BE49-F238E27FC236}">
                  <a16:creationId xmlns:a16="http://schemas.microsoft.com/office/drawing/2014/main" id="{00000000-0008-0000-0D00-000001700500}"/>
                </a:ext>
              </a:extLst>
            </xdr:cNvPr>
            <xdr:cNvSpPr/>
          </xdr:nvSpPr>
          <xdr:spPr bwMode="auto">
            <a:xfrm>
              <a:off x="0" y="0"/>
              <a:ext cx="0" cy="0"/>
            </a:xfrm>
            <a:prstGeom prst="rect">
              <a:avLst/>
            </a:prstGeom>
            <a:solidFill>
              <a:srgbClr val="FFFFFF" mc:Ignorable="a14" a14:legacySpreadsheetColorIndex="65"/>
            </a:solidFill>
            <a:ln w="9525">
              <a:solidFill>
                <a:srgbClr val="000000" mc:Ignorable="a14" a14:legacySpreadsheetColorIndex="64"/>
              </a:solidFill>
              <a:miter lim="800000"/>
              <a:headEnd/>
              <a:tailEnd/>
            </a:ln>
          </xdr:spPr>
        </xdr:sp>
        <xdr:clientData/>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10</xdr:col>
          <xdr:colOff>552450</xdr:colOff>
          <xdr:row>43</xdr:row>
          <xdr:rowOff>38100</xdr:rowOff>
        </xdr:from>
        <xdr:to>
          <xdr:col>15</xdr:col>
          <xdr:colOff>57150</xdr:colOff>
          <xdr:row>55</xdr:row>
          <xdr:rowOff>104775</xdr:rowOff>
        </xdr:to>
        <xdr:sp macro="" textlink="">
          <xdr:nvSpPr>
            <xdr:cNvPr id="360449" name="Object 1" hidden="1">
              <a:extLst>
                <a:ext uri="{63B3BB69-23CF-44E3-9099-C40C66FF867C}">
                  <a14:compatExt spid="_x0000_s360449"/>
                </a:ext>
                <a:ext uri="{FF2B5EF4-FFF2-40B4-BE49-F238E27FC236}">
                  <a16:creationId xmlns:a16="http://schemas.microsoft.com/office/drawing/2014/main" id="{00000000-0008-0000-0E00-000001800500}"/>
                </a:ext>
              </a:extLst>
            </xdr:cNvPr>
            <xdr:cNvSpPr/>
          </xdr:nvSpPr>
          <xdr:spPr bwMode="auto">
            <a:xfrm>
              <a:off x="0" y="0"/>
              <a:ext cx="0" cy="0"/>
            </a:xfrm>
            <a:prstGeom prst="rect">
              <a:avLst/>
            </a:prstGeom>
            <a:solidFill>
              <a:srgbClr val="FFFFFF" mc:Ignorable="a14" a14:legacySpreadsheetColorIndex="65"/>
            </a:solidFill>
            <a:ln w="9525">
              <a:solidFill>
                <a:srgbClr val="000000" mc:Ignorable="a14" a14:legacySpreadsheetColorIndex="64"/>
              </a:solidFill>
              <a:miter lim="800000"/>
              <a:headEnd/>
              <a:tailEnd/>
            </a:ln>
          </xdr:spPr>
        </xdr:sp>
        <xdr:clientData/>
      </xdr:twoCellAnchor>
    </mc:Choice>
    <mc:Fallback/>
  </mc:AlternateContent>
</xdr:wsDr>
</file>

<file path=xl/drawings/drawing9.xml><?xml version="1.0" encoding="utf-8"?>
<xdr:wsDr xmlns:xdr="http://schemas.openxmlformats.org/drawingml/2006/spreadsheetDrawing" xmlns:a="http://schemas.openxmlformats.org/drawingml/2006/main">
  <xdr:twoCellAnchor editAs="oneCell">
    <xdr:from>
      <xdr:col>13</xdr:col>
      <xdr:colOff>19050</xdr:colOff>
      <xdr:row>0</xdr:row>
      <xdr:rowOff>0</xdr:rowOff>
    </xdr:from>
    <xdr:to>
      <xdr:col>16</xdr:col>
      <xdr:colOff>517022</xdr:colOff>
      <xdr:row>8</xdr:row>
      <xdr:rowOff>171450</xdr:rowOff>
    </xdr:to>
    <xdr:pic>
      <xdr:nvPicPr>
        <xdr:cNvPr id="2" name="Form Fit Detail">
          <a:extLst>
            <a:ext uri="{FF2B5EF4-FFF2-40B4-BE49-F238E27FC236}">
              <a16:creationId xmlns:a16="http://schemas.microsoft.com/office/drawing/2014/main" id="{00000000-0008-0000-1000-000002000000}"/>
            </a:ext>
          </a:extLst>
        </xdr:cNvPr>
        <xdr:cNvPicPr>
          <a:picLocks noChangeAspect="1"/>
        </xdr:cNvPicPr>
      </xdr:nvPicPr>
      <xdr:blipFill>
        <a:blip xmlns:r="http://schemas.openxmlformats.org/officeDocument/2006/relationships" r:embed="rId1"/>
        <a:stretch>
          <a:fillRect/>
        </a:stretch>
      </xdr:blipFill>
      <xdr:spPr>
        <a:xfrm>
          <a:off x="8343900" y="0"/>
          <a:ext cx="2326772" cy="1905000"/>
        </a:xfrm>
        <a:prstGeom prst="rect">
          <a:avLst/>
        </a:prstGeom>
      </xdr:spPr>
    </xdr:pic>
    <xdr:clientData/>
  </xdr:twoCellAnchor>
</xdr:wsDr>
</file>

<file path=xl/drawings/drawing10.xml><?xml version="1.0" encoding="utf-8"?>
<xdr:wsDr xmlns:xdr="http://schemas.openxmlformats.org/drawingml/2006/spreadsheetDrawing" xmlns:a="http://schemas.openxmlformats.org/drawingml/2006/main">
  <xdr:twoCellAnchor editAs="oneCell">
    <xdr:from>
      <xdr:col>6</xdr:col>
      <xdr:colOff>251460</xdr:colOff>
      <xdr:row>0</xdr:row>
      <xdr:rowOff>137160</xdr:rowOff>
    </xdr:from>
    <xdr:to>
      <xdr:col>18</xdr:col>
      <xdr:colOff>579120</xdr:colOff>
      <xdr:row>14</xdr:row>
      <xdr:rowOff>175260</xdr:rowOff>
    </xdr:to>
    <xdr:pic>
      <xdr:nvPicPr>
        <xdr:cNvPr id="184445" name="Picture 8">
          <a:extLst>
            <a:ext uri="{FF2B5EF4-FFF2-40B4-BE49-F238E27FC236}">
              <a16:creationId xmlns:a16="http://schemas.microsoft.com/office/drawing/2014/main" id="{00000000-0008-0000-1100-00007DD002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707380" y="137160"/>
          <a:ext cx="7642860" cy="64389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1">
              <a:solidFill>
                <a:srgbClr val="000000"/>
              </a:solidFill>
              <a:miter lim="800000"/>
              <a:headEnd/>
              <a:tailEnd/>
            </a14:hiddenLine>
          </a:ext>
        </a:extLst>
      </xdr:spPr>
    </xdr:pic>
    <xdr:clientData/>
  </xdr:twoCellAnchor>
  <xdr:twoCellAnchor editAs="oneCell">
    <xdr:from>
      <xdr:col>11</xdr:col>
      <xdr:colOff>0</xdr:colOff>
      <xdr:row>14</xdr:row>
      <xdr:rowOff>0</xdr:rowOff>
    </xdr:from>
    <xdr:to>
      <xdr:col>34</xdr:col>
      <xdr:colOff>161250</xdr:colOff>
      <xdr:row>19</xdr:row>
      <xdr:rowOff>266945</xdr:rowOff>
    </xdr:to>
    <xdr:pic>
      <xdr:nvPicPr>
        <xdr:cNvPr id="2" name="Picture 1">
          <a:extLst>
            <a:ext uri="{FF2B5EF4-FFF2-40B4-BE49-F238E27FC236}">
              <a16:creationId xmlns:a16="http://schemas.microsoft.com/office/drawing/2014/main" id="{00000000-0008-0000-1100-000002000000}"/>
            </a:ext>
          </a:extLst>
        </xdr:cNvPr>
        <xdr:cNvPicPr>
          <a:picLocks noChangeAspect="1"/>
        </xdr:cNvPicPr>
      </xdr:nvPicPr>
      <xdr:blipFill>
        <a:blip xmlns:r="http://schemas.openxmlformats.org/officeDocument/2006/relationships" r:embed="rId2"/>
        <a:stretch>
          <a:fillRect/>
        </a:stretch>
      </xdr:blipFill>
      <xdr:spPr>
        <a:xfrm>
          <a:off x="8503920" y="6400800"/>
          <a:ext cx="14182050" cy="2819645"/>
        </a:xfrm>
        <a:prstGeom prst="rect">
          <a:avLst/>
        </a:prstGeom>
      </xdr:spPr>
    </xdr:pic>
    <xdr:clientData/>
  </xdr:twoCellAnchor>
</xdr:wsDr>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TNX File_88" connectionId="5" xr16:uid="{00000000-0016-0000-0200-000027000000}" autoFormatId="16" applyNumberFormats="0" applyBorderFormats="0" applyFontFormats="1" applyPatternFormats="1" applyAlignmentFormats="0" applyWidthHeightFormats="0"/>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TNX File_62" connectionId="1" xr16:uid="{00000000-0016-0000-0200-00003F000000}" autoFormatId="16" applyNumberFormats="0" applyBorderFormats="0" applyFontFormats="1" applyPatternFormats="1" applyAlignmentFormats="0" applyWidthHeightFormats="0"/>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TNX File_82" connectionId="7" xr16:uid="{00000000-0016-0000-0200-00003C000000}" autoFormatId="16" applyNumberFormats="0" applyBorderFormats="0" applyFontFormats="1" applyPatternFormats="1" applyAlignmentFormats="0" applyWidthHeightFormats="0"/>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TNX File_6" connectionId="12" xr16:uid="{00000000-0016-0000-0200-000046000000}" autoFormatId="16" applyNumberFormats="0" applyBorderFormats="0" applyFontFormats="1" applyPatternFormats="1" applyAlignmentFormats="0" applyWidthHeightFormats="0"/>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TNX File_7" connectionId="13" xr16:uid="{00000000-0016-0000-0200-00003A000000}" autoFormatId="16" applyNumberFormats="0" applyBorderFormats="0" applyFontFormats="1" applyPatternFormats="1" applyAlignmentFormats="0" applyWidthHeightFormats="0"/>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TNX File_36" connectionId="1" xr16:uid="{00000000-0016-0000-0200-000059000000}" autoFormatId="16" applyNumberFormats="0" applyBorderFormats="0" applyFontFormats="1" applyPatternFormats="1" applyAlignmentFormats="0" applyWidthHeightFormats="0"/>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TNX File_38" connectionId="1" xr16:uid="{00000000-0016-0000-0200-000004000000}" autoFormatId="16" applyNumberFormats="0" applyBorderFormats="0" applyFontFormats="1" applyPatternFormats="1" applyAlignmentFormats="0" applyWidthHeightFormats="0"/>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TNX File_60" connectionId="12" xr16:uid="{00000000-0016-0000-0200-000031000000}" autoFormatId="16" applyNumberFormats="0" applyBorderFormats="0" applyFontFormats="1" applyPatternFormats="1" applyAlignmentFormats="0" applyWidthHeightFormats="0"/>
</file>

<file path=xl/queryTables/queryTable9.xml><?xml version="1.0" encoding="utf-8"?>
<queryTable xmlns="http://schemas.openxmlformats.org/spreadsheetml/2006/main" xmlns:mc="http://schemas.openxmlformats.org/markup-compatibility/2006" xmlns:xr16="http://schemas.microsoft.com/office/spreadsheetml/2017/revision16" mc:Ignorable="xr16" name="TNX File_92" connectionId="4" xr16:uid="{6BAB71E7-5372-4E92-8E14-B5EE86DCE2C4}" autoFormatId="16" applyNumberFormats="0" applyBorderFormats="0" applyFontFormats="1" applyPatternFormats="1" applyAlignmentFormats="0" applyWidthHeightFormats="0"/>
</file>

<file path=xl/queryTables/queryTable10.xml><?xml version="1.0" encoding="utf-8"?>
<queryTable xmlns="http://schemas.openxmlformats.org/spreadsheetml/2006/main" xmlns:mc="http://schemas.openxmlformats.org/markup-compatibility/2006" xmlns:xr16="http://schemas.microsoft.com/office/spreadsheetml/2017/revision16" mc:Ignorable="xr16" name="TNX File_86" connectionId="8" xr16:uid="{00000000-0016-0000-0200-000049000000}" autoFormatId="16" applyNumberFormats="0" applyBorderFormats="0" applyFontFormats="1" applyPatternFormats="1" applyAlignmentFormats="0" applyWidthHeightFormats="0"/>
</file>

<file path=xl/queryTables/queryTable11.xml><?xml version="1.0" encoding="utf-8"?>
<queryTable xmlns="http://schemas.openxmlformats.org/spreadsheetml/2006/main" xmlns:mc="http://schemas.openxmlformats.org/markup-compatibility/2006" xmlns:xr16="http://schemas.microsoft.com/office/spreadsheetml/2017/revision16" mc:Ignorable="xr16" name="TNX File_53" connectionId="9" xr16:uid="{00000000-0016-0000-0200-00000E000000}" autoFormatId="16" applyNumberFormats="0" applyBorderFormats="0" applyFontFormats="1" applyPatternFormats="1" applyAlignmentFormats="0" applyWidthHeightFormats="0"/>
</file>

<file path=xl/queryTables/queryTable12.xml><?xml version="1.0" encoding="utf-8"?>
<queryTable xmlns="http://schemas.openxmlformats.org/spreadsheetml/2006/main" xmlns:mc="http://schemas.openxmlformats.org/markup-compatibility/2006" xmlns:xr16="http://schemas.microsoft.com/office/spreadsheetml/2017/revision16" mc:Ignorable="xr16" name="TNX File_8" connectionId="12" xr16:uid="{00000000-0016-0000-0200-000043000000}" autoFormatId="16" applyNumberFormats="0" applyBorderFormats="0" applyFontFormats="1" applyPatternFormats="1" applyAlignmentFormats="0" applyWidthHeightFormats="0"/>
</file>

<file path=xl/queryTables/queryTable13.xml><?xml version="1.0" encoding="utf-8"?>
<queryTable xmlns="http://schemas.openxmlformats.org/spreadsheetml/2006/main" xmlns:mc="http://schemas.openxmlformats.org/markup-compatibility/2006" xmlns:xr16="http://schemas.microsoft.com/office/spreadsheetml/2017/revision16" mc:Ignorable="xr16" name="TNX File_15" connectionId="1" xr16:uid="{00000000-0016-0000-0200-00000C000000}" autoFormatId="16" applyNumberFormats="0" applyBorderFormats="0" applyFontFormats="1" applyPatternFormats="1" applyAlignmentFormats="0" applyWidthHeightFormats="0"/>
</file>

<file path=xl/queryTables/queryTable14.xml><?xml version="1.0" encoding="utf-8"?>
<queryTable xmlns="http://schemas.openxmlformats.org/spreadsheetml/2006/main" xmlns:mc="http://schemas.openxmlformats.org/markup-compatibility/2006" xmlns:xr16="http://schemas.microsoft.com/office/spreadsheetml/2017/revision16" mc:Ignorable="xr16" name="TNX File" connectionId="14" xr16:uid="{00000000-0016-0000-0200-000053000000}" autoFormatId="16" applyNumberFormats="0" applyBorderFormats="0" applyFontFormats="1" applyPatternFormats="1" applyAlignmentFormats="0" applyWidthHeightFormats="0"/>
</file>

<file path=xl/queryTables/queryTable15.xml><?xml version="1.0" encoding="utf-8"?>
<queryTable xmlns="http://schemas.openxmlformats.org/spreadsheetml/2006/main" xmlns:mc="http://schemas.openxmlformats.org/markup-compatibility/2006" xmlns:xr16="http://schemas.microsoft.com/office/spreadsheetml/2017/revision16" mc:Ignorable="xr16" name="TNX File_34" connectionId="1" xr16:uid="{00000000-0016-0000-0200-00001A000000}" autoFormatId="16" applyNumberFormats="0" applyBorderFormats="0" applyFontFormats="1" applyPatternFormats="1" applyAlignmentFormats="0" applyWidthHeightFormats="0"/>
</file>

<file path=xl/queryTables/queryTable16.xml><?xml version="1.0" encoding="utf-8"?>
<queryTable xmlns="http://schemas.openxmlformats.org/spreadsheetml/2006/main" xmlns:mc="http://schemas.openxmlformats.org/markup-compatibility/2006" xmlns:xr16="http://schemas.microsoft.com/office/spreadsheetml/2017/revision16" mc:Ignorable="xr16" name="TNX File_78" connectionId="6" xr16:uid="{00000000-0016-0000-0200-000040000000}" autoFormatId="16" applyNumberFormats="0" applyBorderFormats="0" applyFontFormats="1" applyPatternFormats="1" applyAlignmentFormats="0" applyWidthHeightFormats="0"/>
</file>

<file path=xl/queryTables/queryTable17.xml><?xml version="1.0" encoding="utf-8"?>
<queryTable xmlns="http://schemas.openxmlformats.org/spreadsheetml/2006/main" xmlns:mc="http://schemas.openxmlformats.org/markup-compatibility/2006" xmlns:xr16="http://schemas.microsoft.com/office/spreadsheetml/2017/revision16" mc:Ignorable="xr16" name="TNX File_46" connectionId="1" xr16:uid="{00000000-0016-0000-0200-000007000000}" autoFormatId="16" applyNumberFormats="0" applyBorderFormats="0" applyFontFormats="1" applyPatternFormats="1" applyAlignmentFormats="0" applyWidthHeightFormats="0"/>
</file>

<file path=xl/queryTables/queryTable18.xml><?xml version="1.0" encoding="utf-8"?>
<queryTable xmlns="http://schemas.openxmlformats.org/spreadsheetml/2006/main" xmlns:mc="http://schemas.openxmlformats.org/markup-compatibility/2006" xmlns:xr16="http://schemas.microsoft.com/office/spreadsheetml/2017/revision16" mc:Ignorable="xr16" name="TNX File_77" connectionId="6" xr16:uid="{00000000-0016-0000-0200-000016000000}" autoFormatId="16" applyNumberFormats="0" applyBorderFormats="0" applyFontFormats="1" applyPatternFormats="1" applyAlignmentFormats="0" applyWidthHeightFormats="0"/>
</file>

<file path=xl/queryTables/queryTable19.xml><?xml version="1.0" encoding="utf-8"?>
<queryTable xmlns="http://schemas.openxmlformats.org/spreadsheetml/2006/main" xmlns:mc="http://schemas.openxmlformats.org/markup-compatibility/2006" xmlns:xr16="http://schemas.microsoft.com/office/spreadsheetml/2017/revision16" mc:Ignorable="xr16" name="TNX File_2" connectionId="12" xr16:uid="{00000000-0016-0000-0200-00000B000000}" autoFormatId="16" applyNumberFormats="0" applyBorderFormats="0" applyFontFormats="1" applyPatternFormats="1" applyAlignmentFormats="0" applyWidthHeightFormats="0"/>
</file>

<file path=xl/queryTables/queryTable20.xml><?xml version="1.0" encoding="utf-8"?>
<queryTable xmlns="http://schemas.openxmlformats.org/spreadsheetml/2006/main" xmlns:mc="http://schemas.openxmlformats.org/markup-compatibility/2006" xmlns:xr16="http://schemas.microsoft.com/office/spreadsheetml/2017/revision16" mc:Ignorable="xr16" name="TNX File_45" connectionId="1" xr16:uid="{00000000-0016-0000-0200-00002D000000}" autoFormatId="16" applyNumberFormats="0" applyBorderFormats="0" applyFontFormats="1" applyPatternFormats="1" applyAlignmentFormats="0" applyWidthHeightFormats="0"/>
</file>

<file path=xl/queryTables/queryTable21.xml><?xml version="1.0" encoding="utf-8"?>
<queryTable xmlns="http://schemas.openxmlformats.org/spreadsheetml/2006/main" xmlns:mc="http://schemas.openxmlformats.org/markup-compatibility/2006" xmlns:xr16="http://schemas.microsoft.com/office/spreadsheetml/2017/revision16" mc:Ignorable="xr16" name="TNX File_20" connectionId="1" xr16:uid="{00000000-0016-0000-0200-000033000000}" autoFormatId="16" applyNumberFormats="0" applyBorderFormats="0" applyFontFormats="1" applyPatternFormats="1" applyAlignmentFormats="0" applyWidthHeightFormats="0"/>
</file>

<file path=xl/queryTables/queryTable22.xml><?xml version="1.0" encoding="utf-8"?>
<queryTable xmlns="http://schemas.openxmlformats.org/spreadsheetml/2006/main" xmlns:mc="http://schemas.openxmlformats.org/markup-compatibility/2006" xmlns:xr16="http://schemas.microsoft.com/office/spreadsheetml/2017/revision16" mc:Ignorable="xr16" name="TNX File_59" connectionId="12" xr16:uid="{00000000-0016-0000-0200-000021000000}" autoFormatId="16" applyNumberFormats="0" applyBorderFormats="0" applyFontFormats="1" applyPatternFormats="1" applyAlignmentFormats="0" applyWidthHeightFormats="0"/>
</file>

<file path=xl/queryTables/queryTable23.xml><?xml version="1.0" encoding="utf-8"?>
<queryTable xmlns="http://schemas.openxmlformats.org/spreadsheetml/2006/main" xmlns:mc="http://schemas.openxmlformats.org/markup-compatibility/2006" xmlns:xr16="http://schemas.microsoft.com/office/spreadsheetml/2017/revision16" mc:Ignorable="xr16" name="TNX File_61" connectionId="12" xr16:uid="{00000000-0016-0000-0200-00001E000000}" autoFormatId="16" applyNumberFormats="0" applyBorderFormats="0" applyFontFormats="1" applyPatternFormats="1" applyAlignmentFormats="0" applyWidthHeightFormats="0"/>
</file>

<file path=xl/queryTables/queryTable24.xml><?xml version="1.0" encoding="utf-8"?>
<queryTable xmlns="http://schemas.openxmlformats.org/spreadsheetml/2006/main" xmlns:mc="http://schemas.openxmlformats.org/markup-compatibility/2006" xmlns:xr16="http://schemas.microsoft.com/office/spreadsheetml/2017/revision16" mc:Ignorable="xr16" name="TNX File_3" connectionId="14" xr16:uid="{00000000-0016-0000-0200-000022000000}" autoFormatId="16" applyNumberFormats="0" applyBorderFormats="0" applyFontFormats="1" applyPatternFormats="1" applyAlignmentFormats="0" applyWidthHeightFormats="0"/>
</file>

<file path=xl/queryTables/queryTable25.xml><?xml version="1.0" encoding="utf-8"?>
<queryTable xmlns="http://schemas.openxmlformats.org/spreadsheetml/2006/main" xmlns:mc="http://schemas.openxmlformats.org/markup-compatibility/2006" xmlns:xr16="http://schemas.microsoft.com/office/spreadsheetml/2017/revision16" mc:Ignorable="xr16" name="TNX File_39" connectionId="1" xr16:uid="{00000000-0016-0000-0200-00003E000000}" autoFormatId="16" applyNumberFormats="0" applyBorderFormats="0" applyFontFormats="1" applyPatternFormats="1" applyAlignmentFormats="0" applyWidthHeightFormats="0"/>
</file>

<file path=xl/queryTables/queryTable26.xml><?xml version="1.0" encoding="utf-8"?>
<queryTable xmlns="http://schemas.openxmlformats.org/spreadsheetml/2006/main" xmlns:mc="http://schemas.openxmlformats.org/markup-compatibility/2006" xmlns:xr16="http://schemas.microsoft.com/office/spreadsheetml/2017/revision16" mc:Ignorable="xr16" name="TNX File_43" connectionId="1" xr16:uid="{00000000-0016-0000-0200-00001B000000}" autoFormatId="16" applyNumberFormats="0" applyBorderFormats="0" applyFontFormats="1" applyPatternFormats="1" applyAlignmentFormats="0" applyWidthHeightFormats="0"/>
</file>

<file path=xl/queryTables/queryTable27.xml><?xml version="1.0" encoding="utf-8"?>
<queryTable xmlns="http://schemas.openxmlformats.org/spreadsheetml/2006/main" xmlns:mc="http://schemas.openxmlformats.org/markup-compatibility/2006" xmlns:xr16="http://schemas.microsoft.com/office/spreadsheetml/2017/revision16" mc:Ignorable="xr16" name="TNX File_17" connectionId="1" xr16:uid="{00000000-0016-0000-0200-000002000000}" autoFormatId="16" applyNumberFormats="0" applyBorderFormats="0" applyFontFormats="1" applyPatternFormats="1" applyAlignmentFormats="0" applyWidthHeightFormats="0"/>
</file>

<file path=xl/queryTables/queryTable28.xml><?xml version="1.0" encoding="utf-8"?>
<queryTable xmlns="http://schemas.openxmlformats.org/spreadsheetml/2006/main" xmlns:mc="http://schemas.openxmlformats.org/markup-compatibility/2006" xmlns:xr16="http://schemas.microsoft.com/office/spreadsheetml/2017/revision16" mc:Ignorable="xr16" name="TNX File_11" connectionId="12" xr16:uid="{00000000-0016-0000-0200-00001C000000}" autoFormatId="16" applyNumberFormats="0" applyBorderFormats="0" applyFontFormats="1" applyPatternFormats="1" applyAlignmentFormats="0" applyWidthHeightFormats="0"/>
</file>

<file path=xl/queryTables/queryTable29.xml><?xml version="1.0" encoding="utf-8"?>
<queryTable xmlns="http://schemas.openxmlformats.org/spreadsheetml/2006/main" xmlns:mc="http://schemas.openxmlformats.org/markup-compatibility/2006" xmlns:xr16="http://schemas.microsoft.com/office/spreadsheetml/2017/revision16" mc:Ignorable="xr16" name="TNX File_51" connectionId="1" xr16:uid="{00000000-0016-0000-0200-00000D000000}" autoFormatId="16" applyNumberFormats="0" applyBorderFormats="0" applyFontFormats="1" applyPatternFormats="1" applyAlignmentFormats="0" applyWidthHeightFormats="0"/>
</file>

<file path=xl/queryTables/queryTable30.xml><?xml version="1.0" encoding="utf-8"?>
<queryTable xmlns="http://schemas.openxmlformats.org/spreadsheetml/2006/main" xmlns:mc="http://schemas.openxmlformats.org/markup-compatibility/2006" xmlns:xr16="http://schemas.microsoft.com/office/spreadsheetml/2017/revision16" mc:Ignorable="xr16" name="TNX File_49" connectionId="1" xr16:uid="{00000000-0016-0000-0200-000048000000}" autoFormatId="16" applyNumberFormats="0" applyBorderFormats="0" applyFontFormats="1" applyPatternFormats="1" applyAlignmentFormats="0" applyWidthHeightFormats="0"/>
</file>

<file path=xl/queryTables/queryTable31.xml><?xml version="1.0" encoding="utf-8"?>
<queryTable xmlns="http://schemas.openxmlformats.org/spreadsheetml/2006/main" xmlns:mc="http://schemas.openxmlformats.org/markup-compatibility/2006" xmlns:xr16="http://schemas.microsoft.com/office/spreadsheetml/2017/revision16" mc:Ignorable="xr16" name="TNX File_33" connectionId="2" xr16:uid="{00000000-0016-0000-0200-000026000000}" autoFormatId="16" applyNumberFormats="0" applyBorderFormats="0" applyFontFormats="1" applyPatternFormats="1" applyAlignmentFormats="0" applyWidthHeightFormats="0"/>
</file>

<file path=xl/queryTables/queryTable32.xml><?xml version="1.0" encoding="utf-8"?>
<queryTable xmlns="http://schemas.openxmlformats.org/spreadsheetml/2006/main" xmlns:mc="http://schemas.openxmlformats.org/markup-compatibility/2006" xmlns:xr16="http://schemas.microsoft.com/office/spreadsheetml/2017/revision16" mc:Ignorable="xr16" name="TNX File_68" connectionId="9" xr16:uid="{00000000-0016-0000-0200-000005000000}" autoFormatId="16" applyNumberFormats="0" applyBorderFormats="0" applyFontFormats="1" applyPatternFormats="1" applyAlignmentFormats="0" applyWidthHeightFormats="0"/>
</file>

<file path=xl/queryTables/queryTable33.xml><?xml version="1.0" encoding="utf-8"?>
<queryTable xmlns="http://schemas.openxmlformats.org/spreadsheetml/2006/main" xmlns:mc="http://schemas.openxmlformats.org/markup-compatibility/2006" xmlns:xr16="http://schemas.microsoft.com/office/spreadsheetml/2017/revision16" mc:Ignorable="xr16" name="TNX File_90" connectionId="5" xr16:uid="{00000000-0016-0000-0200-000047000000}" autoFormatId="16" applyNumberFormats="0" applyBorderFormats="0" applyFontFormats="1" applyPatternFormats="1" applyAlignmentFormats="0" applyWidthHeightFormats="0"/>
</file>

<file path=xl/queryTables/queryTable34.xml><?xml version="1.0" encoding="utf-8"?>
<queryTable xmlns="http://schemas.openxmlformats.org/spreadsheetml/2006/main" xmlns:mc="http://schemas.openxmlformats.org/markup-compatibility/2006" xmlns:xr16="http://schemas.microsoft.com/office/spreadsheetml/2017/revision16" mc:Ignorable="xr16" name="TNX File_48" connectionId="1" xr16:uid="{00000000-0016-0000-0200-000035000000}" autoFormatId="16" applyNumberFormats="0" applyBorderFormats="0" applyFontFormats="1" applyPatternFormats="1" applyAlignmentFormats="0" applyWidthHeightFormats="0"/>
</file>

<file path=xl/queryTables/queryTable35.xml><?xml version="1.0" encoding="utf-8"?>
<queryTable xmlns="http://schemas.openxmlformats.org/spreadsheetml/2006/main" xmlns:mc="http://schemas.openxmlformats.org/markup-compatibility/2006" xmlns:xr16="http://schemas.microsoft.com/office/spreadsheetml/2017/revision16" mc:Ignorable="xr16" name="TNX File_9" connectionId="13" xr16:uid="{00000000-0016-0000-0200-000006000000}" autoFormatId="16" applyNumberFormats="0" applyBorderFormats="0" applyFontFormats="1" applyPatternFormats="1" applyAlignmentFormats="0" applyWidthHeightFormats="0"/>
</file>

<file path=xl/queryTables/queryTable36.xml><?xml version="1.0" encoding="utf-8"?>
<queryTable xmlns="http://schemas.openxmlformats.org/spreadsheetml/2006/main" xmlns:mc="http://schemas.openxmlformats.org/markup-compatibility/2006" xmlns:xr16="http://schemas.microsoft.com/office/spreadsheetml/2017/revision16" mc:Ignorable="xr16" name="TNX File_72" connectionId="5" xr16:uid="{00000000-0016-0000-0200-000028000000}" autoFormatId="16" applyNumberFormats="0" applyBorderFormats="0" applyFontFormats="1" applyPatternFormats="1" applyAlignmentFormats="0" applyWidthHeightFormats="0"/>
</file>

<file path=xl/queryTables/queryTable37.xml><?xml version="1.0" encoding="utf-8"?>
<queryTable xmlns="http://schemas.openxmlformats.org/spreadsheetml/2006/main" xmlns:mc="http://schemas.openxmlformats.org/markup-compatibility/2006" xmlns:xr16="http://schemas.microsoft.com/office/spreadsheetml/2017/revision16" mc:Ignorable="xr16" name="TNX File_37" connectionId="1" xr16:uid="{00000000-0016-0000-0200-00002E000000}" autoFormatId="16" applyNumberFormats="0" applyBorderFormats="0" applyFontFormats="1" applyPatternFormats="1" applyAlignmentFormats="0" applyWidthHeightFormats="0"/>
</file>

<file path=xl/queryTables/queryTable38.xml><?xml version="1.0" encoding="utf-8"?>
<queryTable xmlns="http://schemas.openxmlformats.org/spreadsheetml/2006/main" xmlns:mc="http://schemas.openxmlformats.org/markup-compatibility/2006" xmlns:xr16="http://schemas.microsoft.com/office/spreadsheetml/2017/revision16" mc:Ignorable="xr16" name="TNX File_54" connectionId="9" xr16:uid="{00000000-0016-0000-0200-00004D000000}" autoFormatId="16" applyNumberFormats="0" applyBorderFormats="0" applyFontFormats="1" applyPatternFormats="1" applyAlignmentFormats="0" applyWidthHeightFormats="0"/>
</file>

<file path=xl/queryTables/queryTable39.xml><?xml version="1.0" encoding="utf-8"?>
<queryTable xmlns="http://schemas.openxmlformats.org/spreadsheetml/2006/main" xmlns:mc="http://schemas.openxmlformats.org/markup-compatibility/2006" xmlns:xr16="http://schemas.microsoft.com/office/spreadsheetml/2017/revision16" mc:Ignorable="xr16" name="TNX File_13" connectionId="12" xr16:uid="{00000000-0016-0000-0200-00003D000000}" autoFormatId="16" applyNumberFormats="0" applyBorderFormats="0" applyFontFormats="1" applyPatternFormats="1" applyAlignmentFormats="0" applyWidthHeightFormats="0"/>
</file>

<file path=xl/queryTables/queryTable40.xml><?xml version="1.0" encoding="utf-8"?>
<queryTable xmlns="http://schemas.openxmlformats.org/spreadsheetml/2006/main" xmlns:mc="http://schemas.openxmlformats.org/markup-compatibility/2006" xmlns:xr16="http://schemas.microsoft.com/office/spreadsheetml/2017/revision16" mc:Ignorable="xr16" name="TNX File_76" connectionId="3" xr16:uid="{00000000-0016-0000-0200-000012000000}" autoFormatId="16" applyNumberFormats="0" applyBorderFormats="0" applyFontFormats="1" applyPatternFormats="1" applyAlignmentFormats="0" applyWidthHeightFormats="0"/>
</file>

<file path=xl/queryTables/queryTable41.xml><?xml version="1.0" encoding="utf-8"?>
<queryTable xmlns="http://schemas.openxmlformats.org/spreadsheetml/2006/main" xmlns:mc="http://schemas.openxmlformats.org/markup-compatibility/2006" xmlns:xr16="http://schemas.microsoft.com/office/spreadsheetml/2017/revision16" mc:Ignorable="xr16" name="TNX File_69" connectionId="9" xr16:uid="{00000000-0016-0000-0200-00005A000000}" autoFormatId="16" applyNumberFormats="0" applyBorderFormats="0" applyFontFormats="1" applyPatternFormats="1" applyAlignmentFormats="0" applyWidthHeightFormats="0"/>
</file>

<file path=xl/queryTables/queryTable42.xml><?xml version="1.0" encoding="utf-8"?>
<queryTable xmlns="http://schemas.openxmlformats.org/spreadsheetml/2006/main" xmlns:mc="http://schemas.openxmlformats.org/markup-compatibility/2006" xmlns:xr16="http://schemas.microsoft.com/office/spreadsheetml/2017/revision16" mc:Ignorable="xr16" name="TNX File_35" connectionId="1" xr16:uid="{00000000-0016-0000-0200-000032000000}" autoFormatId="16" applyNumberFormats="0" applyBorderFormats="0" applyFontFormats="1" applyPatternFormats="1" applyAlignmentFormats="0" applyWidthHeightFormats="0"/>
</file>

<file path=xl/queryTables/queryTable43.xml><?xml version="1.0" encoding="utf-8"?>
<queryTable xmlns="http://schemas.openxmlformats.org/spreadsheetml/2006/main" xmlns:mc="http://schemas.openxmlformats.org/markup-compatibility/2006" xmlns:xr16="http://schemas.microsoft.com/office/spreadsheetml/2017/revision16" mc:Ignorable="xr16" name="TNX File_12" connectionId="13" xr16:uid="{00000000-0016-0000-0200-000057000000}" autoFormatId="16" applyNumberFormats="0" applyBorderFormats="0" applyFontFormats="1" applyPatternFormats="1" applyAlignmentFormats="0" applyWidthHeightFormats="0"/>
</file>

<file path=xl/queryTables/queryTable44.xml><?xml version="1.0" encoding="utf-8"?>
<queryTable xmlns="http://schemas.openxmlformats.org/spreadsheetml/2006/main" xmlns:mc="http://schemas.openxmlformats.org/markup-compatibility/2006" xmlns:xr16="http://schemas.microsoft.com/office/spreadsheetml/2017/revision16" mc:Ignorable="xr16" name="TNX File_50" connectionId="1" xr16:uid="{00000000-0016-0000-0200-000015000000}" autoFormatId="16" applyNumberFormats="0" applyBorderFormats="0" applyFontFormats="1" applyPatternFormats="1" applyAlignmentFormats="0" applyWidthHeightFormats="0"/>
</file>

<file path=xl/queryTables/queryTable45.xml><?xml version="1.0" encoding="utf-8"?>
<queryTable xmlns="http://schemas.openxmlformats.org/spreadsheetml/2006/main" xmlns:mc="http://schemas.openxmlformats.org/markup-compatibility/2006" xmlns:xr16="http://schemas.microsoft.com/office/spreadsheetml/2017/revision16" mc:Ignorable="xr16" name="TNX File_66" connectionId="9" xr16:uid="{00000000-0016-0000-0200-000020000000}" autoFormatId="16" applyNumberFormats="0" applyBorderFormats="0" applyFontFormats="1" applyPatternFormats="1" applyAlignmentFormats="0" applyWidthHeightFormats="0"/>
</file>

<file path=xl/queryTables/queryTable46.xml><?xml version="1.0" encoding="utf-8"?>
<queryTable xmlns="http://schemas.openxmlformats.org/spreadsheetml/2006/main" xmlns:mc="http://schemas.openxmlformats.org/markup-compatibility/2006" xmlns:xr16="http://schemas.microsoft.com/office/spreadsheetml/2017/revision16" mc:Ignorable="xr16" name="TNX File_24" connectionId="1" xr16:uid="{00000000-0016-0000-0200-00005B000000}" autoFormatId="16" applyNumberFormats="0" applyBorderFormats="0" applyFontFormats="1" applyPatternFormats="1" applyAlignmentFormats="0" applyWidthHeightFormats="0"/>
</file>

<file path=xl/queryTables/queryTable47.xml><?xml version="1.0" encoding="utf-8"?>
<queryTable xmlns="http://schemas.openxmlformats.org/spreadsheetml/2006/main" xmlns:mc="http://schemas.openxmlformats.org/markup-compatibility/2006" xmlns:xr16="http://schemas.microsoft.com/office/spreadsheetml/2017/revision16" mc:Ignorable="xr16" name="TNX File_70" connectionId="5" xr16:uid="{00000000-0016-0000-0200-000052000000}" autoFormatId="16" applyNumberFormats="0" applyBorderFormats="0" applyFontFormats="1" applyPatternFormats="1" applyAlignmentFormats="0" applyWidthHeightFormats="0"/>
</file>

<file path=xl/queryTables/queryTable48.xml><?xml version="1.0" encoding="utf-8"?>
<queryTable xmlns="http://schemas.openxmlformats.org/spreadsheetml/2006/main" xmlns:mc="http://schemas.openxmlformats.org/markup-compatibility/2006" xmlns:xr16="http://schemas.microsoft.com/office/spreadsheetml/2017/revision16" mc:Ignorable="xr16" name="TNX File_73" connectionId="5" xr16:uid="{00000000-0016-0000-0200-000056000000}" autoFormatId="16" applyNumberFormats="0" applyBorderFormats="0" applyFontFormats="1" applyPatternFormats="1" applyAlignmentFormats="0" applyWidthHeightFormats="0"/>
</file>

<file path=xl/queryTables/queryTable49.xml><?xml version="1.0" encoding="utf-8"?>
<queryTable xmlns="http://schemas.openxmlformats.org/spreadsheetml/2006/main" xmlns:mc="http://schemas.openxmlformats.org/markup-compatibility/2006" xmlns:xr16="http://schemas.microsoft.com/office/spreadsheetml/2017/revision16" mc:Ignorable="xr16" name="TNX File_65" connectionId="9" xr16:uid="{00000000-0016-0000-0200-00004A000000}" autoFormatId="16" applyNumberFormats="0" applyBorderFormats="0" applyFontFormats="1" applyPatternFormats="1" applyAlignmentFormats="0" applyWidthHeightFormats="0"/>
</file>

<file path=xl/queryTables/queryTable50.xml><?xml version="1.0" encoding="utf-8"?>
<queryTable xmlns="http://schemas.openxmlformats.org/spreadsheetml/2006/main" xmlns:mc="http://schemas.openxmlformats.org/markup-compatibility/2006" xmlns:xr16="http://schemas.microsoft.com/office/spreadsheetml/2017/revision16" mc:Ignorable="xr16" name="TNX File_67" connectionId="10" xr16:uid="{00000000-0016-0000-0200-000058000000}" autoFormatId="16" applyNumberFormats="0" applyBorderFormats="0" applyFontFormats="1" applyPatternFormats="1" applyAlignmentFormats="0" applyWidthHeightFormats="0"/>
</file>

<file path=xl/queryTables/queryTable51.xml><?xml version="1.0" encoding="utf-8"?>
<queryTable xmlns="http://schemas.openxmlformats.org/spreadsheetml/2006/main" xmlns:mc="http://schemas.openxmlformats.org/markup-compatibility/2006" xmlns:xr16="http://schemas.microsoft.com/office/spreadsheetml/2017/revision16" mc:Ignorable="xr16" name="TNX File_55" connectionId="9" xr16:uid="{00000000-0016-0000-0200-00001F000000}" autoFormatId="16" applyNumberFormats="0" applyBorderFormats="0" applyFontFormats="1" applyPatternFormats="1" applyAlignmentFormats="0" applyWidthHeightFormats="0"/>
</file>

<file path=xl/queryTables/queryTable52.xml><?xml version="1.0" encoding="utf-8"?>
<queryTable xmlns="http://schemas.openxmlformats.org/spreadsheetml/2006/main" xmlns:mc="http://schemas.openxmlformats.org/markup-compatibility/2006" xmlns:xr16="http://schemas.microsoft.com/office/spreadsheetml/2017/revision16" mc:Ignorable="xr16" name="TNX File_44" connectionId="1" xr16:uid="{00000000-0016-0000-0200-000041000000}" autoFormatId="16" applyNumberFormats="0" applyBorderFormats="0" applyFontFormats="1" applyPatternFormats="1" applyAlignmentFormats="0" applyWidthHeightFormats="0"/>
</file>

<file path=xl/queryTables/queryTable53.xml><?xml version="1.0" encoding="utf-8"?>
<queryTable xmlns="http://schemas.openxmlformats.org/spreadsheetml/2006/main" xmlns:mc="http://schemas.openxmlformats.org/markup-compatibility/2006" xmlns:xr16="http://schemas.microsoft.com/office/spreadsheetml/2017/revision16" mc:Ignorable="xr16" name="TNX File_64" connectionId="1" xr16:uid="{00000000-0016-0000-0200-00004B000000}" autoFormatId="16" applyNumberFormats="0" applyBorderFormats="0" applyFontFormats="1" applyPatternFormats="1" applyAlignmentFormats="0" applyWidthHeightFormats="0"/>
</file>

<file path=xl/queryTables/queryTable54.xml><?xml version="1.0" encoding="utf-8"?>
<queryTable xmlns="http://schemas.openxmlformats.org/spreadsheetml/2006/main" xmlns:mc="http://schemas.openxmlformats.org/markup-compatibility/2006" xmlns:xr16="http://schemas.microsoft.com/office/spreadsheetml/2017/revision16" mc:Ignorable="xr16" name="TNX File_47" connectionId="1" xr16:uid="{00000000-0016-0000-0200-00004C000000}" autoFormatId="16" applyNumberFormats="0" applyBorderFormats="0" applyFontFormats="1" applyPatternFormats="1" applyAlignmentFormats="0" applyWidthHeightFormats="0"/>
</file>

<file path=xl/queryTables/queryTable55.xml><?xml version="1.0" encoding="utf-8"?>
<queryTable xmlns="http://schemas.openxmlformats.org/spreadsheetml/2006/main" xmlns:mc="http://schemas.openxmlformats.org/markup-compatibility/2006" xmlns:xr16="http://schemas.microsoft.com/office/spreadsheetml/2017/revision16" mc:Ignorable="xr16" name="TNX File_5" connectionId="12" xr16:uid="{00000000-0016-0000-0200-000014000000}" autoFormatId="16" applyNumberFormats="0" applyBorderFormats="0" applyFontFormats="1" applyPatternFormats="1" applyAlignmentFormats="0" applyWidthHeightFormats="0"/>
</file>

<file path=xl/queryTables/queryTable56.xml><?xml version="1.0" encoding="utf-8"?>
<queryTable xmlns="http://schemas.openxmlformats.org/spreadsheetml/2006/main" xmlns:mc="http://schemas.openxmlformats.org/markup-compatibility/2006" xmlns:xr16="http://schemas.microsoft.com/office/spreadsheetml/2017/revision16" mc:Ignorable="xr16" name="TNX File_84" connectionId="7" xr16:uid="{00000000-0016-0000-0200-000001000000}" autoFormatId="16" applyNumberFormats="0" applyBorderFormats="0" applyFontFormats="1" applyPatternFormats="1" applyAlignmentFormats="0" applyWidthHeightFormats="0"/>
</file>

<file path=xl/queryTables/queryTable57.xml><?xml version="1.0" encoding="utf-8"?>
<queryTable xmlns="http://schemas.openxmlformats.org/spreadsheetml/2006/main" xmlns:mc="http://schemas.openxmlformats.org/markup-compatibility/2006" xmlns:xr16="http://schemas.microsoft.com/office/spreadsheetml/2017/revision16" mc:Ignorable="xr16" name="TNX File_16" connectionId="1" xr16:uid="{00000000-0016-0000-0200-000051000000}" autoFormatId="16" applyNumberFormats="0" applyBorderFormats="0" applyFontFormats="1" applyPatternFormats="1" applyAlignmentFormats="0" applyWidthHeightFormats="0"/>
</file>

<file path=xl/queryTables/queryTable58.xml><?xml version="1.0" encoding="utf-8"?>
<queryTable xmlns="http://schemas.openxmlformats.org/spreadsheetml/2006/main" xmlns:mc="http://schemas.openxmlformats.org/markup-compatibility/2006" xmlns:xr16="http://schemas.microsoft.com/office/spreadsheetml/2017/revision16" mc:Ignorable="xr16" name="TNX File_4" connectionId="13" xr16:uid="{00000000-0016-0000-0200-000019000000}" autoFormatId="16" applyNumberFormats="0" applyBorderFormats="0" applyFontFormats="1" applyPatternFormats="1" applyAlignmentFormats="0" applyWidthHeightFormats="0"/>
</file>

<file path=xl/queryTables/queryTable59.xml><?xml version="1.0" encoding="utf-8"?>
<queryTable xmlns="http://schemas.openxmlformats.org/spreadsheetml/2006/main" xmlns:mc="http://schemas.openxmlformats.org/markup-compatibility/2006" xmlns:xr16="http://schemas.microsoft.com/office/spreadsheetml/2017/revision16" mc:Ignorable="xr16" name="TNX File_74" connectionId="5" xr16:uid="{00000000-0016-0000-0200-00002B000000}" autoFormatId="16" applyNumberFormats="0" applyBorderFormats="0" applyFontFormats="1" applyPatternFormats="1" applyAlignmentFormats="0" applyWidthHeightFormats="0"/>
</file>

<file path=xl/queryTables/queryTable60.xml><?xml version="1.0" encoding="utf-8"?>
<queryTable xmlns="http://schemas.openxmlformats.org/spreadsheetml/2006/main" xmlns:mc="http://schemas.openxmlformats.org/markup-compatibility/2006" xmlns:xr16="http://schemas.microsoft.com/office/spreadsheetml/2017/revision16" mc:Ignorable="xr16" name="TNX File_21" connectionId="1" xr16:uid="{00000000-0016-0000-0200-000003000000}" autoFormatId="16" applyNumberFormats="0" applyBorderFormats="0" applyFontFormats="1" applyPatternFormats="1" applyAlignmentFormats="0" applyWidthHeightFormats="0"/>
</file>

<file path=xl/queryTables/queryTable61.xml><?xml version="1.0" encoding="utf-8"?>
<queryTable xmlns="http://schemas.openxmlformats.org/spreadsheetml/2006/main" xmlns:mc="http://schemas.openxmlformats.org/markup-compatibility/2006" xmlns:xr16="http://schemas.microsoft.com/office/spreadsheetml/2017/revision16" mc:Ignorable="xr16" name="TNX File_25" connectionId="1" xr16:uid="{00000000-0016-0000-0200-000036000000}" autoFormatId="16" applyNumberFormats="0" applyBorderFormats="0" applyFontFormats="1" applyPatternFormats="1" applyAlignmentFormats="0" applyWidthHeightFormats="0"/>
</file>

<file path=xl/queryTables/queryTable62.xml><?xml version="1.0" encoding="utf-8"?>
<queryTable xmlns="http://schemas.openxmlformats.org/spreadsheetml/2006/main" xmlns:mc="http://schemas.openxmlformats.org/markup-compatibility/2006" xmlns:xr16="http://schemas.microsoft.com/office/spreadsheetml/2017/revision16" mc:Ignorable="xr16" name="TNX File_26" connectionId="1" xr16:uid="{00000000-0016-0000-0200-000000000000}" autoFormatId="16" applyNumberFormats="0" applyBorderFormats="0" applyFontFormats="1" applyPatternFormats="1" applyAlignmentFormats="0" applyWidthHeightFormats="0"/>
</file>

<file path=xl/queryTables/queryTable63.xml><?xml version="1.0" encoding="utf-8"?>
<queryTable xmlns="http://schemas.openxmlformats.org/spreadsheetml/2006/main" xmlns:mc="http://schemas.openxmlformats.org/markup-compatibility/2006" xmlns:xr16="http://schemas.microsoft.com/office/spreadsheetml/2017/revision16" mc:Ignorable="xr16" name="TNX File_10" connectionId="13" xr16:uid="{00000000-0016-0000-0200-000013000000}" autoFormatId="16" applyNumberFormats="0" applyBorderFormats="0" applyFontFormats="1" applyPatternFormats="1" applyAlignmentFormats="0" applyWidthHeightFormats="0"/>
</file>

<file path=xl/queryTables/queryTable64.xml><?xml version="1.0" encoding="utf-8"?>
<queryTable xmlns="http://schemas.openxmlformats.org/spreadsheetml/2006/main" xmlns:mc="http://schemas.openxmlformats.org/markup-compatibility/2006" xmlns:xr16="http://schemas.microsoft.com/office/spreadsheetml/2017/revision16" mc:Ignorable="xr16" name="TNX File_83" connectionId="7" xr16:uid="{00000000-0016-0000-0200-000039000000}" autoFormatId="16" applyNumberFormats="0" applyBorderFormats="0" applyFontFormats="1" applyPatternFormats="1" applyAlignmentFormats="0" applyWidthHeightFormats="0"/>
</file>

<file path=xl/queryTables/queryTable65.xml><?xml version="1.0" encoding="utf-8"?>
<queryTable xmlns="http://schemas.openxmlformats.org/spreadsheetml/2006/main" xmlns:mc="http://schemas.openxmlformats.org/markup-compatibility/2006" xmlns:xr16="http://schemas.microsoft.com/office/spreadsheetml/2017/revision16" mc:Ignorable="xr16" name="TNX File_52" connectionId="9" xr16:uid="{00000000-0016-0000-0200-00002C000000}" autoFormatId="16" applyNumberFormats="0" applyBorderFormats="0" applyFontFormats="1" applyPatternFormats="1" applyAlignmentFormats="0" applyWidthHeightFormats="0"/>
</file>

<file path=xl/queryTables/queryTable66.xml><?xml version="1.0" encoding="utf-8"?>
<queryTable xmlns="http://schemas.openxmlformats.org/spreadsheetml/2006/main" xmlns:mc="http://schemas.openxmlformats.org/markup-compatibility/2006" xmlns:xr16="http://schemas.microsoft.com/office/spreadsheetml/2017/revision16" mc:Ignorable="xr16" name="TNX File_63" connectionId="12" xr16:uid="{00000000-0016-0000-0200-00002F000000}" autoFormatId="16" applyNumberFormats="0" applyBorderFormats="0" applyFontFormats="1" applyPatternFormats="1" applyAlignmentFormats="0" applyWidthHeightFormats="0"/>
</file>

<file path=xl/queryTables/queryTable67.xml><?xml version="1.0" encoding="utf-8"?>
<queryTable xmlns="http://schemas.openxmlformats.org/spreadsheetml/2006/main" xmlns:mc="http://schemas.openxmlformats.org/markup-compatibility/2006" xmlns:xr16="http://schemas.microsoft.com/office/spreadsheetml/2017/revision16" mc:Ignorable="xr16" name="TNX File_81" connectionId="7" xr16:uid="{00000000-0016-0000-0200-000045000000}" autoFormatId="16" applyNumberFormats="0" applyBorderFormats="0" applyFontFormats="1" applyPatternFormats="1" applyAlignmentFormats="0" applyWidthHeightFormats="0"/>
</file>

<file path=xl/queryTables/queryTable68.xml><?xml version="1.0" encoding="utf-8"?>
<queryTable xmlns="http://schemas.openxmlformats.org/spreadsheetml/2006/main" xmlns:mc="http://schemas.openxmlformats.org/markup-compatibility/2006" xmlns:xr16="http://schemas.microsoft.com/office/spreadsheetml/2017/revision16" mc:Ignorable="xr16" name="TNX File_30" connectionId="1" xr16:uid="{00000000-0016-0000-0200-000008000000}" autoFormatId="16" applyNumberFormats="0" applyBorderFormats="0" applyFontFormats="1" applyPatternFormats="1" applyAlignmentFormats="0" applyWidthHeightFormats="0"/>
</file>

<file path=xl/queryTables/queryTable69.xml><?xml version="1.0" encoding="utf-8"?>
<queryTable xmlns="http://schemas.openxmlformats.org/spreadsheetml/2006/main" xmlns:mc="http://schemas.openxmlformats.org/markup-compatibility/2006" xmlns:xr16="http://schemas.microsoft.com/office/spreadsheetml/2017/revision16" mc:Ignorable="xr16" name="TNX File_22" connectionId="1" xr16:uid="{00000000-0016-0000-0200-000017000000}" autoFormatId="16" applyNumberFormats="0" applyBorderFormats="0" applyFontFormats="1" applyPatternFormats="1" applyAlignmentFormats="0" applyWidthHeightFormats="0"/>
</file>

<file path=xl/queryTables/queryTable70.xml><?xml version="1.0" encoding="utf-8"?>
<queryTable xmlns="http://schemas.openxmlformats.org/spreadsheetml/2006/main" xmlns:mc="http://schemas.openxmlformats.org/markup-compatibility/2006" xmlns:xr16="http://schemas.microsoft.com/office/spreadsheetml/2017/revision16" mc:Ignorable="xr16" name="TNX File_91" connectionId="11" xr16:uid="{00000000-0016-0000-0200-000009000000}" autoFormatId="16" applyNumberFormats="0" applyBorderFormats="0" applyFontFormats="1" applyPatternFormats="1" applyAlignmentFormats="0" applyWidthHeightFormats="0"/>
</file>

<file path=xl/queryTables/queryTable71.xml><?xml version="1.0" encoding="utf-8"?>
<queryTable xmlns="http://schemas.openxmlformats.org/spreadsheetml/2006/main" xmlns:mc="http://schemas.openxmlformats.org/markup-compatibility/2006" xmlns:xr16="http://schemas.microsoft.com/office/spreadsheetml/2017/revision16" mc:Ignorable="xr16" name="TNX File_71" connectionId="5" xr16:uid="{00000000-0016-0000-0200-00000F000000}" autoFormatId="16" applyNumberFormats="0" applyBorderFormats="0" applyFontFormats="1" applyPatternFormats="1" applyAlignmentFormats="0" applyWidthHeightFormats="0"/>
</file>

<file path=xl/queryTables/queryTable72.xml><?xml version="1.0" encoding="utf-8"?>
<queryTable xmlns="http://schemas.openxmlformats.org/spreadsheetml/2006/main" xmlns:mc="http://schemas.openxmlformats.org/markup-compatibility/2006" xmlns:xr16="http://schemas.microsoft.com/office/spreadsheetml/2017/revision16" mc:Ignorable="xr16" name="TNX File_23" connectionId="1" xr16:uid="{00000000-0016-0000-0200-000010000000}" autoFormatId="16" applyNumberFormats="0" applyBorderFormats="0" applyFontFormats="1" applyPatternFormats="1" applyAlignmentFormats="0" applyWidthHeightFormats="0"/>
</file>

<file path=xl/queryTables/queryTable73.xml><?xml version="1.0" encoding="utf-8"?>
<queryTable xmlns="http://schemas.openxmlformats.org/spreadsheetml/2006/main" xmlns:mc="http://schemas.openxmlformats.org/markup-compatibility/2006" xmlns:xr16="http://schemas.microsoft.com/office/spreadsheetml/2017/revision16" mc:Ignorable="xr16" name="TNX File_27" connectionId="1" xr16:uid="{00000000-0016-0000-0200-000050000000}" autoFormatId="16" applyNumberFormats="0" applyBorderFormats="0" applyFontFormats="1" applyPatternFormats="1" applyAlignmentFormats="0" applyWidthHeightFormats="0"/>
</file>

<file path=xl/queryTables/queryTable74.xml><?xml version="1.0" encoding="utf-8"?>
<queryTable xmlns="http://schemas.openxmlformats.org/spreadsheetml/2006/main" xmlns:mc="http://schemas.openxmlformats.org/markup-compatibility/2006" xmlns:xr16="http://schemas.microsoft.com/office/spreadsheetml/2017/revision16" mc:Ignorable="xr16" name="TNX File_19" connectionId="1" xr16:uid="{00000000-0016-0000-0200-000038000000}" autoFormatId="16" applyNumberFormats="0" applyBorderFormats="0" applyFontFormats="1" applyPatternFormats="1" applyAlignmentFormats="0" applyWidthHeightFormats="0"/>
</file>

<file path=xl/queryTables/queryTable75.xml><?xml version="1.0" encoding="utf-8"?>
<queryTable xmlns="http://schemas.openxmlformats.org/spreadsheetml/2006/main" xmlns:mc="http://schemas.openxmlformats.org/markup-compatibility/2006" xmlns:xr16="http://schemas.microsoft.com/office/spreadsheetml/2017/revision16" mc:Ignorable="xr16" name="TNX File_75" connectionId="5" xr16:uid="{00000000-0016-0000-0200-000034000000}" autoFormatId="16" applyNumberFormats="0" applyBorderFormats="0" applyFontFormats="1" applyPatternFormats="1" applyAlignmentFormats="0" applyWidthHeightFormats="0"/>
</file>

<file path=xl/queryTables/queryTable76.xml><?xml version="1.0" encoding="utf-8"?>
<queryTable xmlns="http://schemas.openxmlformats.org/spreadsheetml/2006/main" xmlns:mc="http://schemas.openxmlformats.org/markup-compatibility/2006" xmlns:xr16="http://schemas.microsoft.com/office/spreadsheetml/2017/revision16" mc:Ignorable="xr16" name="TNX File_58" connectionId="12" xr16:uid="{00000000-0016-0000-0200-000018000000}" autoFormatId="16" applyNumberFormats="0" applyBorderFormats="0" applyFontFormats="1" applyPatternFormats="1" applyAlignmentFormats="0" applyWidthHeightFormats="0"/>
</file>

<file path=xl/queryTables/queryTable77.xml><?xml version="1.0" encoding="utf-8"?>
<queryTable xmlns="http://schemas.openxmlformats.org/spreadsheetml/2006/main" xmlns:mc="http://schemas.openxmlformats.org/markup-compatibility/2006" xmlns:xr16="http://schemas.microsoft.com/office/spreadsheetml/2017/revision16" mc:Ignorable="xr16" name="TNX File_80" connectionId="7" xr16:uid="{00000000-0016-0000-0200-000037000000}" autoFormatId="16" applyNumberFormats="0" applyBorderFormats="0" applyFontFormats="1" applyPatternFormats="1" applyAlignmentFormats="0" applyWidthHeightFormats="0"/>
</file>

<file path=xl/queryTables/queryTable78.xml><?xml version="1.0" encoding="utf-8"?>
<queryTable xmlns="http://schemas.openxmlformats.org/spreadsheetml/2006/main" xmlns:mc="http://schemas.openxmlformats.org/markup-compatibility/2006" xmlns:xr16="http://schemas.microsoft.com/office/spreadsheetml/2017/revision16" mc:Ignorable="xr16" name="TNX File_89" connectionId="5" xr16:uid="{00000000-0016-0000-0200-00004E000000}" autoFormatId="16" applyNumberFormats="0" applyBorderFormats="0" applyFontFormats="1" applyPatternFormats="1" applyAlignmentFormats="0" applyWidthHeightFormats="0"/>
</file>

<file path=xl/queryTables/queryTable79.xml><?xml version="1.0" encoding="utf-8"?>
<queryTable xmlns="http://schemas.openxmlformats.org/spreadsheetml/2006/main" xmlns:mc="http://schemas.openxmlformats.org/markup-compatibility/2006" xmlns:xr16="http://schemas.microsoft.com/office/spreadsheetml/2017/revision16" mc:Ignorable="xr16" name="TNX File_40" connectionId="1" xr16:uid="{00000000-0016-0000-0200-000054000000}" autoFormatId="16" applyNumberFormats="0" applyBorderFormats="0" applyFontFormats="1" applyPatternFormats="1" applyAlignmentFormats="0" applyWidthHeightFormats="0"/>
</file>

<file path=xl/queryTables/queryTable80.xml><?xml version="1.0" encoding="utf-8"?>
<queryTable xmlns="http://schemas.openxmlformats.org/spreadsheetml/2006/main" xmlns:mc="http://schemas.openxmlformats.org/markup-compatibility/2006" xmlns:xr16="http://schemas.microsoft.com/office/spreadsheetml/2017/revision16" mc:Ignorable="xr16" name="TNX File_42" connectionId="1" xr16:uid="{00000000-0016-0000-0200-000029000000}" autoFormatId="16" applyNumberFormats="0" applyBorderFormats="0" applyFontFormats="1" applyPatternFormats="1" applyAlignmentFormats="0" applyWidthHeightFormats="0"/>
</file>

<file path=xl/queryTables/queryTable81.xml><?xml version="1.0" encoding="utf-8"?>
<queryTable xmlns="http://schemas.openxmlformats.org/spreadsheetml/2006/main" xmlns:mc="http://schemas.openxmlformats.org/markup-compatibility/2006" xmlns:xr16="http://schemas.microsoft.com/office/spreadsheetml/2017/revision16" mc:Ignorable="xr16" name="TNX File_29" connectionId="1" xr16:uid="{00000000-0016-0000-0200-00003B000000}" autoFormatId="16" applyNumberFormats="0" applyBorderFormats="0" applyFontFormats="1" applyPatternFormats="1" applyAlignmentFormats="0" applyWidthHeightFormats="0"/>
</file>

<file path=xl/queryTables/queryTable82.xml><?xml version="1.0" encoding="utf-8"?>
<queryTable xmlns="http://schemas.openxmlformats.org/spreadsheetml/2006/main" xmlns:mc="http://schemas.openxmlformats.org/markup-compatibility/2006" xmlns:xr16="http://schemas.microsoft.com/office/spreadsheetml/2017/revision16" mc:Ignorable="xr16" name="TNX File_14" connectionId="13" xr16:uid="{00000000-0016-0000-0200-000024000000}" autoFormatId="16" applyNumberFormats="0" applyBorderFormats="0" applyFontFormats="1" applyPatternFormats="1" applyAlignmentFormats="0" applyWidthHeightFormats="0"/>
</file>

<file path=xl/queryTables/queryTable83.xml><?xml version="1.0" encoding="utf-8"?>
<queryTable xmlns="http://schemas.openxmlformats.org/spreadsheetml/2006/main" xmlns:mc="http://schemas.openxmlformats.org/markup-compatibility/2006" xmlns:xr16="http://schemas.microsoft.com/office/spreadsheetml/2017/revision16" mc:Ignorable="xr16" name="TNX File_31" connectionId="2" xr16:uid="{00000000-0016-0000-0200-000030000000}" autoFormatId="16" applyNumberFormats="0" applyBorderFormats="0" applyFontFormats="1" applyPatternFormats="1" applyAlignmentFormats="0" applyWidthHeightFormats="0"/>
</file>

<file path=xl/queryTables/queryTable84.xml><?xml version="1.0" encoding="utf-8"?>
<queryTable xmlns="http://schemas.openxmlformats.org/spreadsheetml/2006/main" xmlns:mc="http://schemas.openxmlformats.org/markup-compatibility/2006" xmlns:xr16="http://schemas.microsoft.com/office/spreadsheetml/2017/revision16" mc:Ignorable="xr16" name="TNX File_28" connectionId="1" xr16:uid="{00000000-0016-0000-0200-00000A000000}" autoFormatId="16" applyNumberFormats="0" applyBorderFormats="0" applyFontFormats="1" applyPatternFormats="1" applyAlignmentFormats="0" applyWidthHeightFormats="0"/>
</file>

<file path=xl/queryTables/queryTable85.xml><?xml version="1.0" encoding="utf-8"?>
<queryTable xmlns="http://schemas.openxmlformats.org/spreadsheetml/2006/main" xmlns:mc="http://schemas.openxmlformats.org/markup-compatibility/2006" xmlns:xr16="http://schemas.microsoft.com/office/spreadsheetml/2017/revision16" mc:Ignorable="xr16" name="TNX File_85" connectionId="7" xr16:uid="{00000000-0016-0000-0200-00004F000000}" autoFormatId="16" applyNumberFormats="0" applyBorderFormats="0" applyFontFormats="1" applyPatternFormats="1" applyAlignmentFormats="0" applyWidthHeightFormats="0"/>
</file>

<file path=xl/queryTables/queryTable86.xml><?xml version="1.0" encoding="utf-8"?>
<queryTable xmlns="http://schemas.openxmlformats.org/spreadsheetml/2006/main" xmlns:mc="http://schemas.openxmlformats.org/markup-compatibility/2006" xmlns:xr16="http://schemas.microsoft.com/office/spreadsheetml/2017/revision16" mc:Ignorable="xr16" name="TNX File_56" connectionId="10" xr16:uid="{00000000-0016-0000-0200-000023000000}" autoFormatId="16" applyNumberFormats="0" applyBorderFormats="0" applyFontFormats="1" applyPatternFormats="1" applyAlignmentFormats="0" applyWidthHeightFormats="0"/>
</file>

<file path=xl/queryTables/queryTable87.xml><?xml version="1.0" encoding="utf-8"?>
<queryTable xmlns="http://schemas.openxmlformats.org/spreadsheetml/2006/main" xmlns:mc="http://schemas.openxmlformats.org/markup-compatibility/2006" xmlns:xr16="http://schemas.microsoft.com/office/spreadsheetml/2017/revision16" mc:Ignorable="xr16" name="TNX File_1" connectionId="12" xr16:uid="{00000000-0016-0000-0200-000011000000}" autoFormatId="16" applyNumberFormats="0" applyBorderFormats="0" applyFontFormats="1" applyPatternFormats="1" applyAlignmentFormats="0" applyWidthHeightFormats="0"/>
</file>

<file path=xl/queryTables/queryTable88.xml><?xml version="1.0" encoding="utf-8"?>
<queryTable xmlns="http://schemas.openxmlformats.org/spreadsheetml/2006/main" xmlns:mc="http://schemas.openxmlformats.org/markup-compatibility/2006" xmlns:xr16="http://schemas.microsoft.com/office/spreadsheetml/2017/revision16" mc:Ignorable="xr16" name="TNX File_18" connectionId="1" xr16:uid="{00000000-0016-0000-0200-000055000000}" autoFormatId="16" applyNumberFormats="0" applyBorderFormats="0" applyFontFormats="1" applyPatternFormats="1" applyAlignmentFormats="0" applyWidthHeightFormats="0"/>
</file>

<file path=xl/queryTables/queryTable89.xml><?xml version="1.0" encoding="utf-8"?>
<queryTable xmlns="http://schemas.openxmlformats.org/spreadsheetml/2006/main" xmlns:mc="http://schemas.openxmlformats.org/markup-compatibility/2006" xmlns:xr16="http://schemas.microsoft.com/office/spreadsheetml/2017/revision16" mc:Ignorable="xr16" name="TNX File_41" connectionId="1" xr16:uid="{00000000-0016-0000-0200-000025000000}" autoFormatId="16" applyNumberFormats="0" applyBorderFormats="0" applyFontFormats="1" applyPatternFormats="1" applyAlignmentFormats="0" applyWidthHeightFormats="0"/>
</file>

<file path=xl/queryTables/queryTable90.xml><?xml version="1.0" encoding="utf-8"?>
<queryTable xmlns="http://schemas.openxmlformats.org/spreadsheetml/2006/main" xmlns:mc="http://schemas.openxmlformats.org/markup-compatibility/2006" xmlns:xr16="http://schemas.microsoft.com/office/spreadsheetml/2017/revision16" mc:Ignorable="xr16" name="TNX File_87" connectionId="5" xr16:uid="{00000000-0016-0000-0200-000042000000}" autoFormatId="16" applyNumberFormats="0" applyBorderFormats="0" applyFontFormats="1" applyPatternFormats="1" applyAlignmentFormats="0" applyWidthHeightFormats="0"/>
</file>

<file path=xl/queryTables/queryTable91.xml><?xml version="1.0" encoding="utf-8"?>
<queryTable xmlns="http://schemas.openxmlformats.org/spreadsheetml/2006/main" xmlns:mc="http://schemas.openxmlformats.org/markup-compatibility/2006" xmlns:xr16="http://schemas.microsoft.com/office/spreadsheetml/2017/revision16" mc:Ignorable="xr16" name="TNX File_57" connectionId="12" xr16:uid="{00000000-0016-0000-0200-00002A000000}" autoFormatId="16" applyNumberFormats="0" applyBorderFormats="0" applyFontFormats="1" applyPatternFormats="1" applyAlignmentFormats="0" applyWidthHeightFormats="0"/>
</file>

<file path=xl/queryTables/queryTable92.xml><?xml version="1.0" encoding="utf-8"?>
<queryTable xmlns="http://schemas.openxmlformats.org/spreadsheetml/2006/main" xmlns:mc="http://schemas.openxmlformats.org/markup-compatibility/2006" xmlns:xr16="http://schemas.microsoft.com/office/spreadsheetml/2017/revision16" mc:Ignorable="xr16" name="TNX File_32" connectionId="2" xr16:uid="{00000000-0016-0000-0200-00001D000000}" autoFormatId="16" applyNumberFormats="0" applyBorderFormats="0" applyFontFormats="1" applyPatternFormats="1" applyAlignmentFormats="0" applyWidthHeightFormats="0"/>
</file>

<file path=xl/queryTables/queryTable93.xml><?xml version="1.0" encoding="utf-8"?>
<queryTable xmlns="http://schemas.openxmlformats.org/spreadsheetml/2006/main" xmlns:mc="http://schemas.openxmlformats.org/markup-compatibility/2006" xmlns:xr16="http://schemas.microsoft.com/office/spreadsheetml/2017/revision16" mc:Ignorable="xr16" name="TNX File_79" connectionId="5" xr16:uid="{00000000-0016-0000-0200-000044000000}" autoFormatId="16" applyNumberFormats="0" applyBorderFormats="0" applyFontFormats="1" applyPatternFormats="1" applyAlignmentFormats="0" applyWidthHeightFormats="0"/>
</file>

<file path=xl/queryTables/queryTable94.xml><?xml version="1.0" encoding="utf-8"?>
<queryTable xmlns="http://schemas.openxmlformats.org/spreadsheetml/2006/main" xmlns:mc="http://schemas.openxmlformats.org/markup-compatibility/2006" xmlns:xr16="http://schemas.microsoft.com/office/spreadsheetml/2017/revision16" mc:Ignorable="xr16" name="TNX File_31" connectionId="2" xr16:uid="{00000000-0016-0000-0600-00005D000000}" autoFormatId="16" applyNumberFormats="0" applyBorderFormats="0" applyFontFormats="1" applyPatternFormats="1" applyAlignmentFormats="0" applyWidthHeightFormats="0"/>
</file>

<file path=xl/queryTables/queryTable95.xml><?xml version="1.0" encoding="utf-8"?>
<queryTable xmlns="http://schemas.openxmlformats.org/spreadsheetml/2006/main" xmlns:mc="http://schemas.openxmlformats.org/markup-compatibility/2006" xmlns:xr16="http://schemas.microsoft.com/office/spreadsheetml/2017/revision16" mc:Ignorable="xr16" name="TNX File_30" connectionId="1" xr16:uid="{00000000-0016-0000-0600-000060000000}" autoFormatId="16" applyNumberFormats="0" applyBorderFormats="0" applyFontFormats="1" applyPatternFormats="1" applyAlignmentFormats="0" applyWidthHeightFormats="0"/>
</file>

<file path=xl/queryTables/queryTable96.xml><?xml version="1.0" encoding="utf-8"?>
<queryTable xmlns="http://schemas.openxmlformats.org/spreadsheetml/2006/main" xmlns:mc="http://schemas.openxmlformats.org/markup-compatibility/2006" xmlns:xr16="http://schemas.microsoft.com/office/spreadsheetml/2017/revision16" mc:Ignorable="xr16" name="TNX File_19" connectionId="1" xr16:uid="{00000000-0016-0000-0600-000077000000}" autoFormatId="16" applyNumberFormats="0" applyBorderFormats="0" applyFontFormats="1" applyPatternFormats="1" applyAlignmentFormats="0" applyWidthHeightFormats="0"/>
</file>

<file path=xl/queryTables/queryTable97.xml><?xml version="1.0" encoding="utf-8"?>
<queryTable xmlns="http://schemas.openxmlformats.org/spreadsheetml/2006/main" xmlns:mc="http://schemas.openxmlformats.org/markup-compatibility/2006" xmlns:xr16="http://schemas.microsoft.com/office/spreadsheetml/2017/revision16" mc:Ignorable="xr16" name="TNX File_25" connectionId="1" xr16:uid="{00000000-0016-0000-0600-00005C000000}" autoFormatId="16" applyNumberFormats="0" applyBorderFormats="0" applyFontFormats="1" applyPatternFormats="1" applyAlignmentFormats="0" applyWidthHeightFormats="0"/>
</file>

<file path=xl/queryTables/queryTable98.xml><?xml version="1.0" encoding="utf-8"?>
<queryTable xmlns="http://schemas.openxmlformats.org/spreadsheetml/2006/main" xmlns:mc="http://schemas.openxmlformats.org/markup-compatibility/2006" xmlns:xr16="http://schemas.microsoft.com/office/spreadsheetml/2017/revision16" mc:Ignorable="xr16" name="TNX File_20" connectionId="1" xr16:uid="{00000000-0016-0000-0600-00007B000000}" autoFormatId="16" applyNumberFormats="0" applyBorderFormats="0" applyFontFormats="1" applyPatternFormats="1" applyAlignmentFormats="0" applyWidthHeightFormats="0"/>
</file>

<file path=xl/queryTables/queryTable99.xml><?xml version="1.0" encoding="utf-8"?>
<queryTable xmlns="http://schemas.openxmlformats.org/spreadsheetml/2006/main" xmlns:mc="http://schemas.openxmlformats.org/markup-compatibility/2006" xmlns:xr16="http://schemas.microsoft.com/office/spreadsheetml/2017/revision16" mc:Ignorable="xr16" name="TNX File_9" connectionId="13" xr16:uid="{00000000-0016-0000-0600-00005F000000}" autoFormatId="16" applyNumberFormats="0" applyBorderFormats="0" applyFontFormats="1" applyPatternFormats="1" applyAlignmentFormats="0" applyWidthHeightFormats="0"/>
</file>

<file path=xl/queryTables/queryTable100.xml><?xml version="1.0" encoding="utf-8"?>
<queryTable xmlns="http://schemas.openxmlformats.org/spreadsheetml/2006/main" xmlns:mc="http://schemas.openxmlformats.org/markup-compatibility/2006" xmlns:xr16="http://schemas.microsoft.com/office/spreadsheetml/2017/revision16" mc:Ignorable="xr16" name="TNX File_28" connectionId="1" xr16:uid="{00000000-0016-0000-0600-00005E000000}" autoFormatId="16" applyNumberFormats="0" applyBorderFormats="0" applyFontFormats="1" applyPatternFormats="1" applyAlignmentFormats="0" applyWidthHeightFormats="0"/>
</file>

<file path=xl/queryTables/queryTable101.xml><?xml version="1.0" encoding="utf-8"?>
<queryTable xmlns="http://schemas.openxmlformats.org/spreadsheetml/2006/main" xmlns:mc="http://schemas.openxmlformats.org/markup-compatibility/2006" xmlns:xr16="http://schemas.microsoft.com/office/spreadsheetml/2017/revision16" mc:Ignorable="xr16" name="TNX File_4" connectionId="13" xr16:uid="{00000000-0016-0000-0600-000073000000}" autoFormatId="16" applyNumberFormats="0" applyBorderFormats="0" applyFontFormats="1" applyPatternFormats="1" applyAlignmentFormats="0" applyWidthHeightFormats="0"/>
</file>

<file path=xl/queryTables/queryTable102.xml><?xml version="1.0" encoding="utf-8"?>
<queryTable xmlns="http://schemas.openxmlformats.org/spreadsheetml/2006/main" xmlns:mc="http://schemas.openxmlformats.org/markup-compatibility/2006" xmlns:xr16="http://schemas.microsoft.com/office/spreadsheetml/2017/revision16" mc:Ignorable="xr16" name="TNX File_7" connectionId="13" xr16:uid="{00000000-0016-0000-0600-000072000000}" autoFormatId="16" applyNumberFormats="0" applyBorderFormats="0" applyFontFormats="1" applyPatternFormats="1" applyAlignmentFormats="0" applyWidthHeightFormats="0"/>
</file>

<file path=xl/queryTables/queryTable103.xml><?xml version="1.0" encoding="utf-8"?>
<queryTable xmlns="http://schemas.openxmlformats.org/spreadsheetml/2006/main" xmlns:mc="http://schemas.openxmlformats.org/markup-compatibility/2006" xmlns:xr16="http://schemas.microsoft.com/office/spreadsheetml/2017/revision16" mc:Ignorable="xr16" name="TNX File_8" connectionId="12" xr16:uid="{00000000-0016-0000-0600-000076000000}" autoFormatId="16" applyNumberFormats="0" applyBorderFormats="0" applyFontFormats="1" applyPatternFormats="1" applyAlignmentFormats="0" applyWidthHeightFormats="0"/>
</file>

<file path=xl/queryTables/queryTable104.xml><?xml version="1.0" encoding="utf-8"?>
<queryTable xmlns="http://schemas.openxmlformats.org/spreadsheetml/2006/main" xmlns:mc="http://schemas.openxmlformats.org/markup-compatibility/2006" xmlns:xr16="http://schemas.microsoft.com/office/spreadsheetml/2017/revision16" mc:Ignorable="xr16" name="TNX File_24" connectionId="1" xr16:uid="{00000000-0016-0000-0600-00006D000000}" autoFormatId="16" applyNumberFormats="0" applyBorderFormats="0" applyFontFormats="1" applyPatternFormats="1" applyAlignmentFormats="0" applyWidthHeightFormats="0"/>
</file>

<file path=xl/queryTables/queryTable105.xml><?xml version="1.0" encoding="utf-8"?>
<queryTable xmlns="http://schemas.openxmlformats.org/spreadsheetml/2006/main" xmlns:mc="http://schemas.openxmlformats.org/markup-compatibility/2006" xmlns:xr16="http://schemas.microsoft.com/office/spreadsheetml/2017/revision16" mc:Ignorable="xr16" name="TNX File_12" connectionId="13" xr16:uid="{00000000-0016-0000-0600-000067000000}" autoFormatId="16" applyNumberFormats="0" applyBorderFormats="0" applyFontFormats="1" applyPatternFormats="1" applyAlignmentFormats="0" applyWidthHeightFormats="0"/>
</file>

<file path=xl/queryTables/queryTable106.xml><?xml version="1.0" encoding="utf-8"?>
<queryTable xmlns="http://schemas.openxmlformats.org/spreadsheetml/2006/main" xmlns:mc="http://schemas.openxmlformats.org/markup-compatibility/2006" xmlns:xr16="http://schemas.microsoft.com/office/spreadsheetml/2017/revision16" mc:Ignorable="xr16" name="TNX File_17" connectionId="1" xr16:uid="{00000000-0016-0000-0600-000078000000}" autoFormatId="16" applyNumberFormats="0" applyBorderFormats="0" applyFontFormats="1" applyPatternFormats="1" applyAlignmentFormats="0" applyWidthHeightFormats="0"/>
</file>

<file path=xl/queryTables/queryTable107.xml><?xml version="1.0" encoding="utf-8"?>
<queryTable xmlns="http://schemas.openxmlformats.org/spreadsheetml/2006/main" xmlns:mc="http://schemas.openxmlformats.org/markup-compatibility/2006" xmlns:xr16="http://schemas.microsoft.com/office/spreadsheetml/2017/revision16" mc:Ignorable="xr16" name="TNX File_16" connectionId="1" xr16:uid="{00000000-0016-0000-0600-000075000000}" autoFormatId="16" applyNumberFormats="0" applyBorderFormats="0" applyFontFormats="1" applyPatternFormats="1" applyAlignmentFormats="0" applyWidthHeightFormats="0"/>
</file>

<file path=xl/queryTables/queryTable108.xml><?xml version="1.0" encoding="utf-8"?>
<queryTable xmlns="http://schemas.openxmlformats.org/spreadsheetml/2006/main" xmlns:mc="http://schemas.openxmlformats.org/markup-compatibility/2006" xmlns:xr16="http://schemas.microsoft.com/office/spreadsheetml/2017/revision16" mc:Ignorable="xr16" name="TNX File_23" connectionId="1" xr16:uid="{00000000-0016-0000-0600-000066000000}" autoFormatId="16" applyNumberFormats="0" applyBorderFormats="0" applyFontFormats="1" applyPatternFormats="1" applyAlignmentFormats="0" applyWidthHeightFormats="0"/>
</file>

<file path=xl/queryTables/queryTable109.xml><?xml version="1.0" encoding="utf-8"?>
<queryTable xmlns="http://schemas.openxmlformats.org/spreadsheetml/2006/main" xmlns:mc="http://schemas.openxmlformats.org/markup-compatibility/2006" xmlns:xr16="http://schemas.microsoft.com/office/spreadsheetml/2017/revision16" mc:Ignorable="xr16" name="TNX File_21" connectionId="1" xr16:uid="{00000000-0016-0000-0600-00006B000000}" autoFormatId="16" applyNumberFormats="0" applyBorderFormats="0" applyFontFormats="1" applyPatternFormats="1" applyAlignmentFormats="0" applyWidthHeightFormats="0"/>
</file>

<file path=xl/queryTables/queryTable110.xml><?xml version="1.0" encoding="utf-8"?>
<queryTable xmlns="http://schemas.openxmlformats.org/spreadsheetml/2006/main" xmlns:mc="http://schemas.openxmlformats.org/markup-compatibility/2006" xmlns:xr16="http://schemas.microsoft.com/office/spreadsheetml/2017/revision16" mc:Ignorable="xr16" name="TNX File_29" connectionId="1" xr16:uid="{00000000-0016-0000-0600-00006E000000}" autoFormatId="16" applyNumberFormats="0" applyBorderFormats="0" applyFontFormats="1" applyPatternFormats="1" applyAlignmentFormats="0" applyWidthHeightFormats="0"/>
</file>

<file path=xl/queryTables/queryTable111.xml><?xml version="1.0" encoding="utf-8"?>
<queryTable xmlns="http://schemas.openxmlformats.org/spreadsheetml/2006/main" xmlns:mc="http://schemas.openxmlformats.org/markup-compatibility/2006" xmlns:xr16="http://schemas.microsoft.com/office/spreadsheetml/2017/revision16" mc:Ignorable="xr16" name="TNX File_11" connectionId="12" xr16:uid="{00000000-0016-0000-0600-000063000000}" autoFormatId="16" applyNumberFormats="0" applyBorderFormats="0" applyFontFormats="1" applyPatternFormats="1" applyAlignmentFormats="0" applyWidthHeightFormats="0"/>
</file>

<file path=xl/queryTables/queryTable112.xml><?xml version="1.0" encoding="utf-8"?>
<queryTable xmlns="http://schemas.openxmlformats.org/spreadsheetml/2006/main" xmlns:mc="http://schemas.openxmlformats.org/markup-compatibility/2006" xmlns:xr16="http://schemas.microsoft.com/office/spreadsheetml/2017/revision16" mc:Ignorable="xr16" name="TNX File_26" connectionId="1" xr16:uid="{00000000-0016-0000-0600-000062000000}" autoFormatId="16" applyNumberFormats="0" applyBorderFormats="0" applyFontFormats="1" applyPatternFormats="1" applyAlignmentFormats="0" applyWidthHeightFormats="0"/>
</file>

<file path=xl/queryTables/queryTable113.xml><?xml version="1.0" encoding="utf-8"?>
<queryTable xmlns="http://schemas.openxmlformats.org/spreadsheetml/2006/main" xmlns:mc="http://schemas.openxmlformats.org/markup-compatibility/2006" xmlns:xr16="http://schemas.microsoft.com/office/spreadsheetml/2017/revision16" mc:Ignorable="xr16" name="TNX File_32" connectionId="2" xr16:uid="{00000000-0016-0000-0600-000070000000}" autoFormatId="16" applyNumberFormats="0" applyBorderFormats="0" applyFontFormats="1" applyPatternFormats="1" applyAlignmentFormats="0" applyWidthHeightFormats="0"/>
</file>

<file path=xl/queryTables/queryTable114.xml><?xml version="1.0" encoding="utf-8"?>
<queryTable xmlns="http://schemas.openxmlformats.org/spreadsheetml/2006/main" xmlns:mc="http://schemas.openxmlformats.org/markup-compatibility/2006" xmlns:xr16="http://schemas.microsoft.com/office/spreadsheetml/2017/revision16" mc:Ignorable="xr16" name="TNX File" connectionId="14" xr16:uid="{00000000-0016-0000-0600-000064000000}" autoFormatId="16" applyNumberFormats="0" applyBorderFormats="0" applyFontFormats="1" applyPatternFormats="1" applyAlignmentFormats="0" applyWidthHeightFormats="0"/>
</file>

<file path=xl/queryTables/queryTable115.xml><?xml version="1.0" encoding="utf-8"?>
<queryTable xmlns="http://schemas.openxmlformats.org/spreadsheetml/2006/main" xmlns:mc="http://schemas.openxmlformats.org/markup-compatibility/2006" xmlns:xr16="http://schemas.microsoft.com/office/spreadsheetml/2017/revision16" mc:Ignorable="xr16" name="TNX File_33" connectionId="2" xr16:uid="{00000000-0016-0000-0600-000069000000}" autoFormatId="16" applyNumberFormats="0" applyBorderFormats="0" applyFontFormats="1" applyPatternFormats="1" applyAlignmentFormats="0" applyWidthHeightFormats="0"/>
</file>

<file path=xl/queryTables/queryTable116.xml><?xml version="1.0" encoding="utf-8"?>
<queryTable xmlns="http://schemas.openxmlformats.org/spreadsheetml/2006/main" xmlns:mc="http://schemas.openxmlformats.org/markup-compatibility/2006" xmlns:xr16="http://schemas.microsoft.com/office/spreadsheetml/2017/revision16" mc:Ignorable="xr16" name="TNX File_1" connectionId="12" xr16:uid="{00000000-0016-0000-0600-00007A000000}" autoFormatId="16" applyNumberFormats="0" applyBorderFormats="0" applyFontFormats="1" applyPatternFormats="1" applyAlignmentFormats="0" applyWidthHeightFormats="0"/>
</file>

<file path=xl/queryTables/queryTable117.xml><?xml version="1.0" encoding="utf-8"?>
<queryTable xmlns="http://schemas.openxmlformats.org/spreadsheetml/2006/main" xmlns:mc="http://schemas.openxmlformats.org/markup-compatibility/2006" xmlns:xr16="http://schemas.microsoft.com/office/spreadsheetml/2017/revision16" mc:Ignorable="xr16" name="TNX File_34" connectionId="1" xr16:uid="{00000000-0016-0000-0600-000068000000}" autoFormatId="16" applyNumberFormats="0" applyBorderFormats="0" applyFontFormats="1" applyPatternFormats="1" applyAlignmentFormats="0" applyWidthHeightFormats="0"/>
</file>

<file path=xl/queryTables/queryTable118.xml><?xml version="1.0" encoding="utf-8"?>
<queryTable xmlns="http://schemas.openxmlformats.org/spreadsheetml/2006/main" xmlns:mc="http://schemas.openxmlformats.org/markup-compatibility/2006" xmlns:xr16="http://schemas.microsoft.com/office/spreadsheetml/2017/revision16" mc:Ignorable="xr16" name="TNX File_27" connectionId="1" xr16:uid="{00000000-0016-0000-0600-000079000000}" autoFormatId="16" applyNumberFormats="0" applyBorderFormats="0" applyFontFormats="1" applyPatternFormats="1" applyAlignmentFormats="0" applyWidthHeightFormats="0"/>
</file>

<file path=xl/queryTables/queryTable119.xml><?xml version="1.0" encoding="utf-8"?>
<queryTable xmlns="http://schemas.openxmlformats.org/spreadsheetml/2006/main" xmlns:mc="http://schemas.openxmlformats.org/markup-compatibility/2006" xmlns:xr16="http://schemas.microsoft.com/office/spreadsheetml/2017/revision16" mc:Ignorable="xr16" name="TNX File_6" connectionId="12" xr16:uid="{00000000-0016-0000-0600-00006C000000}" autoFormatId="16" applyNumberFormats="0" applyBorderFormats="0" applyFontFormats="1" applyPatternFormats="1" applyAlignmentFormats="0" applyWidthHeightFormats="0"/>
</file>

<file path=xl/queryTables/queryTable120.xml><?xml version="1.0" encoding="utf-8"?>
<queryTable xmlns="http://schemas.openxmlformats.org/spreadsheetml/2006/main" xmlns:mc="http://schemas.openxmlformats.org/markup-compatibility/2006" xmlns:xr16="http://schemas.microsoft.com/office/spreadsheetml/2017/revision16" mc:Ignorable="xr16" name="TNX File_15" connectionId="1" xr16:uid="{00000000-0016-0000-0600-00006F000000}" autoFormatId="16" applyNumberFormats="0" applyBorderFormats="0" applyFontFormats="1" applyPatternFormats="1" applyAlignmentFormats="0" applyWidthHeightFormats="0"/>
</file>

<file path=xl/queryTables/queryTable121.xml><?xml version="1.0" encoding="utf-8"?>
<queryTable xmlns="http://schemas.openxmlformats.org/spreadsheetml/2006/main" xmlns:mc="http://schemas.openxmlformats.org/markup-compatibility/2006" xmlns:xr16="http://schemas.microsoft.com/office/spreadsheetml/2017/revision16" mc:Ignorable="xr16" name="TNX File_13" connectionId="12" xr16:uid="{00000000-0016-0000-0600-00007C000000}" autoFormatId="16" applyNumberFormats="0" applyBorderFormats="0" applyFontFormats="1" applyPatternFormats="1" applyAlignmentFormats="0" applyWidthHeightFormats="0"/>
</file>

<file path=xl/queryTables/queryTable122.xml><?xml version="1.0" encoding="utf-8"?>
<queryTable xmlns="http://schemas.openxmlformats.org/spreadsheetml/2006/main" xmlns:mc="http://schemas.openxmlformats.org/markup-compatibility/2006" xmlns:xr16="http://schemas.microsoft.com/office/spreadsheetml/2017/revision16" mc:Ignorable="xr16" name="TNX File_10" connectionId="13" xr16:uid="{00000000-0016-0000-0600-000071000000}" autoFormatId="16" applyNumberFormats="0" applyBorderFormats="0" applyFontFormats="1" applyPatternFormats="1" applyAlignmentFormats="0" applyWidthHeightFormats="0"/>
</file>

<file path=xl/queryTables/queryTable123.xml><?xml version="1.0" encoding="utf-8"?>
<queryTable xmlns="http://schemas.openxmlformats.org/spreadsheetml/2006/main" xmlns:mc="http://schemas.openxmlformats.org/markup-compatibility/2006" xmlns:xr16="http://schemas.microsoft.com/office/spreadsheetml/2017/revision16" mc:Ignorable="xr16" name="TNX File_14" connectionId="13" xr16:uid="{00000000-0016-0000-0600-000074000000}" autoFormatId="16" applyNumberFormats="0" applyBorderFormats="0" applyFontFormats="1" applyPatternFormats="1" applyAlignmentFormats="0" applyWidthHeightFormats="0"/>
</file>

<file path=xl/queryTables/queryTable124.xml><?xml version="1.0" encoding="utf-8"?>
<queryTable xmlns="http://schemas.openxmlformats.org/spreadsheetml/2006/main" xmlns:mc="http://schemas.openxmlformats.org/markup-compatibility/2006" xmlns:xr16="http://schemas.microsoft.com/office/spreadsheetml/2017/revision16" mc:Ignorable="xr16" name="TNX File_5" connectionId="12" xr16:uid="{00000000-0016-0000-0600-00006A000000}" autoFormatId="16" applyNumberFormats="0" applyBorderFormats="0" applyFontFormats="1" applyPatternFormats="1" applyAlignmentFormats="0" applyWidthHeightFormats="0"/>
</file>

<file path=xl/queryTables/queryTable125.xml><?xml version="1.0" encoding="utf-8"?>
<queryTable xmlns="http://schemas.openxmlformats.org/spreadsheetml/2006/main" xmlns:mc="http://schemas.openxmlformats.org/markup-compatibility/2006" xmlns:xr16="http://schemas.microsoft.com/office/spreadsheetml/2017/revision16" mc:Ignorable="xr16" name="TNX File_18" connectionId="1" xr16:uid="{00000000-0016-0000-0600-000061000000}" autoFormatId="16" applyNumberFormats="0" applyBorderFormats="0" applyFontFormats="1" applyPatternFormats="1" applyAlignmentFormats="0" applyWidthHeightFormats="0"/>
</file>

<file path=xl/queryTables/queryTable126.xml><?xml version="1.0" encoding="utf-8"?>
<queryTable xmlns="http://schemas.openxmlformats.org/spreadsheetml/2006/main" xmlns:mc="http://schemas.openxmlformats.org/markup-compatibility/2006" xmlns:xr16="http://schemas.microsoft.com/office/spreadsheetml/2017/revision16" mc:Ignorable="xr16" name="TNX File_22" connectionId="1" xr16:uid="{00000000-0016-0000-0600-000065000000}" autoFormatId="16" applyNumberFormats="0" applyBorderFormats="0" applyFontFormats="1" applyPatternFormats="1" applyAlignmentFormats="0" applyWidthHeightFormats="0"/>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819827B4-39A8-486E-819B-E5D6226C54C1}" name="RevRanges" displayName="RevRanges" ref="B2:G23" totalsRowShown="0">
  <autoFilter ref="B2:G23" xr:uid="{4C655309-078A-415D-8632-6FE20F987867}"/>
  <tableColumns count="6">
    <tableColumn id="1" xr3:uid="{CEDAD64D-97E6-4A22-8CD3-D22A294847ED}" name="Default Sheet Name"/>
    <tableColumn id="8" xr3:uid="{4D2F966B-C2CA-46CF-8EEB-E07CAB2073FA}" name="10.0.4"/>
    <tableColumn id="4" xr3:uid="{E465D657-938A-4AA7-8493-6CE707633412}" name="10.0.3"/>
    <tableColumn id="3" xr3:uid="{60B6C338-5F7B-448E-87C9-1D1FB6FB78FB}" name="10.0.2"/>
    <tableColumn id="2" xr3:uid="{23459727-1830-4497-BBA4-CF3BB976CFD7}" name="10.0.1"/>
    <tableColumn id="16" xr3:uid="{13F39EF1-8F3E-4364-92FE-93164153E25C}" name="10.0.0"/>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10" Type="http://schemas.openxmlformats.org/officeDocument/2006/relationships/comments" Target="../comments1.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6" Type="http://schemas.openxmlformats.org/officeDocument/2006/relationships/queryTable" Target="../queryTables/queryTable26.xml"/><Relationship Id="rId21" Type="http://schemas.openxmlformats.org/officeDocument/2006/relationships/queryTable" Target="../queryTables/queryTable21.xml"/><Relationship Id="rId42" Type="http://schemas.openxmlformats.org/officeDocument/2006/relationships/queryTable" Target="../queryTables/queryTable42.xml"/><Relationship Id="rId47" Type="http://schemas.openxmlformats.org/officeDocument/2006/relationships/queryTable" Target="../queryTables/queryTable47.xml"/><Relationship Id="rId63" Type="http://schemas.openxmlformats.org/officeDocument/2006/relationships/queryTable" Target="../queryTables/queryTable63.xml"/><Relationship Id="rId68" Type="http://schemas.openxmlformats.org/officeDocument/2006/relationships/queryTable" Target="../queryTables/queryTable68.xml"/><Relationship Id="rId84" Type="http://schemas.openxmlformats.org/officeDocument/2006/relationships/queryTable" Target="../queryTables/queryTable84.xml"/><Relationship Id="rId89" Type="http://schemas.openxmlformats.org/officeDocument/2006/relationships/queryTable" Target="../queryTables/queryTable89.xml"/><Relationship Id="rId16" Type="http://schemas.openxmlformats.org/officeDocument/2006/relationships/queryTable" Target="../queryTables/queryTable16.xml"/><Relationship Id="rId11" Type="http://schemas.openxmlformats.org/officeDocument/2006/relationships/queryTable" Target="../queryTables/queryTable11.xml"/><Relationship Id="rId32" Type="http://schemas.openxmlformats.org/officeDocument/2006/relationships/queryTable" Target="../queryTables/queryTable32.xml"/><Relationship Id="rId37" Type="http://schemas.openxmlformats.org/officeDocument/2006/relationships/queryTable" Target="../queryTables/queryTable37.xml"/><Relationship Id="rId53" Type="http://schemas.openxmlformats.org/officeDocument/2006/relationships/queryTable" Target="../queryTables/queryTable53.xml"/><Relationship Id="rId58" Type="http://schemas.openxmlformats.org/officeDocument/2006/relationships/queryTable" Target="../queryTables/queryTable58.xml"/><Relationship Id="rId74" Type="http://schemas.openxmlformats.org/officeDocument/2006/relationships/queryTable" Target="../queryTables/queryTable74.xml"/><Relationship Id="rId79" Type="http://schemas.openxmlformats.org/officeDocument/2006/relationships/queryTable" Target="../queryTables/queryTable79.xml"/><Relationship Id="rId5" Type="http://schemas.openxmlformats.org/officeDocument/2006/relationships/queryTable" Target="../queryTables/queryTable5.xml"/><Relationship Id="rId90" Type="http://schemas.openxmlformats.org/officeDocument/2006/relationships/queryTable" Target="../queryTables/queryTable90.xml"/><Relationship Id="rId22" Type="http://schemas.openxmlformats.org/officeDocument/2006/relationships/queryTable" Target="../queryTables/queryTable22.xml"/><Relationship Id="rId27" Type="http://schemas.openxmlformats.org/officeDocument/2006/relationships/queryTable" Target="../queryTables/queryTable27.xml"/><Relationship Id="rId43" Type="http://schemas.openxmlformats.org/officeDocument/2006/relationships/queryTable" Target="../queryTables/queryTable43.xml"/><Relationship Id="rId48" Type="http://schemas.openxmlformats.org/officeDocument/2006/relationships/queryTable" Target="../queryTables/queryTable48.xml"/><Relationship Id="rId64" Type="http://schemas.openxmlformats.org/officeDocument/2006/relationships/queryTable" Target="../queryTables/queryTable64.xml"/><Relationship Id="rId69" Type="http://schemas.openxmlformats.org/officeDocument/2006/relationships/queryTable" Target="../queryTables/queryTable69.xml"/><Relationship Id="rId8" Type="http://schemas.openxmlformats.org/officeDocument/2006/relationships/queryTable" Target="../queryTables/queryTable8.xml"/><Relationship Id="rId51" Type="http://schemas.openxmlformats.org/officeDocument/2006/relationships/queryTable" Target="../queryTables/queryTable51.xml"/><Relationship Id="rId72" Type="http://schemas.openxmlformats.org/officeDocument/2006/relationships/queryTable" Target="../queryTables/queryTable72.xml"/><Relationship Id="rId80" Type="http://schemas.openxmlformats.org/officeDocument/2006/relationships/queryTable" Target="../queryTables/queryTable80.xml"/><Relationship Id="rId85" Type="http://schemas.openxmlformats.org/officeDocument/2006/relationships/queryTable" Target="../queryTables/queryTable85.xml"/><Relationship Id="rId93" Type="http://schemas.openxmlformats.org/officeDocument/2006/relationships/queryTable" Target="../queryTables/queryTable93.xml"/><Relationship Id="rId3" Type="http://schemas.openxmlformats.org/officeDocument/2006/relationships/queryTable" Target="../queryTables/queryTable3.xml"/><Relationship Id="rId12" Type="http://schemas.openxmlformats.org/officeDocument/2006/relationships/queryTable" Target="../queryTables/queryTable12.xml"/><Relationship Id="rId17" Type="http://schemas.openxmlformats.org/officeDocument/2006/relationships/queryTable" Target="../queryTables/queryTable17.xml"/><Relationship Id="rId25" Type="http://schemas.openxmlformats.org/officeDocument/2006/relationships/queryTable" Target="../queryTables/queryTable25.xml"/><Relationship Id="rId33" Type="http://schemas.openxmlformats.org/officeDocument/2006/relationships/queryTable" Target="../queryTables/queryTable33.xml"/><Relationship Id="rId38" Type="http://schemas.openxmlformats.org/officeDocument/2006/relationships/queryTable" Target="../queryTables/queryTable38.xml"/><Relationship Id="rId46" Type="http://schemas.openxmlformats.org/officeDocument/2006/relationships/queryTable" Target="../queryTables/queryTable46.xml"/><Relationship Id="rId59" Type="http://schemas.openxmlformats.org/officeDocument/2006/relationships/queryTable" Target="../queryTables/queryTable59.xml"/><Relationship Id="rId67" Type="http://schemas.openxmlformats.org/officeDocument/2006/relationships/queryTable" Target="../queryTables/queryTable67.xml"/><Relationship Id="rId20" Type="http://schemas.openxmlformats.org/officeDocument/2006/relationships/queryTable" Target="../queryTables/queryTable20.xml"/><Relationship Id="rId41" Type="http://schemas.openxmlformats.org/officeDocument/2006/relationships/queryTable" Target="../queryTables/queryTable41.xml"/><Relationship Id="rId54" Type="http://schemas.openxmlformats.org/officeDocument/2006/relationships/queryTable" Target="../queryTables/queryTable54.xml"/><Relationship Id="rId62" Type="http://schemas.openxmlformats.org/officeDocument/2006/relationships/queryTable" Target="../queryTables/queryTable62.xml"/><Relationship Id="rId70" Type="http://schemas.openxmlformats.org/officeDocument/2006/relationships/queryTable" Target="../queryTables/queryTable70.xml"/><Relationship Id="rId75" Type="http://schemas.openxmlformats.org/officeDocument/2006/relationships/queryTable" Target="../queryTables/queryTable75.xml"/><Relationship Id="rId83" Type="http://schemas.openxmlformats.org/officeDocument/2006/relationships/queryTable" Target="../queryTables/queryTable83.xml"/><Relationship Id="rId88" Type="http://schemas.openxmlformats.org/officeDocument/2006/relationships/queryTable" Target="../queryTables/queryTable88.xml"/><Relationship Id="rId91" Type="http://schemas.openxmlformats.org/officeDocument/2006/relationships/queryTable" Target="../queryTables/queryTable91.xml"/><Relationship Id="rId1" Type="http://schemas.openxmlformats.org/officeDocument/2006/relationships/queryTable" Target="../queryTables/queryTable1.xml"/><Relationship Id="rId6" Type="http://schemas.openxmlformats.org/officeDocument/2006/relationships/queryTable" Target="../queryTables/queryTable6.xml"/><Relationship Id="rId15" Type="http://schemas.openxmlformats.org/officeDocument/2006/relationships/queryTable" Target="../queryTables/queryTable15.xml"/><Relationship Id="rId23" Type="http://schemas.openxmlformats.org/officeDocument/2006/relationships/queryTable" Target="../queryTables/queryTable23.xml"/><Relationship Id="rId28" Type="http://schemas.openxmlformats.org/officeDocument/2006/relationships/queryTable" Target="../queryTables/queryTable28.xml"/><Relationship Id="rId36" Type="http://schemas.openxmlformats.org/officeDocument/2006/relationships/queryTable" Target="../queryTables/queryTable36.xml"/><Relationship Id="rId49" Type="http://schemas.openxmlformats.org/officeDocument/2006/relationships/queryTable" Target="../queryTables/queryTable49.xml"/><Relationship Id="rId57" Type="http://schemas.openxmlformats.org/officeDocument/2006/relationships/queryTable" Target="../queryTables/queryTable57.xml"/><Relationship Id="rId10" Type="http://schemas.openxmlformats.org/officeDocument/2006/relationships/queryTable" Target="../queryTables/queryTable10.xml"/><Relationship Id="rId31" Type="http://schemas.openxmlformats.org/officeDocument/2006/relationships/queryTable" Target="../queryTables/queryTable31.xml"/><Relationship Id="rId44" Type="http://schemas.openxmlformats.org/officeDocument/2006/relationships/queryTable" Target="../queryTables/queryTable44.xml"/><Relationship Id="rId52" Type="http://schemas.openxmlformats.org/officeDocument/2006/relationships/queryTable" Target="../queryTables/queryTable52.xml"/><Relationship Id="rId60" Type="http://schemas.openxmlformats.org/officeDocument/2006/relationships/queryTable" Target="../queryTables/queryTable60.xml"/><Relationship Id="rId65" Type="http://schemas.openxmlformats.org/officeDocument/2006/relationships/queryTable" Target="../queryTables/queryTable65.xml"/><Relationship Id="rId73" Type="http://schemas.openxmlformats.org/officeDocument/2006/relationships/queryTable" Target="../queryTables/queryTable73.xml"/><Relationship Id="rId78" Type="http://schemas.openxmlformats.org/officeDocument/2006/relationships/queryTable" Target="../queryTables/queryTable78.xml"/><Relationship Id="rId81" Type="http://schemas.openxmlformats.org/officeDocument/2006/relationships/queryTable" Target="../queryTables/queryTable81.xml"/><Relationship Id="rId86" Type="http://schemas.openxmlformats.org/officeDocument/2006/relationships/queryTable" Target="../queryTables/queryTable86.xml"/><Relationship Id="rId4" Type="http://schemas.openxmlformats.org/officeDocument/2006/relationships/queryTable" Target="../queryTables/queryTable4.xml"/><Relationship Id="rId9" Type="http://schemas.openxmlformats.org/officeDocument/2006/relationships/queryTable" Target="../queryTables/queryTable9.xml"/><Relationship Id="rId13" Type="http://schemas.openxmlformats.org/officeDocument/2006/relationships/queryTable" Target="../queryTables/queryTable13.xml"/><Relationship Id="rId18" Type="http://schemas.openxmlformats.org/officeDocument/2006/relationships/queryTable" Target="../queryTables/queryTable18.xml"/><Relationship Id="rId39" Type="http://schemas.openxmlformats.org/officeDocument/2006/relationships/queryTable" Target="../queryTables/queryTable39.xml"/><Relationship Id="rId34" Type="http://schemas.openxmlformats.org/officeDocument/2006/relationships/queryTable" Target="../queryTables/queryTable34.xml"/><Relationship Id="rId50" Type="http://schemas.openxmlformats.org/officeDocument/2006/relationships/queryTable" Target="../queryTables/queryTable50.xml"/><Relationship Id="rId55" Type="http://schemas.openxmlformats.org/officeDocument/2006/relationships/queryTable" Target="../queryTables/queryTable55.xml"/><Relationship Id="rId76" Type="http://schemas.openxmlformats.org/officeDocument/2006/relationships/queryTable" Target="../queryTables/queryTable76.xml"/><Relationship Id="rId7" Type="http://schemas.openxmlformats.org/officeDocument/2006/relationships/queryTable" Target="../queryTables/queryTable7.xml"/><Relationship Id="rId71" Type="http://schemas.openxmlformats.org/officeDocument/2006/relationships/queryTable" Target="../queryTables/queryTable71.xml"/><Relationship Id="rId92" Type="http://schemas.openxmlformats.org/officeDocument/2006/relationships/queryTable" Target="../queryTables/queryTable92.xml"/><Relationship Id="rId2" Type="http://schemas.openxmlformats.org/officeDocument/2006/relationships/queryTable" Target="../queryTables/queryTable2.xml"/><Relationship Id="rId29" Type="http://schemas.openxmlformats.org/officeDocument/2006/relationships/queryTable" Target="../queryTables/queryTable29.xml"/><Relationship Id="rId24" Type="http://schemas.openxmlformats.org/officeDocument/2006/relationships/queryTable" Target="../queryTables/queryTable24.xml"/><Relationship Id="rId40" Type="http://schemas.openxmlformats.org/officeDocument/2006/relationships/queryTable" Target="../queryTables/queryTable40.xml"/><Relationship Id="rId45" Type="http://schemas.openxmlformats.org/officeDocument/2006/relationships/queryTable" Target="../queryTables/queryTable45.xml"/><Relationship Id="rId66" Type="http://schemas.openxmlformats.org/officeDocument/2006/relationships/queryTable" Target="../queryTables/queryTable66.xml"/><Relationship Id="rId87" Type="http://schemas.openxmlformats.org/officeDocument/2006/relationships/queryTable" Target="../queryTables/queryTable87.xml"/><Relationship Id="rId61" Type="http://schemas.openxmlformats.org/officeDocument/2006/relationships/queryTable" Target="../queryTables/queryTable61.xml"/><Relationship Id="rId82" Type="http://schemas.openxmlformats.org/officeDocument/2006/relationships/queryTable" Target="../queryTables/queryTable82.xml"/><Relationship Id="rId19" Type="http://schemas.openxmlformats.org/officeDocument/2006/relationships/queryTable" Target="../queryTables/queryTable19.xml"/><Relationship Id="rId14" Type="http://schemas.openxmlformats.org/officeDocument/2006/relationships/queryTable" Target="../queryTables/queryTable14.xml"/><Relationship Id="rId30" Type="http://schemas.openxmlformats.org/officeDocument/2006/relationships/queryTable" Target="../queryTables/queryTable30.xml"/><Relationship Id="rId35" Type="http://schemas.openxmlformats.org/officeDocument/2006/relationships/queryTable" Target="../queryTables/queryTable35.xml"/><Relationship Id="rId56" Type="http://schemas.openxmlformats.org/officeDocument/2006/relationships/queryTable" Target="../queryTables/queryTable56.xml"/><Relationship Id="rId77" Type="http://schemas.openxmlformats.org/officeDocument/2006/relationships/queryTable" Target="../queryTables/queryTable77.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2.vml"/><Relationship Id="rId7" Type="http://schemas.openxmlformats.org/officeDocument/2006/relationships/image" Target="../media/image6.wmf"/><Relationship Id="rId2" Type="http://schemas.openxmlformats.org/officeDocument/2006/relationships/drawing" Target="../drawings/drawing2.xml"/><Relationship Id="rId1" Type="http://schemas.openxmlformats.org/officeDocument/2006/relationships/printerSettings" Target="../printerSettings/printerSettings3.bin"/><Relationship Id="rId6" Type="http://schemas.openxmlformats.org/officeDocument/2006/relationships/oleObject" Target="../embeddings/oleObject2.bin"/><Relationship Id="rId5" Type="http://schemas.openxmlformats.org/officeDocument/2006/relationships/image" Target="../media/image5.wmf"/><Relationship Id="rId4" Type="http://schemas.openxmlformats.org/officeDocument/2006/relationships/oleObject" Target="../embeddings/oleObject1.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7.xml.rels><?xml version="1.0" encoding="UTF-8" standalone="yes"?>
<Relationships xmlns="http://schemas.openxmlformats.org/package/2006/relationships"><Relationship Id="rId13" Type="http://schemas.openxmlformats.org/officeDocument/2006/relationships/queryTable" Target="../queryTables/queryTable106.xml"/><Relationship Id="rId18" Type="http://schemas.openxmlformats.org/officeDocument/2006/relationships/queryTable" Target="../queryTables/queryTable111.xml"/><Relationship Id="rId26" Type="http://schemas.openxmlformats.org/officeDocument/2006/relationships/queryTable" Target="../queryTables/queryTable119.xml"/><Relationship Id="rId3" Type="http://schemas.openxmlformats.org/officeDocument/2006/relationships/queryTable" Target="../queryTables/queryTable96.xml"/><Relationship Id="rId21" Type="http://schemas.openxmlformats.org/officeDocument/2006/relationships/queryTable" Target="../queryTables/queryTable114.xml"/><Relationship Id="rId7" Type="http://schemas.openxmlformats.org/officeDocument/2006/relationships/queryTable" Target="../queryTables/queryTable100.xml"/><Relationship Id="rId12" Type="http://schemas.openxmlformats.org/officeDocument/2006/relationships/queryTable" Target="../queryTables/queryTable105.xml"/><Relationship Id="rId17" Type="http://schemas.openxmlformats.org/officeDocument/2006/relationships/queryTable" Target="../queryTables/queryTable110.xml"/><Relationship Id="rId25" Type="http://schemas.openxmlformats.org/officeDocument/2006/relationships/queryTable" Target="../queryTables/queryTable118.xml"/><Relationship Id="rId33" Type="http://schemas.openxmlformats.org/officeDocument/2006/relationships/queryTable" Target="../queryTables/queryTable126.xml"/><Relationship Id="rId2" Type="http://schemas.openxmlformats.org/officeDocument/2006/relationships/queryTable" Target="../queryTables/queryTable95.xml"/><Relationship Id="rId16" Type="http://schemas.openxmlformats.org/officeDocument/2006/relationships/queryTable" Target="../queryTables/queryTable109.xml"/><Relationship Id="rId20" Type="http://schemas.openxmlformats.org/officeDocument/2006/relationships/queryTable" Target="../queryTables/queryTable113.xml"/><Relationship Id="rId29" Type="http://schemas.openxmlformats.org/officeDocument/2006/relationships/queryTable" Target="../queryTables/queryTable122.xml"/><Relationship Id="rId1" Type="http://schemas.openxmlformats.org/officeDocument/2006/relationships/queryTable" Target="../queryTables/queryTable94.xml"/><Relationship Id="rId6" Type="http://schemas.openxmlformats.org/officeDocument/2006/relationships/queryTable" Target="../queryTables/queryTable99.xml"/><Relationship Id="rId11" Type="http://schemas.openxmlformats.org/officeDocument/2006/relationships/queryTable" Target="../queryTables/queryTable104.xml"/><Relationship Id="rId24" Type="http://schemas.openxmlformats.org/officeDocument/2006/relationships/queryTable" Target="../queryTables/queryTable117.xml"/><Relationship Id="rId32" Type="http://schemas.openxmlformats.org/officeDocument/2006/relationships/queryTable" Target="../queryTables/queryTable125.xml"/><Relationship Id="rId5" Type="http://schemas.openxmlformats.org/officeDocument/2006/relationships/queryTable" Target="../queryTables/queryTable98.xml"/><Relationship Id="rId15" Type="http://schemas.openxmlformats.org/officeDocument/2006/relationships/queryTable" Target="../queryTables/queryTable108.xml"/><Relationship Id="rId23" Type="http://schemas.openxmlformats.org/officeDocument/2006/relationships/queryTable" Target="../queryTables/queryTable116.xml"/><Relationship Id="rId28" Type="http://schemas.openxmlformats.org/officeDocument/2006/relationships/queryTable" Target="../queryTables/queryTable121.xml"/><Relationship Id="rId10" Type="http://schemas.openxmlformats.org/officeDocument/2006/relationships/queryTable" Target="../queryTables/queryTable103.xml"/><Relationship Id="rId19" Type="http://schemas.openxmlformats.org/officeDocument/2006/relationships/queryTable" Target="../queryTables/queryTable112.xml"/><Relationship Id="rId31" Type="http://schemas.openxmlformats.org/officeDocument/2006/relationships/queryTable" Target="../queryTables/queryTable124.xml"/><Relationship Id="rId4" Type="http://schemas.openxmlformats.org/officeDocument/2006/relationships/queryTable" Target="../queryTables/queryTable97.xml"/><Relationship Id="rId9" Type="http://schemas.openxmlformats.org/officeDocument/2006/relationships/queryTable" Target="../queryTables/queryTable102.xml"/><Relationship Id="rId14" Type="http://schemas.openxmlformats.org/officeDocument/2006/relationships/queryTable" Target="../queryTables/queryTable107.xml"/><Relationship Id="rId22" Type="http://schemas.openxmlformats.org/officeDocument/2006/relationships/queryTable" Target="../queryTables/queryTable115.xml"/><Relationship Id="rId27" Type="http://schemas.openxmlformats.org/officeDocument/2006/relationships/queryTable" Target="../queryTables/queryTable120.xml"/><Relationship Id="rId30" Type="http://schemas.openxmlformats.org/officeDocument/2006/relationships/queryTable" Target="../queryTables/queryTable123.xml"/><Relationship Id="rId8" Type="http://schemas.openxmlformats.org/officeDocument/2006/relationships/queryTable" Target="../queryTables/queryTable101.xml"/></Relationships>
</file>

<file path=xl/worksheets/_rels/sheet9.xml.rels><?xml version="1.0" encoding="UTF-8" standalone="yes"?>
<Relationships xmlns="http://schemas.openxmlformats.org/package/2006/relationships"><Relationship Id="rId1" Type="http://schemas.openxmlformats.org/officeDocument/2006/relationships/table" Target="../tables/table1.xml"/></Relationships>
</file>

<file path=xl/worksheets/_rels/sheet10.xml.rels><?xml version="1.0" encoding="UTF-8" standalone="yes"?>
<Relationships xmlns="http://schemas.openxmlformats.org/package/2006/relationships"><Relationship Id="rId8" Type="http://schemas.openxmlformats.org/officeDocument/2006/relationships/ctrlProp" Target="../ctrlProps/ctrlProp9.xml"/><Relationship Id="rId3" Type="http://schemas.openxmlformats.org/officeDocument/2006/relationships/printerSettings" Target="../printerSettings/printerSettings7.bin"/><Relationship Id="rId7" Type="http://schemas.openxmlformats.org/officeDocument/2006/relationships/ctrlProp" Target="../ctrlProps/ctrlProp8.xml"/><Relationship Id="rId2" Type="http://schemas.openxmlformats.org/officeDocument/2006/relationships/printerSettings" Target="../printerSettings/printerSettings6.bin"/><Relationship Id="rId1" Type="http://schemas.openxmlformats.org/officeDocument/2006/relationships/printerSettings" Target="../printerSettings/printerSettings5.bin"/><Relationship Id="rId6" Type="http://schemas.openxmlformats.org/officeDocument/2006/relationships/ctrlProp" Target="../ctrlProps/ctrlProp7.xml"/><Relationship Id="rId5" Type="http://schemas.openxmlformats.org/officeDocument/2006/relationships/vmlDrawing" Target="../drawings/vmlDrawing3.vml"/><Relationship Id="rId4" Type="http://schemas.openxmlformats.org/officeDocument/2006/relationships/drawing" Target="../drawings/drawing3.xml"/><Relationship Id="rId9" Type="http://schemas.openxmlformats.org/officeDocument/2006/relationships/comments" Target="../comments2.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8.bin"/><Relationship Id="rId6" Type="http://schemas.openxmlformats.org/officeDocument/2006/relationships/comments" Target="../comments3.xml"/><Relationship Id="rId5" Type="http://schemas.openxmlformats.org/officeDocument/2006/relationships/ctrlProp" Target="../ctrlProps/ctrlProp11.xml"/><Relationship Id="rId4" Type="http://schemas.openxmlformats.org/officeDocument/2006/relationships/ctrlProp" Target="../ctrlProps/ctrlProp10.xml"/></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9.bin"/></Relationships>
</file>

<file path=xl/worksheets/_rels/sheet13.xml.rels><?xml version="1.0" encoding="UTF-8" standalone="yes"?>
<Relationships xmlns="http://schemas.openxmlformats.org/package/2006/relationships"><Relationship Id="rId8" Type="http://schemas.openxmlformats.org/officeDocument/2006/relationships/comments" Target="../comments4.xml"/><Relationship Id="rId3" Type="http://schemas.openxmlformats.org/officeDocument/2006/relationships/printerSettings" Target="../printerSettings/printerSettings12.bin"/><Relationship Id="rId7" Type="http://schemas.openxmlformats.org/officeDocument/2006/relationships/image" Target="../media/image29.emf"/><Relationship Id="rId2" Type="http://schemas.openxmlformats.org/officeDocument/2006/relationships/printerSettings" Target="../printerSettings/printerSettings11.bin"/><Relationship Id="rId1" Type="http://schemas.openxmlformats.org/officeDocument/2006/relationships/printerSettings" Target="../printerSettings/printerSettings10.bin"/><Relationship Id="rId6" Type="http://schemas.openxmlformats.org/officeDocument/2006/relationships/oleObject" Target="../embeddings/oleObject3.bin"/><Relationship Id="rId5" Type="http://schemas.openxmlformats.org/officeDocument/2006/relationships/vmlDrawing" Target="../drawings/vmlDrawing5.vml"/><Relationship Id="rId4" Type="http://schemas.openxmlformats.org/officeDocument/2006/relationships/drawing" Target="../drawings/drawing6.xml"/></Relationships>
</file>

<file path=xl/worksheets/_rels/sheet14.xml.rels><?xml version="1.0" encoding="UTF-8" standalone="yes"?>
<Relationships xmlns="http://schemas.openxmlformats.org/package/2006/relationships"><Relationship Id="rId8" Type="http://schemas.openxmlformats.org/officeDocument/2006/relationships/comments" Target="../comments5.xml"/><Relationship Id="rId3" Type="http://schemas.openxmlformats.org/officeDocument/2006/relationships/printerSettings" Target="../printerSettings/printerSettings15.bin"/><Relationship Id="rId7" Type="http://schemas.openxmlformats.org/officeDocument/2006/relationships/image" Target="../media/image29.emf"/><Relationship Id="rId2" Type="http://schemas.openxmlformats.org/officeDocument/2006/relationships/printerSettings" Target="../printerSettings/printerSettings14.bin"/><Relationship Id="rId1" Type="http://schemas.openxmlformats.org/officeDocument/2006/relationships/printerSettings" Target="../printerSettings/printerSettings13.bin"/><Relationship Id="rId6" Type="http://schemas.openxmlformats.org/officeDocument/2006/relationships/oleObject" Target="../embeddings/oleObject4.bin"/><Relationship Id="rId5" Type="http://schemas.openxmlformats.org/officeDocument/2006/relationships/vmlDrawing" Target="../drawings/vmlDrawing6.vml"/><Relationship Id="rId4" Type="http://schemas.openxmlformats.org/officeDocument/2006/relationships/drawing" Target="../drawings/drawing7.xml"/></Relationships>
</file>

<file path=xl/worksheets/_rels/sheet15.xml.rels><?xml version="1.0" encoding="UTF-8" standalone="yes"?>
<Relationships xmlns="http://schemas.openxmlformats.org/package/2006/relationships"><Relationship Id="rId3" Type="http://schemas.openxmlformats.org/officeDocument/2006/relationships/printerSettings" Target="../printerSettings/printerSettings18.bin"/><Relationship Id="rId7" Type="http://schemas.openxmlformats.org/officeDocument/2006/relationships/image" Target="../media/image29.emf"/><Relationship Id="rId2" Type="http://schemas.openxmlformats.org/officeDocument/2006/relationships/printerSettings" Target="../printerSettings/printerSettings17.bin"/><Relationship Id="rId1" Type="http://schemas.openxmlformats.org/officeDocument/2006/relationships/printerSettings" Target="../printerSettings/printerSettings16.bin"/><Relationship Id="rId6" Type="http://schemas.openxmlformats.org/officeDocument/2006/relationships/oleObject" Target="../embeddings/oleObject5.bin"/><Relationship Id="rId5" Type="http://schemas.openxmlformats.org/officeDocument/2006/relationships/vmlDrawing" Target="../drawings/vmlDrawing7.vml"/><Relationship Id="rId4" Type="http://schemas.openxmlformats.org/officeDocument/2006/relationships/drawing" Target="../drawings/drawing8.xml"/></Relationships>
</file>

<file path=xl/worksheets/_rels/sheet16.xml.rels><?xml version="1.0" encoding="UTF-8" standalone="yes"?>
<Relationships xmlns="http://schemas.openxmlformats.org/package/2006/relationships"><Relationship Id="rId3" Type="http://schemas.openxmlformats.org/officeDocument/2006/relationships/printerSettings" Target="../printerSettings/printerSettings21.bin"/><Relationship Id="rId2" Type="http://schemas.openxmlformats.org/officeDocument/2006/relationships/printerSettings" Target="../printerSettings/printerSettings20.bin"/><Relationship Id="rId1" Type="http://schemas.openxmlformats.org/officeDocument/2006/relationships/printerSettings" Target="../printerSettings/printerSettings19.bin"/></Relationships>
</file>

<file path=xl/worksheets/_rels/sheet17.xml.rels><?xml version="1.0" encoding="UTF-8" standalone="yes"?>
<Relationships xmlns="http://schemas.openxmlformats.org/package/2006/relationships"><Relationship Id="rId3" Type="http://schemas.openxmlformats.org/officeDocument/2006/relationships/printerSettings" Target="../printerSettings/printerSettings24.bin"/><Relationship Id="rId2" Type="http://schemas.openxmlformats.org/officeDocument/2006/relationships/printerSettings" Target="../printerSettings/printerSettings23.bin"/><Relationship Id="rId1" Type="http://schemas.openxmlformats.org/officeDocument/2006/relationships/printerSettings" Target="../printerSettings/printerSettings22.bin"/><Relationship Id="rId6" Type="http://schemas.openxmlformats.org/officeDocument/2006/relationships/comments" Target="../comments6.xml"/><Relationship Id="rId5" Type="http://schemas.openxmlformats.org/officeDocument/2006/relationships/vmlDrawing" Target="../drawings/vmlDrawing8.vml"/><Relationship Id="rId4" Type="http://schemas.openxmlformats.org/officeDocument/2006/relationships/drawing" Target="../drawings/drawing9.xml"/></Relationships>
</file>

<file path=xl/worksheets/_rels/sheet18.xml.rels><?xml version="1.0" encoding="UTF-8" standalone="yes"?>
<Relationships xmlns="http://schemas.openxmlformats.org/package/2006/relationships"><Relationship Id="rId3" Type="http://schemas.openxmlformats.org/officeDocument/2006/relationships/printerSettings" Target="../printerSettings/printerSettings27.bin"/><Relationship Id="rId2" Type="http://schemas.openxmlformats.org/officeDocument/2006/relationships/printerSettings" Target="../printerSettings/printerSettings26.bin"/><Relationship Id="rId1" Type="http://schemas.openxmlformats.org/officeDocument/2006/relationships/printerSettings" Target="../printerSettings/printerSettings25.bin"/><Relationship Id="rId4" Type="http://schemas.openxmlformats.org/officeDocument/2006/relationships/drawing" Target="../drawings/drawing10.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D027C76-5227-4BAE-8436-0F8331BD5B5C}">
  <sheetPr codeName="Sheet11"/>
  <dimension ref="A1:AA216"/>
  <sheetViews>
    <sheetView showGridLines="0" showRowColHeaders="0" tabSelected="1" zoomScaleNormal="100" workbookViewId="0">
      <selection activeCell="D3" sqref="D3:E3"/>
    </sheetView>
  </sheetViews>
  <sheetFormatPr defaultRowHeight="15" x14ac:dyDescent="0.25"/>
  <cols>
    <col min="1" max="1" width="9.140625" customWidth="1"/>
    <col min="3" max="3" width="11.85546875" bestFit="1" customWidth="1"/>
    <col min="4" max="5" width="17.140625" customWidth="1"/>
    <col min="6" max="6" width="11.85546875" customWidth="1"/>
    <col min="7" max="7" width="11.5703125" customWidth="1"/>
    <col min="8" max="8" width="16" style="31" customWidth="1"/>
    <col min="9" max="9" width="45.7109375" customWidth="1"/>
    <col min="27" max="27" width="9.140625" hidden="1" customWidth="1"/>
  </cols>
  <sheetData>
    <row r="1" spans="1:27" x14ac:dyDescent="0.25">
      <c r="G1" s="414">
        <f>COLUMN()</f>
        <v>7</v>
      </c>
      <c r="AA1" t="s">
        <v>1053</v>
      </c>
    </row>
    <row r="2" spans="1:27" x14ac:dyDescent="0.25">
      <c r="C2" s="486" t="s">
        <v>22</v>
      </c>
      <c r="D2" s="486"/>
      <c r="E2" s="486"/>
      <c r="AA2" t="str">
        <f>""</f>
        <v/>
      </c>
    </row>
    <row r="3" spans="1:27" x14ac:dyDescent="0.25">
      <c r="C3" s="427" t="s">
        <v>23</v>
      </c>
      <c r="D3" s="487"/>
      <c r="E3" s="487"/>
      <c r="O3" s="388"/>
      <c r="P3" s="388"/>
      <c r="Q3" s="388"/>
      <c r="R3" s="388"/>
      <c r="S3" s="388"/>
      <c r="T3" s="388"/>
      <c r="U3" s="388"/>
      <c r="V3" s="388"/>
    </row>
    <row r="4" spans="1:27" x14ac:dyDescent="0.25">
      <c r="C4" s="427" t="s">
        <v>24</v>
      </c>
      <c r="D4" s="487"/>
      <c r="E4" s="487"/>
      <c r="O4" s="388"/>
      <c r="P4" s="388"/>
      <c r="Q4" s="388"/>
      <c r="R4" s="388"/>
      <c r="S4" s="388"/>
      <c r="T4" s="388"/>
      <c r="U4" s="388"/>
      <c r="V4" s="388"/>
    </row>
    <row r="5" spans="1:27" x14ac:dyDescent="0.25">
      <c r="C5" s="427" t="s">
        <v>168</v>
      </c>
      <c r="D5" s="487"/>
      <c r="E5" s="487"/>
      <c r="O5" s="388"/>
      <c r="P5" s="388"/>
      <c r="Q5" s="388"/>
      <c r="R5" s="388"/>
      <c r="S5" s="388"/>
      <c r="T5" s="388"/>
      <c r="U5" s="388"/>
      <c r="V5" s="388"/>
    </row>
    <row r="6" spans="1:27" x14ac:dyDescent="0.25">
      <c r="C6" s="427" t="s">
        <v>1286</v>
      </c>
      <c r="D6" s="488" t="str">
        <f>IF('TNX File Parse'!$E$6="","",'TNX File Parse'!$E$6)</f>
        <v/>
      </c>
      <c r="E6" s="488"/>
      <c r="O6" s="388"/>
      <c r="P6" s="388"/>
      <c r="Q6" s="388"/>
      <c r="R6" s="388"/>
      <c r="S6" s="388"/>
      <c r="T6" s="388"/>
      <c r="U6" s="388"/>
      <c r="V6" s="388"/>
    </row>
    <row r="7" spans="1:27" x14ac:dyDescent="0.25">
      <c r="O7" s="388"/>
      <c r="P7" s="388"/>
      <c r="Q7" s="388"/>
      <c r="R7" s="388"/>
      <c r="S7" s="388"/>
      <c r="T7" s="388"/>
      <c r="U7" s="388"/>
      <c r="V7" s="388"/>
    </row>
    <row r="8" spans="1:27" x14ac:dyDescent="0.25">
      <c r="C8" s="388" t="s">
        <v>1079</v>
      </c>
      <c r="D8" s="483"/>
      <c r="E8" s="484"/>
      <c r="F8" s="484"/>
      <c r="G8" s="484"/>
      <c r="H8" s="484"/>
      <c r="I8" s="484"/>
      <c r="J8" s="485"/>
      <c r="N8" s="388"/>
      <c r="O8" s="388" t="str">
        <f>SUBSTITUTE(MID(SUBSTITUTE("/" &amp; A3&amp;REPT(" ",6),"/",REPT(",",255)),2*255,255),",","")</f>
        <v/>
      </c>
      <c r="Q8" s="388"/>
      <c r="R8" s="426"/>
      <c r="S8" s="388"/>
      <c r="T8" s="388"/>
      <c r="U8" s="388"/>
      <c r="V8" s="388"/>
    </row>
    <row r="9" spans="1:27" x14ac:dyDescent="0.25">
      <c r="O9" s="388" t="str">
        <f>SUBSTITUTE(MID(SUBSTITUTE("\" &amp; A4&amp;REPT(" ",6),"\",REPT(",",255)),2*255,255),",","")</f>
        <v/>
      </c>
      <c r="P9" s="388"/>
      <c r="Q9" s="388"/>
      <c r="R9" s="388"/>
      <c r="S9" s="388"/>
      <c r="T9" s="388"/>
      <c r="U9" s="388"/>
      <c r="V9" s="388"/>
    </row>
    <row r="10" spans="1:27" x14ac:dyDescent="0.25">
      <c r="A10" s="436" t="s">
        <v>1274</v>
      </c>
      <c r="C10" s="388" t="s">
        <v>1396</v>
      </c>
      <c r="D10" s="483"/>
      <c r="E10" s="484"/>
      <c r="F10" s="484"/>
      <c r="G10" s="484"/>
      <c r="H10" s="484"/>
      <c r="I10" s="484"/>
      <c r="J10" s="485"/>
      <c r="O10" s="388"/>
      <c r="P10" s="388"/>
      <c r="Q10" s="388"/>
      <c r="R10" s="388"/>
      <c r="S10" s="388"/>
      <c r="T10" s="388"/>
      <c r="U10" s="388"/>
      <c r="V10" s="388"/>
    </row>
    <row r="11" spans="1:27" x14ac:dyDescent="0.25">
      <c r="A11" s="437"/>
      <c r="O11" s="388"/>
      <c r="P11" s="388"/>
      <c r="Q11" s="388"/>
      <c r="R11" s="388"/>
      <c r="S11" s="388"/>
      <c r="T11" s="388"/>
      <c r="U11" s="388"/>
      <c r="V11" s="388"/>
    </row>
    <row r="12" spans="1:27" x14ac:dyDescent="0.25">
      <c r="A12" s="436" t="s">
        <v>1279</v>
      </c>
      <c r="C12" s="388" t="s">
        <v>1397</v>
      </c>
      <c r="D12" s="483"/>
      <c r="E12" s="484"/>
      <c r="F12" s="484"/>
      <c r="G12" s="484"/>
      <c r="H12" s="484"/>
      <c r="I12" s="484"/>
      <c r="J12" s="485"/>
      <c r="O12" s="388"/>
      <c r="P12" s="388"/>
      <c r="Q12" s="388"/>
      <c r="R12" s="388"/>
      <c r="S12" s="388"/>
      <c r="T12" s="388"/>
      <c r="U12" s="388"/>
      <c r="V12" s="388"/>
      <c r="AA12" s="414">
        <f>ROW()</f>
        <v>12</v>
      </c>
    </row>
    <row r="13" spans="1:27" x14ac:dyDescent="0.25">
      <c r="O13" s="388"/>
      <c r="P13" s="388"/>
      <c r="Q13" s="388"/>
      <c r="R13" s="388"/>
      <c r="S13" s="388"/>
      <c r="T13" s="388"/>
      <c r="U13" s="388"/>
      <c r="V13" s="388"/>
    </row>
    <row r="14" spans="1:27" x14ac:dyDescent="0.25">
      <c r="C14" s="388" t="s">
        <v>858</v>
      </c>
      <c r="D14" s="428" t="str">
        <f>'TNX File Parse'!$E$2</f>
        <v>Self Support</v>
      </c>
      <c r="O14" s="388"/>
      <c r="P14" s="388"/>
      <c r="Q14" s="388"/>
      <c r="R14" s="388"/>
      <c r="S14" s="388"/>
      <c r="T14" s="388"/>
      <c r="U14" s="388"/>
      <c r="V14" s="388"/>
    </row>
    <row r="15" spans="1:27" x14ac:dyDescent="0.25">
      <c r="F15" s="400"/>
      <c r="O15" s="388"/>
      <c r="P15" s="388"/>
      <c r="Q15" s="388"/>
      <c r="R15" s="388"/>
      <c r="S15" s="388"/>
      <c r="T15" s="388"/>
      <c r="U15" s="388"/>
      <c r="V15" s="388"/>
    </row>
    <row r="16" spans="1:27" ht="30" x14ac:dyDescent="0.25">
      <c r="B16" s="414">
        <f ca="1">COUNTA(SectionIndex)</f>
        <v>200</v>
      </c>
      <c r="C16" s="97" t="s">
        <v>1074</v>
      </c>
      <c r="D16" s="97" t="s">
        <v>1075</v>
      </c>
      <c r="E16" s="97" t="s">
        <v>1076</v>
      </c>
      <c r="F16" s="97" t="s">
        <v>1277</v>
      </c>
      <c r="G16" s="97" t="s">
        <v>1273</v>
      </c>
      <c r="H16" s="97" t="s">
        <v>1394</v>
      </c>
      <c r="I16" s="97" t="s">
        <v>1398</v>
      </c>
    </row>
    <row r="17" spans="3:9" x14ac:dyDescent="0.25">
      <c r="C17" s="399" t="str">
        <f ca="1">IF(D17="","",'TNX RTF Parse'!$BB2)</f>
        <v/>
      </c>
      <c r="D17" s="399" t="str">
        <f ca="1">IF('TNX File Parse'!S2&lt;&gt;"",'TNX File Parse'!S2,"")</f>
        <v/>
      </c>
      <c r="E17" s="399" t="str">
        <f ca="1">IF('TNX File Parse'!T2&lt;&gt;"",'TNX File Parse'!T2,"")</f>
        <v/>
      </c>
      <c r="F17" s="399" t="str">
        <f ca="1">IFERROR(IF(VLOOKUP(TEXT(C17,0),'TNX RTF Parse'!$BB$1:$BE$201,3,0)="","",VLOOKUP(TEXT(C17,0),'TNX RTF Parse'!$BB$1:$BE$201,3,0)),"")</f>
        <v/>
      </c>
      <c r="G17" s="399" t="str">
        <f ca="1">IFERROR(IF(VLOOKUP(TEXT(C17,0),'TNX RTF Parse'!$BB$1:$BE$201,4,0)="","",VLOOKUP(TEXT(C17,0),'TNX RTF Parse'!$BB$1:$BE$201,4,0)),"")</f>
        <v/>
      </c>
      <c r="H17" s="415"/>
      <c r="I17" s="428" t="str">
        <f ca="1">IFERROR(VLOOKUP(REPLACE($C17,1,1,),Database!$CZ$4:$DB$203,3,0),"")</f>
        <v/>
      </c>
    </row>
    <row r="18" spans="3:9" x14ac:dyDescent="0.25">
      <c r="C18" s="399" t="str">
        <f ca="1">IF(D18="","",'TNX RTF Parse'!$BB3)</f>
        <v/>
      </c>
      <c r="D18" s="399" t="str">
        <f ca="1">IF('TNX File Parse'!S3&lt;&gt;"",'TNX File Parse'!S3,"")</f>
        <v/>
      </c>
      <c r="E18" s="399" t="str">
        <f ca="1">IF('TNX File Parse'!T3&lt;&gt;"",'TNX File Parse'!T3,"")</f>
        <v/>
      </c>
      <c r="F18" s="399" t="str">
        <f ca="1">IFERROR(IF(VLOOKUP(TEXT(C18,0),'TNX RTF Parse'!$BB$1:$BE$201,3,0)="","",VLOOKUP(TEXT(C18,0),'TNX RTF Parse'!$BB$1:$BE$201,3,0)),"")</f>
        <v/>
      </c>
      <c r="G18" s="399" t="str">
        <f ca="1">IFERROR(IF(VLOOKUP(TEXT(C18,0),'TNX RTF Parse'!$BB$1:$BE$201,4,0)="","",VLOOKUP(TEXT(C18,0),'TNX RTF Parse'!$BB$1:$BE$201,4,0)),"")</f>
        <v/>
      </c>
      <c r="H18" s="415"/>
      <c r="I18" s="428" t="str">
        <f ca="1">IFERROR(VLOOKUP(REPLACE($C18,1,1,),Database!$CZ$4:$DB$203,3,0),"")</f>
        <v/>
      </c>
    </row>
    <row r="19" spans="3:9" x14ac:dyDescent="0.25">
      <c r="C19" s="399" t="str">
        <f ca="1">IF(D19="","",'TNX RTF Parse'!$BB4)</f>
        <v/>
      </c>
      <c r="D19" s="399" t="str">
        <f ca="1">IF('TNX File Parse'!S4&lt;&gt;"",'TNX File Parse'!S4,"")</f>
        <v/>
      </c>
      <c r="E19" s="399" t="str">
        <f ca="1">IF('TNX File Parse'!T4&lt;&gt;"",'TNX File Parse'!T4,"")</f>
        <v/>
      </c>
      <c r="F19" s="399" t="str">
        <f ca="1">IFERROR(IF(VLOOKUP(TEXT(C19,0),'TNX RTF Parse'!$BB$1:$BE$201,3,0)="","",VLOOKUP(TEXT(C19,0),'TNX RTF Parse'!$BB$1:$BE$201,3,0)),"")</f>
        <v/>
      </c>
      <c r="G19" s="399" t="str">
        <f ca="1">IFERROR(IF(VLOOKUP(TEXT(C19,0),'TNX RTF Parse'!$BB$1:$BE$201,4,0)="","",VLOOKUP(TEXT(C19,0),'TNX RTF Parse'!$BB$1:$BE$201,4,0)),"")</f>
        <v/>
      </c>
      <c r="H19" s="415"/>
      <c r="I19" s="428" t="str">
        <f ca="1">IFERROR(VLOOKUP(REPLACE($C19,1,1,),Database!$CZ$4:$DB$203,3,0),"")</f>
        <v/>
      </c>
    </row>
    <row r="20" spans="3:9" x14ac:dyDescent="0.25">
      <c r="C20" s="399" t="str">
        <f ca="1">IF(D20="","",'TNX RTF Parse'!$BB5)</f>
        <v/>
      </c>
      <c r="D20" s="399" t="str">
        <f ca="1">IF('TNX File Parse'!S5&lt;&gt;"",'TNX File Parse'!S5,"")</f>
        <v/>
      </c>
      <c r="E20" s="399" t="str">
        <f ca="1">IF('TNX File Parse'!T5&lt;&gt;"",'TNX File Parse'!T5,"")</f>
        <v/>
      </c>
      <c r="F20" s="399" t="str">
        <f ca="1">IFERROR(IF(VLOOKUP(TEXT(C20,0),'TNX RTF Parse'!$BB$1:$BE$201,3,0)="","",VLOOKUP(TEXT(C20,0),'TNX RTF Parse'!$BB$1:$BE$201,3,0)),"")</f>
        <v/>
      </c>
      <c r="G20" s="399" t="str">
        <f ca="1">IFERROR(IF(VLOOKUP(TEXT(C20,0),'TNX RTF Parse'!$BB$1:$BE$201,4,0)="","",VLOOKUP(TEXT(C20,0),'TNX RTF Parse'!$BB$1:$BE$201,4,0)),"")</f>
        <v/>
      </c>
      <c r="H20" s="415"/>
      <c r="I20" s="428" t="str">
        <f ca="1">IFERROR(VLOOKUP(REPLACE($C20,1,1,),Database!$CZ$4:$DB$203,3,0),"")</f>
        <v/>
      </c>
    </row>
    <row r="21" spans="3:9" x14ac:dyDescent="0.25">
      <c r="C21" s="399" t="str">
        <f ca="1">IF(D21="","",'TNX RTF Parse'!$BB6)</f>
        <v/>
      </c>
      <c r="D21" s="399" t="str">
        <f ca="1">IF('TNX File Parse'!S6&lt;&gt;"",'TNX File Parse'!S6,"")</f>
        <v/>
      </c>
      <c r="E21" s="399" t="str">
        <f ca="1">IF('TNX File Parse'!T6&lt;&gt;"",'TNX File Parse'!T6,"")</f>
        <v/>
      </c>
      <c r="F21" s="399" t="str">
        <f ca="1">IFERROR(IF(VLOOKUP(TEXT(C21,0),'TNX RTF Parse'!$BB$1:$BE$201,3,0)="","",VLOOKUP(TEXT(C21,0),'TNX RTF Parse'!$BB$1:$BE$201,3,0)),"")</f>
        <v/>
      </c>
      <c r="G21" s="399" t="str">
        <f ca="1">IFERROR(IF(VLOOKUP(TEXT(C21,0),'TNX RTF Parse'!$BB$1:$BE$201,4,0)="","",VLOOKUP(TEXT(C21,0),'TNX RTF Parse'!$BB$1:$BE$201,4,0)),"")</f>
        <v/>
      </c>
      <c r="H21" s="415"/>
      <c r="I21" s="428" t="str">
        <f ca="1">IFERROR(VLOOKUP(REPLACE($C21,1,1,),Database!$CZ$4:$DB$203,3,0),"")</f>
        <v/>
      </c>
    </row>
    <row r="22" spans="3:9" x14ac:dyDescent="0.25">
      <c r="C22" s="399" t="str">
        <f ca="1">IF(D22="","",'TNX RTF Parse'!$BB7)</f>
        <v/>
      </c>
      <c r="D22" s="399" t="str">
        <f ca="1">IF('TNX File Parse'!S7&lt;&gt;"",'TNX File Parse'!S7,"")</f>
        <v/>
      </c>
      <c r="E22" s="399" t="str">
        <f ca="1">IF('TNX File Parse'!T7&lt;&gt;"",'TNX File Parse'!T7,"")</f>
        <v/>
      </c>
      <c r="F22" s="399" t="str">
        <f ca="1">IFERROR(IF(VLOOKUP(TEXT(C22,0),'TNX RTF Parse'!$BB$1:$BE$201,3,0)="","",VLOOKUP(TEXT(C22,0),'TNX RTF Parse'!$BB$1:$BE$201,3,0)),"")</f>
        <v/>
      </c>
      <c r="G22" s="399" t="str">
        <f ca="1">IFERROR(IF(VLOOKUP(TEXT(C22,0),'TNX RTF Parse'!$BB$1:$BE$201,4,0)="","",VLOOKUP(TEXT(C22,0),'TNX RTF Parse'!$BB$1:$BE$201,4,0)),"")</f>
        <v/>
      </c>
      <c r="H22" s="415"/>
      <c r="I22" s="428" t="str">
        <f ca="1">IFERROR(VLOOKUP(REPLACE($C22,1,1,),Database!$CZ$4:$DB$203,3,0),"")</f>
        <v/>
      </c>
    </row>
    <row r="23" spans="3:9" x14ac:dyDescent="0.25">
      <c r="C23" s="399" t="str">
        <f ca="1">IF(D23="","",'TNX RTF Parse'!$BB8)</f>
        <v/>
      </c>
      <c r="D23" s="399" t="str">
        <f ca="1">IF('TNX File Parse'!S8&lt;&gt;"",'TNX File Parse'!S8,"")</f>
        <v/>
      </c>
      <c r="E23" s="399" t="str">
        <f ca="1">IF('TNX File Parse'!T8&lt;&gt;"",'TNX File Parse'!T8,"")</f>
        <v/>
      </c>
      <c r="F23" s="399" t="str">
        <f ca="1">IFERROR(IF(VLOOKUP(TEXT(C23,0),'TNX RTF Parse'!$BB$1:$BE$201,3,0)="","",VLOOKUP(TEXT(C23,0),'TNX RTF Parse'!$BB$1:$BE$201,3,0)),"")</f>
        <v/>
      </c>
      <c r="G23" s="399" t="str">
        <f ca="1">IFERROR(IF(VLOOKUP(TEXT(C23,0),'TNX RTF Parse'!$BB$1:$BE$201,4,0)="","",VLOOKUP(TEXT(C23,0),'TNX RTF Parse'!$BB$1:$BE$201,4,0)),"")</f>
        <v/>
      </c>
      <c r="H23" s="415"/>
      <c r="I23" s="428" t="str">
        <f ca="1">IFERROR(VLOOKUP(REPLACE($C23,1,1,),Database!$CZ$4:$DB$203,3,0),"")</f>
        <v/>
      </c>
    </row>
    <row r="24" spans="3:9" x14ac:dyDescent="0.25">
      <c r="C24" s="399" t="str">
        <f ca="1">IF(D24="","",'TNX RTF Parse'!$BB9)</f>
        <v/>
      </c>
      <c r="D24" s="399" t="str">
        <f ca="1">IF('TNX File Parse'!S9&lt;&gt;"",'TNX File Parse'!S9,"")</f>
        <v/>
      </c>
      <c r="E24" s="399" t="str">
        <f ca="1">IF('TNX File Parse'!T9&lt;&gt;"",'TNX File Parse'!T9,"")</f>
        <v/>
      </c>
      <c r="F24" s="399" t="str">
        <f ca="1">IFERROR(IF(VLOOKUP(TEXT(C24,0),'TNX RTF Parse'!$BB$1:$BE$201,3,0)="","",VLOOKUP(TEXT(C24,0),'TNX RTF Parse'!$BB$1:$BE$201,3,0)),"")</f>
        <v/>
      </c>
      <c r="G24" s="399" t="str">
        <f ca="1">IFERROR(IF(VLOOKUP(TEXT(C24,0),'TNX RTF Parse'!$BB$1:$BE$201,4,0)="","",VLOOKUP(TEXT(C24,0),'TNX RTF Parse'!$BB$1:$BE$201,4,0)),"")</f>
        <v/>
      </c>
      <c r="H24" s="415"/>
      <c r="I24" s="428" t="str">
        <f ca="1">IFERROR(VLOOKUP(REPLACE($C24,1,1,),Database!$CZ$4:$DB$203,3,0),"")</f>
        <v/>
      </c>
    </row>
    <row r="25" spans="3:9" x14ac:dyDescent="0.25">
      <c r="C25" s="399" t="str">
        <f ca="1">IF(D25="","",'TNX RTF Parse'!$BB10)</f>
        <v/>
      </c>
      <c r="D25" s="399" t="str">
        <f ca="1">IF('TNX File Parse'!S10&lt;&gt;"",'TNX File Parse'!S10,"")</f>
        <v/>
      </c>
      <c r="E25" s="399" t="str">
        <f ca="1">IF('TNX File Parse'!T10&lt;&gt;"",'TNX File Parse'!T10,"")</f>
        <v/>
      </c>
      <c r="F25" s="399" t="str">
        <f ca="1">IFERROR(IF(VLOOKUP(TEXT(C25,0),'TNX RTF Parse'!$BB$1:$BE$201,3,0)="","",VLOOKUP(TEXT(C25,0),'TNX RTF Parse'!$BB$1:$BE$201,3,0)),"")</f>
        <v/>
      </c>
      <c r="G25" s="399" t="str">
        <f ca="1">IFERROR(IF(VLOOKUP(TEXT(C25,0),'TNX RTF Parse'!$BB$1:$BE$201,4,0)="","",VLOOKUP(TEXT(C25,0),'TNX RTF Parse'!$BB$1:$BE$201,4,0)),"")</f>
        <v/>
      </c>
      <c r="H25" s="415"/>
      <c r="I25" s="428" t="str">
        <f ca="1">IFERROR(VLOOKUP(REPLACE($C25,1,1,),Database!$CZ$4:$DB$203,3,0),"")</f>
        <v/>
      </c>
    </row>
    <row r="26" spans="3:9" x14ac:dyDescent="0.25">
      <c r="C26" s="399" t="str">
        <f ca="1">IF(D26="","",'TNX RTF Parse'!$BB11)</f>
        <v/>
      </c>
      <c r="D26" s="399" t="str">
        <f ca="1">IF('TNX File Parse'!S11&lt;&gt;"",'TNX File Parse'!S11,"")</f>
        <v/>
      </c>
      <c r="E26" s="399" t="str">
        <f ca="1">IF('TNX File Parse'!T11&lt;&gt;"",'TNX File Parse'!T11,"")</f>
        <v/>
      </c>
      <c r="F26" s="399" t="str">
        <f ca="1">IFERROR(IF(VLOOKUP(TEXT(C26,0),'TNX RTF Parse'!$BB$1:$BE$201,3,0)="","",VLOOKUP(TEXT(C26,0),'TNX RTF Parse'!$BB$1:$BE$201,3,0)),"")</f>
        <v/>
      </c>
      <c r="G26" s="399" t="str">
        <f ca="1">IFERROR(IF(VLOOKUP(TEXT(C26,0),'TNX RTF Parse'!$BB$1:$BE$201,4,0)="","",VLOOKUP(TEXT(C26,0),'TNX RTF Parse'!$BB$1:$BE$201,4,0)),"")</f>
        <v/>
      </c>
      <c r="H26" s="415"/>
      <c r="I26" s="428" t="str">
        <f ca="1">IFERROR(VLOOKUP(REPLACE($C26,1,1,),Database!$CZ$4:$DB$203,3,0),"")</f>
        <v/>
      </c>
    </row>
    <row r="27" spans="3:9" x14ac:dyDescent="0.25">
      <c r="C27" s="399" t="str">
        <f ca="1">IF(D27="","",'TNX RTF Parse'!$BB12)</f>
        <v/>
      </c>
      <c r="D27" s="399" t="str">
        <f ca="1">IF('TNX File Parse'!S12&lt;&gt;"",'TNX File Parse'!S12,"")</f>
        <v/>
      </c>
      <c r="E27" s="399" t="str">
        <f ca="1">IF('TNX File Parse'!T12&lt;&gt;"",'TNX File Parse'!T12,"")</f>
        <v/>
      </c>
      <c r="F27" s="399" t="str">
        <f ca="1">IFERROR(IF(VLOOKUP(TEXT(C27,0),'TNX RTF Parse'!$BB$1:$BE$201,3,0)="","",VLOOKUP(TEXT(C27,0),'TNX RTF Parse'!$BB$1:$BE$201,3,0)),"")</f>
        <v/>
      </c>
      <c r="G27" s="399" t="str">
        <f ca="1">IFERROR(IF(VLOOKUP(TEXT(C27,0),'TNX RTF Parse'!$BB$1:$BE$201,4,0)="","",VLOOKUP(TEXT(C27,0),'TNX RTF Parse'!$BB$1:$BE$201,4,0)),"")</f>
        <v/>
      </c>
      <c r="H27" s="415"/>
      <c r="I27" s="428" t="str">
        <f ca="1">IFERROR(VLOOKUP(REPLACE($C27,1,1,),Database!$CZ$4:$DB$203,3,0),"")</f>
        <v/>
      </c>
    </row>
    <row r="28" spans="3:9" x14ac:dyDescent="0.25">
      <c r="C28" s="399" t="str">
        <f ca="1">IF(D28="","",'TNX RTF Parse'!$BB13)</f>
        <v/>
      </c>
      <c r="D28" s="399" t="str">
        <f ca="1">IF('TNX File Parse'!S13&lt;&gt;"",'TNX File Parse'!S13,"")</f>
        <v/>
      </c>
      <c r="E28" s="399" t="str">
        <f ca="1">IF('TNX File Parse'!T13&lt;&gt;"",'TNX File Parse'!T13,"")</f>
        <v/>
      </c>
      <c r="F28" s="399" t="str">
        <f ca="1">IFERROR(IF(VLOOKUP(TEXT(C28,0),'TNX RTF Parse'!$BB$1:$BE$201,3,0)="","",VLOOKUP(TEXT(C28,0),'TNX RTF Parse'!$BB$1:$BE$201,3,0)),"")</f>
        <v/>
      </c>
      <c r="G28" s="399" t="str">
        <f ca="1">IFERROR(IF(VLOOKUP(TEXT(C28,0),'TNX RTF Parse'!$BB$1:$BE$201,4,0)="","",VLOOKUP(TEXT(C28,0),'TNX RTF Parse'!$BB$1:$BE$201,4,0)),"")</f>
        <v/>
      </c>
      <c r="H28" s="415"/>
      <c r="I28" s="428" t="str">
        <f ca="1">IFERROR(VLOOKUP(REPLACE($C28,1,1,),Database!$CZ$4:$DB$203,3,0),"")</f>
        <v/>
      </c>
    </row>
    <row r="29" spans="3:9" x14ac:dyDescent="0.25">
      <c r="C29" s="399" t="str">
        <f ca="1">IF(D29="","",'TNX RTF Parse'!$BB14)</f>
        <v/>
      </c>
      <c r="D29" s="399" t="str">
        <f ca="1">IF('TNX File Parse'!S14&lt;&gt;"",'TNX File Parse'!S14,"")</f>
        <v/>
      </c>
      <c r="E29" s="399" t="str">
        <f ca="1">IF('TNX File Parse'!T14&lt;&gt;"",'TNX File Parse'!T14,"")</f>
        <v/>
      </c>
      <c r="F29" s="399" t="str">
        <f ca="1">IFERROR(IF(VLOOKUP(TEXT(C29,0),'TNX RTF Parse'!$BB$1:$BE$201,3,0)="","",VLOOKUP(TEXT(C29,0),'TNX RTF Parse'!$BB$1:$BE$201,3,0)),"")</f>
        <v/>
      </c>
      <c r="G29" s="399" t="str">
        <f ca="1">IFERROR(IF(VLOOKUP(TEXT(C29,0),'TNX RTF Parse'!$BB$1:$BE$201,4,0)="","",VLOOKUP(TEXT(C29,0),'TNX RTF Parse'!$BB$1:$BE$201,4,0)),"")</f>
        <v/>
      </c>
      <c r="H29" s="415"/>
      <c r="I29" s="428" t="str">
        <f ca="1">IFERROR(VLOOKUP(REPLACE($C29,1,1,),Database!$CZ$4:$DB$203,3,0),"")</f>
        <v/>
      </c>
    </row>
    <row r="30" spans="3:9" x14ac:dyDescent="0.25">
      <c r="C30" s="399" t="str">
        <f ca="1">IF(D30="","",'TNX RTF Parse'!$BB15)</f>
        <v/>
      </c>
      <c r="D30" s="399" t="str">
        <f ca="1">IF('TNX File Parse'!S15&lt;&gt;"",'TNX File Parse'!S15,"")</f>
        <v/>
      </c>
      <c r="E30" s="399" t="str">
        <f ca="1">IF('TNX File Parse'!T15&lt;&gt;"",'TNX File Parse'!T15,"")</f>
        <v/>
      </c>
      <c r="F30" s="399" t="str">
        <f ca="1">IFERROR(IF(VLOOKUP(TEXT(C30,0),'TNX RTF Parse'!$BB$1:$BE$201,3,0)="","",VLOOKUP(TEXT(C30,0),'TNX RTF Parse'!$BB$1:$BE$201,3,0)),"")</f>
        <v/>
      </c>
      <c r="G30" s="399" t="str">
        <f ca="1">IFERROR(IF(VLOOKUP(TEXT(C30,0),'TNX RTF Parse'!$BB$1:$BE$201,4,0)="","",VLOOKUP(TEXT(C30,0),'TNX RTF Parse'!$BB$1:$BE$201,4,0)),"")</f>
        <v/>
      </c>
      <c r="H30" s="415"/>
      <c r="I30" s="428" t="str">
        <f ca="1">IFERROR(VLOOKUP(REPLACE($C30,1,1,),Database!$CZ$4:$DB$203,3,0),"")</f>
        <v/>
      </c>
    </row>
    <row r="31" spans="3:9" x14ac:dyDescent="0.25">
      <c r="C31" s="399" t="str">
        <f ca="1">IF(D31="","",'TNX RTF Parse'!$BB16)</f>
        <v/>
      </c>
      <c r="D31" s="399" t="str">
        <f ca="1">IF('TNX File Parse'!S16&lt;&gt;"",'TNX File Parse'!S16,"")</f>
        <v/>
      </c>
      <c r="E31" s="399" t="str">
        <f ca="1">IF('TNX File Parse'!T16&lt;&gt;"",'TNX File Parse'!T16,"")</f>
        <v/>
      </c>
      <c r="F31" s="399" t="str">
        <f ca="1">IFERROR(IF(VLOOKUP(TEXT(C31,0),'TNX RTF Parse'!$BB$1:$BE$201,3,0)="","",VLOOKUP(TEXT(C31,0),'TNX RTF Parse'!$BB$1:$BE$201,3,0)),"")</f>
        <v/>
      </c>
      <c r="G31" s="399" t="str">
        <f ca="1">IFERROR(IF(VLOOKUP(TEXT(C31,0),'TNX RTF Parse'!$BB$1:$BE$201,4,0)="","",VLOOKUP(TEXT(C31,0),'TNX RTF Parse'!$BB$1:$BE$201,4,0)),"")</f>
        <v/>
      </c>
      <c r="H31" s="415"/>
      <c r="I31" s="428" t="str">
        <f ca="1">IFERROR(VLOOKUP(REPLACE($C31,1,1,),Database!$CZ$4:$DB$203,3,0),"")</f>
        <v/>
      </c>
    </row>
    <row r="32" spans="3:9" x14ac:dyDescent="0.25">
      <c r="C32" s="399" t="str">
        <f ca="1">IF(D32="","",'TNX RTF Parse'!$BB17)</f>
        <v/>
      </c>
      <c r="D32" s="399" t="str">
        <f ca="1">IF('TNX File Parse'!S17&lt;&gt;"",'TNX File Parse'!S17,"")</f>
        <v/>
      </c>
      <c r="E32" s="399" t="str">
        <f ca="1">IF('TNX File Parse'!T17&lt;&gt;"",'TNX File Parse'!T17,"")</f>
        <v/>
      </c>
      <c r="F32" s="399" t="str">
        <f ca="1">IFERROR(IF(VLOOKUP(TEXT(C32,0),'TNX RTF Parse'!$BB$1:$BE$201,3,0)="","",VLOOKUP(TEXT(C32,0),'TNX RTF Parse'!$BB$1:$BE$201,3,0)),"")</f>
        <v/>
      </c>
      <c r="G32" s="399" t="str">
        <f ca="1">IFERROR(IF(VLOOKUP(TEXT(C32,0),'TNX RTF Parse'!$BB$1:$BE$201,4,0)="","",VLOOKUP(TEXT(C32,0),'TNX RTF Parse'!$BB$1:$BE$201,4,0)),"")</f>
        <v/>
      </c>
      <c r="H32" s="415"/>
      <c r="I32" s="428" t="str">
        <f ca="1">IFERROR(VLOOKUP(REPLACE($C32,1,1,),Database!$CZ$4:$DB$203,3,0),"")</f>
        <v/>
      </c>
    </row>
    <row r="33" spans="3:9" x14ac:dyDescent="0.25">
      <c r="C33" s="399" t="str">
        <f ca="1">IF(D33="","",'TNX RTF Parse'!$BB18)</f>
        <v/>
      </c>
      <c r="D33" s="399" t="str">
        <f ca="1">IF('TNX File Parse'!S18&lt;&gt;"",'TNX File Parse'!S18,"")</f>
        <v/>
      </c>
      <c r="E33" s="399" t="str">
        <f ca="1">IF('TNX File Parse'!T18&lt;&gt;"",'TNX File Parse'!T18,"")</f>
        <v/>
      </c>
      <c r="F33" s="399" t="str">
        <f ca="1">IFERROR(IF(VLOOKUP(TEXT(C33,0),'TNX RTF Parse'!$BB$1:$BE$201,3,0)="","",VLOOKUP(TEXT(C33,0),'TNX RTF Parse'!$BB$1:$BE$201,3,0)),"")</f>
        <v/>
      </c>
      <c r="G33" s="399" t="str">
        <f ca="1">IFERROR(IF(VLOOKUP(TEXT(C33,0),'TNX RTF Parse'!$BB$1:$BE$201,4,0)="","",VLOOKUP(TEXT(C33,0),'TNX RTF Parse'!$BB$1:$BE$201,4,0)),"")</f>
        <v/>
      </c>
      <c r="H33" s="415"/>
      <c r="I33" s="428" t="str">
        <f ca="1">IFERROR(VLOOKUP(REPLACE($C33,1,1,),Database!$CZ$4:$DB$203,3,0),"")</f>
        <v/>
      </c>
    </row>
    <row r="34" spans="3:9" x14ac:dyDescent="0.25">
      <c r="C34" s="399" t="str">
        <f ca="1">IF(D34="","",'TNX RTF Parse'!$BB19)</f>
        <v/>
      </c>
      <c r="D34" s="399" t="str">
        <f ca="1">IF('TNX File Parse'!S19&lt;&gt;"",'TNX File Parse'!S19,"")</f>
        <v/>
      </c>
      <c r="E34" s="399" t="str">
        <f ca="1">IF('TNX File Parse'!T19&lt;&gt;"",'TNX File Parse'!T19,"")</f>
        <v/>
      </c>
      <c r="F34" s="399" t="str">
        <f ca="1">IFERROR(IF(VLOOKUP(TEXT(C34,0),'TNX RTF Parse'!$BB$1:$BE$201,3,0)="","",VLOOKUP(TEXT(C34,0),'TNX RTF Parse'!$BB$1:$BE$201,3,0)),"")</f>
        <v/>
      </c>
      <c r="G34" s="399" t="str">
        <f ca="1">IFERROR(IF(VLOOKUP(TEXT(C34,0),'TNX RTF Parse'!$BB$1:$BE$201,4,0)="","",VLOOKUP(TEXT(C34,0),'TNX RTF Parse'!$BB$1:$BE$201,4,0)),"")</f>
        <v/>
      </c>
      <c r="H34" s="415"/>
      <c r="I34" s="428" t="str">
        <f ca="1">IFERROR(VLOOKUP(REPLACE($C34,1,1,),Database!$CZ$4:$DB$203,3,0),"")</f>
        <v/>
      </c>
    </row>
    <row r="35" spans="3:9" x14ac:dyDescent="0.25">
      <c r="C35" s="399" t="str">
        <f ca="1">IF(D35="","",'TNX RTF Parse'!$BB20)</f>
        <v/>
      </c>
      <c r="D35" s="399" t="str">
        <f ca="1">IF('TNX File Parse'!S20&lt;&gt;"",'TNX File Parse'!S20,"")</f>
        <v/>
      </c>
      <c r="E35" s="399" t="str">
        <f ca="1">IF('TNX File Parse'!T20&lt;&gt;"",'TNX File Parse'!T20,"")</f>
        <v/>
      </c>
      <c r="F35" s="399" t="str">
        <f ca="1">IFERROR(IF(VLOOKUP(TEXT(C35,0),'TNX RTF Parse'!$BB$1:$BE$201,3,0)="","",VLOOKUP(TEXT(C35,0),'TNX RTF Parse'!$BB$1:$BE$201,3,0)),"")</f>
        <v/>
      </c>
      <c r="G35" s="399" t="str">
        <f ca="1">IFERROR(IF(VLOOKUP(TEXT(C35,0),'TNX RTF Parse'!$BB$1:$BE$201,4,0)="","",VLOOKUP(TEXT(C35,0),'TNX RTF Parse'!$BB$1:$BE$201,4,0)),"")</f>
        <v/>
      </c>
      <c r="H35" s="415"/>
      <c r="I35" s="428" t="str">
        <f ca="1">IFERROR(VLOOKUP(REPLACE($C35,1,1,),Database!$CZ$4:$DB$203,3,0),"")</f>
        <v/>
      </c>
    </row>
    <row r="36" spans="3:9" x14ac:dyDescent="0.25">
      <c r="C36" s="399" t="str">
        <f ca="1">IF(D36="","",'TNX RTF Parse'!$BB21)</f>
        <v/>
      </c>
      <c r="D36" s="399" t="str">
        <f ca="1">IF('TNX File Parse'!S21&lt;&gt;"",'TNX File Parse'!S21,"")</f>
        <v/>
      </c>
      <c r="E36" s="399" t="str">
        <f ca="1">IF('TNX File Parse'!T21&lt;&gt;"",'TNX File Parse'!T21,"")</f>
        <v/>
      </c>
      <c r="F36" s="399" t="str">
        <f ca="1">IFERROR(IF(VLOOKUP(TEXT(C36,0),'TNX RTF Parse'!$BB$1:$BE$201,3,0)="","",VLOOKUP(TEXT(C36,0),'TNX RTF Parse'!$BB$1:$BE$201,3,0)),"")</f>
        <v/>
      </c>
      <c r="G36" s="399" t="str">
        <f ca="1">IFERROR(IF(VLOOKUP(TEXT(C36,0),'TNX RTF Parse'!$BB$1:$BE$201,4,0)="","",VLOOKUP(TEXT(C36,0),'TNX RTF Parse'!$BB$1:$BE$201,4,0)),"")</f>
        <v/>
      </c>
      <c r="H36" s="415"/>
      <c r="I36" s="428" t="str">
        <f ca="1">IFERROR(VLOOKUP(REPLACE($C36,1,1,),Database!$CZ$4:$DB$203,3,0),"")</f>
        <v/>
      </c>
    </row>
    <row r="37" spans="3:9" x14ac:dyDescent="0.25">
      <c r="C37" s="399" t="str">
        <f ca="1">IF(D37="","",'TNX RTF Parse'!$BB22)</f>
        <v/>
      </c>
      <c r="D37" s="399" t="str">
        <f ca="1">IF('TNX File Parse'!S22&lt;&gt;"",'TNX File Parse'!S22,"")</f>
        <v/>
      </c>
      <c r="E37" s="399" t="str">
        <f ca="1">IF('TNX File Parse'!T22&lt;&gt;"",'TNX File Parse'!T22,"")</f>
        <v/>
      </c>
      <c r="F37" s="399" t="str">
        <f ca="1">IFERROR(IF(VLOOKUP(TEXT(C37,0),'TNX RTF Parse'!$BB$1:$BE$201,3,0)="","",VLOOKUP(TEXT(C37,0),'TNX RTF Parse'!$BB$1:$BE$201,3,0)),"")</f>
        <v/>
      </c>
      <c r="G37" s="399" t="str">
        <f ca="1">IFERROR(IF(VLOOKUP(TEXT(C37,0),'TNX RTF Parse'!$BB$1:$BE$201,4,0)="","",VLOOKUP(TEXT(C37,0),'TNX RTF Parse'!$BB$1:$BE$201,4,0)),"")</f>
        <v/>
      </c>
      <c r="H37" s="415"/>
      <c r="I37" s="428" t="str">
        <f ca="1">IFERROR(VLOOKUP(REPLACE($C37,1,1,),Database!$CZ$4:$DB$203,3,0),"")</f>
        <v/>
      </c>
    </row>
    <row r="38" spans="3:9" x14ac:dyDescent="0.25">
      <c r="C38" s="399" t="str">
        <f ca="1">IF(D38="","",'TNX RTF Parse'!$BB23)</f>
        <v/>
      </c>
      <c r="D38" s="399" t="str">
        <f ca="1">IF('TNX File Parse'!S23&lt;&gt;"",'TNX File Parse'!S23,"")</f>
        <v/>
      </c>
      <c r="E38" s="399" t="str">
        <f ca="1">IF('TNX File Parse'!T23&lt;&gt;"",'TNX File Parse'!T23,"")</f>
        <v/>
      </c>
      <c r="F38" s="399" t="str">
        <f ca="1">IFERROR(IF(VLOOKUP(TEXT(C38,0),'TNX RTF Parse'!$BB$1:$BE$201,3,0)="","",VLOOKUP(TEXT(C38,0),'TNX RTF Parse'!$BB$1:$BE$201,3,0)),"")</f>
        <v/>
      </c>
      <c r="G38" s="399" t="str">
        <f ca="1">IFERROR(IF(VLOOKUP(TEXT(C38,0),'TNX RTF Parse'!$BB$1:$BE$201,4,0)="","",VLOOKUP(TEXT(C38,0),'TNX RTF Parse'!$BB$1:$BE$201,4,0)),"")</f>
        <v/>
      </c>
      <c r="H38" s="415"/>
      <c r="I38" s="428" t="str">
        <f ca="1">IFERROR(VLOOKUP(REPLACE($C38,1,1,),Database!$CZ$4:$DB$203,3,0),"")</f>
        <v/>
      </c>
    </row>
    <row r="39" spans="3:9" x14ac:dyDescent="0.25">
      <c r="C39" s="399" t="str">
        <f ca="1">IF(D39="","",'TNX RTF Parse'!$BB24)</f>
        <v/>
      </c>
      <c r="D39" s="399" t="str">
        <f ca="1">IF('TNX File Parse'!S24&lt;&gt;"",'TNX File Parse'!S24,"")</f>
        <v/>
      </c>
      <c r="E39" s="399" t="str">
        <f ca="1">IF('TNX File Parse'!T24&lt;&gt;"",'TNX File Parse'!T24,"")</f>
        <v/>
      </c>
      <c r="F39" s="399" t="str">
        <f ca="1">IFERROR(IF(VLOOKUP(TEXT(C39,0),'TNX RTF Parse'!$BB$1:$BE$201,3,0)="","",VLOOKUP(TEXT(C39,0),'TNX RTF Parse'!$BB$1:$BE$201,3,0)),"")</f>
        <v/>
      </c>
      <c r="G39" s="399" t="str">
        <f ca="1">IFERROR(IF(VLOOKUP(TEXT(C39,0),'TNX RTF Parse'!$BB$1:$BE$201,4,0)="","",VLOOKUP(TEXT(C39,0),'TNX RTF Parse'!$BB$1:$BE$201,4,0)),"")</f>
        <v/>
      </c>
      <c r="H39" s="415"/>
      <c r="I39" s="428" t="str">
        <f ca="1">IFERROR(VLOOKUP(REPLACE($C39,1,1,),Database!$CZ$4:$DB$203,3,0),"")</f>
        <v/>
      </c>
    </row>
    <row r="40" spans="3:9" x14ac:dyDescent="0.25">
      <c r="C40" s="399" t="str">
        <f ca="1">IF(D40="","",'TNX RTF Parse'!$BB25)</f>
        <v/>
      </c>
      <c r="D40" s="399" t="str">
        <f ca="1">IF('TNX File Parse'!S25&lt;&gt;"",'TNX File Parse'!S25,"")</f>
        <v/>
      </c>
      <c r="E40" s="399" t="str">
        <f ca="1">IF('TNX File Parse'!T25&lt;&gt;"",'TNX File Parse'!T25,"")</f>
        <v/>
      </c>
      <c r="F40" s="399" t="str">
        <f ca="1">IFERROR(IF(VLOOKUP(TEXT(C40,0),'TNX RTF Parse'!$BB$1:$BE$201,3,0)="","",VLOOKUP(TEXT(C40,0),'TNX RTF Parse'!$BB$1:$BE$201,3,0)),"")</f>
        <v/>
      </c>
      <c r="G40" s="399" t="str">
        <f ca="1">IFERROR(IF(VLOOKUP(TEXT(C40,0),'TNX RTF Parse'!$BB$1:$BE$201,4,0)="","",VLOOKUP(TEXT(C40,0),'TNX RTF Parse'!$BB$1:$BE$201,4,0)),"")</f>
        <v/>
      </c>
      <c r="H40" s="415"/>
      <c r="I40" s="428" t="str">
        <f ca="1">IFERROR(VLOOKUP(REPLACE($C40,1,1,),Database!$CZ$4:$DB$203,3,0),"")</f>
        <v/>
      </c>
    </row>
    <row r="41" spans="3:9" x14ac:dyDescent="0.25">
      <c r="C41" s="399" t="str">
        <f ca="1">IF(D41="","",'TNX RTF Parse'!$BB26)</f>
        <v/>
      </c>
      <c r="D41" s="399" t="str">
        <f ca="1">IF('TNX File Parse'!S26&lt;&gt;"",'TNX File Parse'!S26,"")</f>
        <v/>
      </c>
      <c r="E41" s="399" t="str">
        <f ca="1">IF('TNX File Parse'!T26&lt;&gt;"",'TNX File Parse'!T26,"")</f>
        <v/>
      </c>
      <c r="F41" s="399" t="str">
        <f ca="1">IFERROR(IF(VLOOKUP(TEXT(C41,0),'TNX RTF Parse'!$BB$1:$BE$201,3,0)="","",VLOOKUP(TEXT(C41,0),'TNX RTF Parse'!$BB$1:$BE$201,3,0)),"")</f>
        <v/>
      </c>
      <c r="G41" s="399" t="str">
        <f ca="1">IFERROR(IF(VLOOKUP(TEXT(C41,0),'TNX RTF Parse'!$BB$1:$BE$201,4,0)="","",VLOOKUP(TEXT(C41,0),'TNX RTF Parse'!$BB$1:$BE$201,4,0)),"")</f>
        <v/>
      </c>
      <c r="H41" s="415"/>
      <c r="I41" s="428" t="str">
        <f ca="1">IFERROR(VLOOKUP(REPLACE($C41,1,1,),Database!$CZ$4:$DB$203,3,0),"")</f>
        <v/>
      </c>
    </row>
    <row r="42" spans="3:9" x14ac:dyDescent="0.25">
      <c r="C42" s="399" t="str">
        <f ca="1">IF(D42="","",'TNX RTF Parse'!$BB27)</f>
        <v/>
      </c>
      <c r="D42" s="399" t="str">
        <f ca="1">IF('TNX File Parse'!S27&lt;&gt;"",'TNX File Parse'!S27,"")</f>
        <v/>
      </c>
      <c r="E42" s="399" t="str">
        <f ca="1">IF('TNX File Parse'!T27&lt;&gt;"",'TNX File Parse'!T27,"")</f>
        <v/>
      </c>
      <c r="F42" s="399" t="str">
        <f ca="1">IFERROR(IF(VLOOKUP(TEXT(C42,0),'TNX RTF Parse'!$BB$1:$BE$201,3,0)="","",VLOOKUP(TEXT(C42,0),'TNX RTF Parse'!$BB$1:$BE$201,3,0)),"")</f>
        <v/>
      </c>
      <c r="G42" s="399" t="str">
        <f ca="1">IFERROR(IF(VLOOKUP(TEXT(C42,0),'TNX RTF Parse'!$BB$1:$BE$201,4,0)="","",VLOOKUP(TEXT(C42,0),'TNX RTF Parse'!$BB$1:$BE$201,4,0)),"")</f>
        <v/>
      </c>
      <c r="H42" s="415"/>
      <c r="I42" s="428" t="str">
        <f ca="1">IFERROR(VLOOKUP(REPLACE($C42,1,1,),Database!$CZ$4:$DB$203,3,0),"")</f>
        <v/>
      </c>
    </row>
    <row r="43" spans="3:9" x14ac:dyDescent="0.25">
      <c r="C43" s="399" t="str">
        <f ca="1">IF(D43="","",'TNX RTF Parse'!$BB28)</f>
        <v/>
      </c>
      <c r="D43" s="399" t="str">
        <f ca="1">IF('TNX File Parse'!S28&lt;&gt;"",'TNX File Parse'!S28,"")</f>
        <v/>
      </c>
      <c r="E43" s="399" t="str">
        <f ca="1">IF('TNX File Parse'!T28&lt;&gt;"",'TNX File Parse'!T28,"")</f>
        <v/>
      </c>
      <c r="F43" s="399" t="str">
        <f ca="1">IFERROR(IF(VLOOKUP(TEXT(C43,0),'TNX RTF Parse'!$BB$1:$BE$201,3,0)="","",VLOOKUP(TEXT(C43,0),'TNX RTF Parse'!$BB$1:$BE$201,3,0)),"")</f>
        <v/>
      </c>
      <c r="G43" s="399" t="str">
        <f ca="1">IFERROR(IF(VLOOKUP(TEXT(C43,0),'TNX RTF Parse'!$BB$1:$BE$201,4,0)="","",VLOOKUP(TEXT(C43,0),'TNX RTF Parse'!$BB$1:$BE$201,4,0)),"")</f>
        <v/>
      </c>
      <c r="H43" s="415"/>
      <c r="I43" s="428" t="str">
        <f ca="1">IFERROR(VLOOKUP(REPLACE($C43,1,1,),Database!$CZ$4:$DB$203,3,0),"")</f>
        <v/>
      </c>
    </row>
    <row r="44" spans="3:9" x14ac:dyDescent="0.25">
      <c r="C44" s="399" t="str">
        <f ca="1">IF(D44="","",'TNX RTF Parse'!$BB29)</f>
        <v/>
      </c>
      <c r="D44" s="399" t="str">
        <f ca="1">IF('TNX File Parse'!S29&lt;&gt;"",'TNX File Parse'!S29,"")</f>
        <v/>
      </c>
      <c r="E44" s="399" t="str">
        <f ca="1">IF('TNX File Parse'!T29&lt;&gt;"",'TNX File Parse'!T29,"")</f>
        <v/>
      </c>
      <c r="F44" s="399" t="str">
        <f ca="1">IFERROR(IF(VLOOKUP(TEXT(C44,0),'TNX RTF Parse'!$BB$1:$BE$201,3,0)="","",VLOOKUP(TEXT(C44,0),'TNX RTF Parse'!$BB$1:$BE$201,3,0)),"")</f>
        <v/>
      </c>
      <c r="G44" s="399" t="str">
        <f ca="1">IFERROR(IF(VLOOKUP(TEXT(C44,0),'TNX RTF Parse'!$BB$1:$BE$201,4,0)="","",VLOOKUP(TEXT(C44,0),'TNX RTF Parse'!$BB$1:$BE$201,4,0)),"")</f>
        <v/>
      </c>
      <c r="H44" s="415"/>
      <c r="I44" s="428" t="str">
        <f ca="1">IFERROR(VLOOKUP(REPLACE($C44,1,1,),Database!$CZ$4:$DB$203,3,0),"")</f>
        <v/>
      </c>
    </row>
    <row r="45" spans="3:9" x14ac:dyDescent="0.25">
      <c r="C45" s="399" t="str">
        <f ca="1">IF(D45="","",'TNX RTF Parse'!$BB30)</f>
        <v/>
      </c>
      <c r="D45" s="399" t="str">
        <f ca="1">IF('TNX File Parse'!S30&lt;&gt;"",'TNX File Parse'!S30,"")</f>
        <v/>
      </c>
      <c r="E45" s="399" t="str">
        <f ca="1">IF('TNX File Parse'!T30&lt;&gt;"",'TNX File Parse'!T30,"")</f>
        <v/>
      </c>
      <c r="F45" s="399" t="str">
        <f ca="1">IFERROR(IF(VLOOKUP(TEXT(C45,0),'TNX RTF Parse'!$BB$1:$BE$201,3,0)="","",VLOOKUP(TEXT(C45,0),'TNX RTF Parse'!$BB$1:$BE$201,3,0)),"")</f>
        <v/>
      </c>
      <c r="G45" s="399" t="str">
        <f ca="1">IFERROR(IF(VLOOKUP(TEXT(C45,0),'TNX RTF Parse'!$BB$1:$BE$201,4,0)="","",VLOOKUP(TEXT(C45,0),'TNX RTF Parse'!$BB$1:$BE$201,4,0)),"")</f>
        <v/>
      </c>
      <c r="H45" s="415"/>
      <c r="I45" s="428" t="str">
        <f ca="1">IFERROR(VLOOKUP(REPLACE($C45,1,1,),Database!$CZ$4:$DB$203,3,0),"")</f>
        <v/>
      </c>
    </row>
    <row r="46" spans="3:9" x14ac:dyDescent="0.25">
      <c r="C46" s="399" t="str">
        <f ca="1">IF(D46="","",'TNX RTF Parse'!$BB31)</f>
        <v/>
      </c>
      <c r="D46" s="399" t="str">
        <f ca="1">IF('TNX File Parse'!S31&lt;&gt;"",'TNX File Parse'!S31,"")</f>
        <v/>
      </c>
      <c r="E46" s="399" t="str">
        <f ca="1">IF('TNX File Parse'!T31&lt;&gt;"",'TNX File Parse'!T31,"")</f>
        <v/>
      </c>
      <c r="F46" s="399" t="str">
        <f ca="1">IFERROR(IF(VLOOKUP(TEXT(C46,0),'TNX RTF Parse'!$BB$1:$BE$201,3,0)="","",VLOOKUP(TEXT(C46,0),'TNX RTF Parse'!$BB$1:$BE$201,3,0)),"")</f>
        <v/>
      </c>
      <c r="G46" s="399" t="str">
        <f ca="1">IFERROR(IF(VLOOKUP(TEXT(C46,0),'TNX RTF Parse'!$BB$1:$BE$201,4,0)="","",VLOOKUP(TEXT(C46,0),'TNX RTF Parse'!$BB$1:$BE$201,4,0)),"")</f>
        <v/>
      </c>
      <c r="H46" s="415"/>
      <c r="I46" s="428" t="str">
        <f ca="1">IFERROR(VLOOKUP(REPLACE($C46,1,1,),Database!$CZ$4:$DB$203,3,0),"")</f>
        <v/>
      </c>
    </row>
    <row r="47" spans="3:9" x14ac:dyDescent="0.25">
      <c r="C47" s="399" t="str">
        <f ca="1">IF(D47="","",'TNX RTF Parse'!$BB32)</f>
        <v/>
      </c>
      <c r="D47" s="399" t="str">
        <f ca="1">IF('TNX File Parse'!S32&lt;&gt;"",'TNX File Parse'!S32,"")</f>
        <v/>
      </c>
      <c r="E47" s="399" t="str">
        <f ca="1">IF('TNX File Parse'!T32&lt;&gt;"",'TNX File Parse'!T32,"")</f>
        <v/>
      </c>
      <c r="F47" s="399" t="str">
        <f ca="1">IFERROR(IF(VLOOKUP(TEXT(C47,0),'TNX RTF Parse'!$BB$1:$BE$201,3,0)="","",VLOOKUP(TEXT(C47,0),'TNX RTF Parse'!$BB$1:$BE$201,3,0)),"")</f>
        <v/>
      </c>
      <c r="G47" s="399" t="str">
        <f ca="1">IFERROR(IF(VLOOKUP(TEXT(C47,0),'TNX RTF Parse'!$BB$1:$BE$201,4,0)="","",VLOOKUP(TEXT(C47,0),'TNX RTF Parse'!$BB$1:$BE$201,4,0)),"")</f>
        <v/>
      </c>
      <c r="H47" s="415"/>
      <c r="I47" s="428" t="str">
        <f ca="1">IFERROR(VLOOKUP(REPLACE($C47,1,1,),Database!$CZ$4:$DB$203,3,0),"")</f>
        <v/>
      </c>
    </row>
    <row r="48" spans="3:9" x14ac:dyDescent="0.25">
      <c r="C48" s="399" t="str">
        <f ca="1">IF(D48="","",'TNX RTF Parse'!$BB33)</f>
        <v/>
      </c>
      <c r="D48" s="399" t="str">
        <f ca="1">IF('TNX File Parse'!S33&lt;&gt;"",'TNX File Parse'!S33,"")</f>
        <v/>
      </c>
      <c r="E48" s="399" t="str">
        <f ca="1">IF('TNX File Parse'!T33&lt;&gt;"",'TNX File Parse'!T33,"")</f>
        <v/>
      </c>
      <c r="F48" s="399" t="str">
        <f ca="1">IFERROR(IF(VLOOKUP(TEXT(C48,0),'TNX RTF Parse'!$BB$1:$BE$201,3,0)="","",VLOOKUP(TEXT(C48,0),'TNX RTF Parse'!$BB$1:$BE$201,3,0)),"")</f>
        <v/>
      </c>
      <c r="G48" s="399" t="str">
        <f ca="1">IFERROR(IF(VLOOKUP(TEXT(C48,0),'TNX RTF Parse'!$BB$1:$BE$201,4,0)="","",VLOOKUP(TEXT(C48,0),'TNX RTF Parse'!$BB$1:$BE$201,4,0)),"")</f>
        <v/>
      </c>
      <c r="H48" s="415"/>
      <c r="I48" s="428" t="str">
        <f ca="1">IFERROR(VLOOKUP(REPLACE($C48,1,1,),Database!$CZ$4:$DB$203,3,0),"")</f>
        <v/>
      </c>
    </row>
    <row r="49" spans="3:9" x14ac:dyDescent="0.25">
      <c r="C49" s="399" t="str">
        <f ca="1">IF(D49="","",'TNX RTF Parse'!$BB34)</f>
        <v/>
      </c>
      <c r="D49" s="399" t="str">
        <f ca="1">IF('TNX File Parse'!S34&lt;&gt;"",'TNX File Parse'!S34,"")</f>
        <v/>
      </c>
      <c r="E49" s="399" t="str">
        <f ca="1">IF('TNX File Parse'!T34&lt;&gt;"",'TNX File Parse'!T34,"")</f>
        <v/>
      </c>
      <c r="F49" s="399" t="str">
        <f ca="1">IFERROR(IF(VLOOKUP(TEXT(C49,0),'TNX RTF Parse'!$BB$1:$BE$201,3,0)="","",VLOOKUP(TEXT(C49,0),'TNX RTF Parse'!$BB$1:$BE$201,3,0)),"")</f>
        <v/>
      </c>
      <c r="G49" s="399" t="str">
        <f ca="1">IFERROR(IF(VLOOKUP(TEXT(C49,0),'TNX RTF Parse'!$BB$1:$BE$201,4,0)="","",VLOOKUP(TEXT(C49,0),'TNX RTF Parse'!$BB$1:$BE$201,4,0)),"")</f>
        <v/>
      </c>
      <c r="H49" s="415"/>
      <c r="I49" s="428" t="str">
        <f ca="1">IFERROR(VLOOKUP(REPLACE($C49,1,1,),Database!$CZ$4:$DB$203,3,0),"")</f>
        <v/>
      </c>
    </row>
    <row r="50" spans="3:9" x14ac:dyDescent="0.25">
      <c r="C50" s="399" t="str">
        <f ca="1">IF(D50="","",'TNX RTF Parse'!$BB35)</f>
        <v/>
      </c>
      <c r="D50" s="399" t="str">
        <f ca="1">IF('TNX File Parse'!S35&lt;&gt;"",'TNX File Parse'!S35,"")</f>
        <v/>
      </c>
      <c r="E50" s="399" t="str">
        <f ca="1">IF('TNX File Parse'!T35&lt;&gt;"",'TNX File Parse'!T35,"")</f>
        <v/>
      </c>
      <c r="F50" s="399" t="str">
        <f ca="1">IFERROR(IF(VLOOKUP(TEXT(C50,0),'TNX RTF Parse'!$BB$1:$BE$201,3,0)="","",VLOOKUP(TEXT(C50,0),'TNX RTF Parse'!$BB$1:$BE$201,3,0)),"")</f>
        <v/>
      </c>
      <c r="G50" s="399" t="str">
        <f ca="1">IFERROR(IF(VLOOKUP(TEXT(C50,0),'TNX RTF Parse'!$BB$1:$BE$201,4,0)="","",VLOOKUP(TEXT(C50,0),'TNX RTF Parse'!$BB$1:$BE$201,4,0)),"")</f>
        <v/>
      </c>
      <c r="H50" s="415"/>
      <c r="I50" s="428" t="str">
        <f ca="1">IFERROR(VLOOKUP(REPLACE($C50,1,1,),Database!$CZ$4:$DB$203,3,0),"")</f>
        <v/>
      </c>
    </row>
    <row r="51" spans="3:9" x14ac:dyDescent="0.25">
      <c r="C51" s="399" t="str">
        <f ca="1">IF(D51="","",'TNX RTF Parse'!$BB36)</f>
        <v/>
      </c>
      <c r="D51" s="399" t="str">
        <f ca="1">IF('TNX File Parse'!S36&lt;&gt;"",'TNX File Parse'!S36,"")</f>
        <v/>
      </c>
      <c r="E51" s="399" t="str">
        <f ca="1">IF('TNX File Parse'!T36&lt;&gt;"",'TNX File Parse'!T36,"")</f>
        <v/>
      </c>
      <c r="F51" s="399" t="str">
        <f ca="1">IFERROR(IF(VLOOKUP(TEXT(C51,0),'TNX RTF Parse'!$BB$1:$BE$201,3,0)="","",VLOOKUP(TEXT(C51,0),'TNX RTF Parse'!$BB$1:$BE$201,3,0)),"")</f>
        <v/>
      </c>
      <c r="G51" s="399" t="str">
        <f ca="1">IFERROR(IF(VLOOKUP(TEXT(C51,0),'TNX RTF Parse'!$BB$1:$BE$201,4,0)="","",VLOOKUP(TEXT(C51,0),'TNX RTF Parse'!$BB$1:$BE$201,4,0)),"")</f>
        <v/>
      </c>
      <c r="H51" s="415"/>
      <c r="I51" s="428" t="str">
        <f ca="1">IFERROR(VLOOKUP(REPLACE($C51,1,1,),Database!$CZ$4:$DB$203,3,0),"")</f>
        <v/>
      </c>
    </row>
    <row r="52" spans="3:9" x14ac:dyDescent="0.25">
      <c r="C52" s="399" t="str">
        <f ca="1">IF(D52="","",'TNX RTF Parse'!$BB37)</f>
        <v/>
      </c>
      <c r="D52" s="399" t="str">
        <f ca="1">IF('TNX File Parse'!S37&lt;&gt;"",'TNX File Parse'!S37,"")</f>
        <v/>
      </c>
      <c r="E52" s="399" t="str">
        <f ca="1">IF('TNX File Parse'!T37&lt;&gt;"",'TNX File Parse'!T37,"")</f>
        <v/>
      </c>
      <c r="F52" s="399" t="str">
        <f ca="1">IFERROR(IF(VLOOKUP(TEXT(C52,0),'TNX RTF Parse'!$BB$1:$BE$201,3,0)="","",VLOOKUP(TEXT(C52,0),'TNX RTF Parse'!$BB$1:$BE$201,3,0)),"")</f>
        <v/>
      </c>
      <c r="G52" s="399" t="str">
        <f ca="1">IFERROR(IF(VLOOKUP(TEXT(C52,0),'TNX RTF Parse'!$BB$1:$BE$201,4,0)="","",VLOOKUP(TEXT(C52,0),'TNX RTF Parse'!$BB$1:$BE$201,4,0)),"")</f>
        <v/>
      </c>
      <c r="H52" s="415"/>
      <c r="I52" s="428" t="str">
        <f ca="1">IFERROR(VLOOKUP(REPLACE($C52,1,1,),Database!$CZ$4:$DB$203,3,0),"")</f>
        <v/>
      </c>
    </row>
    <row r="53" spans="3:9" x14ac:dyDescent="0.25">
      <c r="C53" s="399" t="str">
        <f ca="1">IF(D53="","",'TNX RTF Parse'!$BB38)</f>
        <v/>
      </c>
      <c r="D53" s="399" t="str">
        <f ca="1">IF('TNX File Parse'!S38&lt;&gt;"",'TNX File Parse'!S38,"")</f>
        <v/>
      </c>
      <c r="E53" s="399" t="str">
        <f ca="1">IF('TNX File Parse'!T38&lt;&gt;"",'TNX File Parse'!T38,"")</f>
        <v/>
      </c>
      <c r="F53" s="399" t="str">
        <f ca="1">IFERROR(IF(VLOOKUP(TEXT(C53,0),'TNX RTF Parse'!$BB$1:$BE$201,3,0)="","",VLOOKUP(TEXT(C53,0),'TNX RTF Parse'!$BB$1:$BE$201,3,0)),"")</f>
        <v/>
      </c>
      <c r="G53" s="399" t="str">
        <f ca="1">IFERROR(IF(VLOOKUP(TEXT(C53,0),'TNX RTF Parse'!$BB$1:$BE$201,4,0)="","",VLOOKUP(TEXT(C53,0),'TNX RTF Parse'!$BB$1:$BE$201,4,0)),"")</f>
        <v/>
      </c>
      <c r="H53" s="415"/>
      <c r="I53" s="428" t="str">
        <f ca="1">IFERROR(VLOOKUP(REPLACE($C53,1,1,),Database!$CZ$4:$DB$203,3,0),"")</f>
        <v/>
      </c>
    </row>
    <row r="54" spans="3:9" x14ac:dyDescent="0.25">
      <c r="C54" s="399" t="str">
        <f ca="1">IF(D54="","",'TNX RTF Parse'!$BB39)</f>
        <v/>
      </c>
      <c r="D54" s="399" t="str">
        <f ca="1">IF('TNX File Parse'!S39&lt;&gt;"",'TNX File Parse'!S39,"")</f>
        <v/>
      </c>
      <c r="E54" s="399" t="str">
        <f ca="1">IF('TNX File Parse'!T39&lt;&gt;"",'TNX File Parse'!T39,"")</f>
        <v/>
      </c>
      <c r="F54" s="399" t="str">
        <f ca="1">IFERROR(IF(VLOOKUP(TEXT(C54,0),'TNX RTF Parse'!$BB$1:$BE$201,3,0)="","",VLOOKUP(TEXT(C54,0),'TNX RTF Parse'!$BB$1:$BE$201,3,0)),"")</f>
        <v/>
      </c>
      <c r="G54" s="399" t="str">
        <f ca="1">IFERROR(IF(VLOOKUP(TEXT(C54,0),'TNX RTF Parse'!$BB$1:$BE$201,4,0)="","",VLOOKUP(TEXT(C54,0),'TNX RTF Parse'!$BB$1:$BE$201,4,0)),"")</f>
        <v/>
      </c>
      <c r="H54" s="415"/>
      <c r="I54" s="428" t="str">
        <f ca="1">IFERROR(VLOOKUP(REPLACE($C54,1,1,),Database!$CZ$4:$DB$203,3,0),"")</f>
        <v/>
      </c>
    </row>
    <row r="55" spans="3:9" x14ac:dyDescent="0.25">
      <c r="C55" s="399" t="str">
        <f ca="1">IF(D55="","",'TNX RTF Parse'!$BB40)</f>
        <v/>
      </c>
      <c r="D55" s="399" t="str">
        <f ca="1">IF('TNX File Parse'!S40&lt;&gt;"",'TNX File Parse'!S40,"")</f>
        <v/>
      </c>
      <c r="E55" s="399" t="str">
        <f ca="1">IF('TNX File Parse'!T40&lt;&gt;"",'TNX File Parse'!T40,"")</f>
        <v/>
      </c>
      <c r="F55" s="399" t="str">
        <f ca="1">IFERROR(IF(VLOOKUP(TEXT(C55,0),'TNX RTF Parse'!$BB$1:$BE$201,3,0)="","",VLOOKUP(TEXT(C55,0),'TNX RTF Parse'!$BB$1:$BE$201,3,0)),"")</f>
        <v/>
      </c>
      <c r="G55" s="399" t="str">
        <f ca="1">IFERROR(IF(VLOOKUP(TEXT(C55,0),'TNX RTF Parse'!$BB$1:$BE$201,4,0)="","",VLOOKUP(TEXT(C55,0),'TNX RTF Parse'!$BB$1:$BE$201,4,0)),"")</f>
        <v/>
      </c>
      <c r="H55" s="415"/>
      <c r="I55" s="428" t="str">
        <f ca="1">IFERROR(VLOOKUP(REPLACE($C55,1,1,),Database!$CZ$4:$DB$203,3,0),"")</f>
        <v/>
      </c>
    </row>
    <row r="56" spans="3:9" x14ac:dyDescent="0.25">
      <c r="C56" s="399" t="str">
        <f ca="1">IF(D56="","",'TNX RTF Parse'!$BB41)</f>
        <v/>
      </c>
      <c r="D56" s="399" t="str">
        <f ca="1">IF('TNX File Parse'!S41&lt;&gt;"",'TNX File Parse'!S41,"")</f>
        <v/>
      </c>
      <c r="E56" s="399" t="str">
        <f ca="1">IF('TNX File Parse'!T41&lt;&gt;"",'TNX File Parse'!T41,"")</f>
        <v/>
      </c>
      <c r="F56" s="399" t="str">
        <f ca="1">IFERROR(IF(VLOOKUP(TEXT(C56,0),'TNX RTF Parse'!$BB$1:$BE$201,3,0)="","",VLOOKUP(TEXT(C56,0),'TNX RTF Parse'!$BB$1:$BE$201,3,0)),"")</f>
        <v/>
      </c>
      <c r="G56" s="399" t="str">
        <f ca="1">IFERROR(IF(VLOOKUP(TEXT(C56,0),'TNX RTF Parse'!$BB$1:$BE$201,4,0)="","",VLOOKUP(TEXT(C56,0),'TNX RTF Parse'!$BB$1:$BE$201,4,0)),"")</f>
        <v/>
      </c>
      <c r="H56" s="415"/>
      <c r="I56" s="428" t="str">
        <f ca="1">IFERROR(VLOOKUP(REPLACE($C56,1,1,),Database!$CZ$4:$DB$203,3,0),"")</f>
        <v/>
      </c>
    </row>
    <row r="57" spans="3:9" x14ac:dyDescent="0.25">
      <c r="C57" s="399" t="str">
        <f ca="1">IF(D57="","",'TNX RTF Parse'!$BB42)</f>
        <v/>
      </c>
      <c r="D57" s="399" t="str">
        <f ca="1">IF('TNX File Parse'!S42&lt;&gt;"",'TNX File Parse'!S42,"")</f>
        <v/>
      </c>
      <c r="E57" s="399" t="str">
        <f ca="1">IF('TNX File Parse'!T42&lt;&gt;"",'TNX File Parse'!T42,"")</f>
        <v/>
      </c>
      <c r="F57" s="399" t="str">
        <f ca="1">IFERROR(IF(VLOOKUP(TEXT(C57,0),'TNX RTF Parse'!$BB$1:$BE$201,3,0)="","",VLOOKUP(TEXT(C57,0),'TNX RTF Parse'!$BB$1:$BE$201,3,0)),"")</f>
        <v/>
      </c>
      <c r="G57" s="399" t="str">
        <f ca="1">IFERROR(IF(VLOOKUP(TEXT(C57,0),'TNX RTF Parse'!$BB$1:$BE$201,4,0)="","",VLOOKUP(TEXT(C57,0),'TNX RTF Parse'!$BB$1:$BE$201,4,0)),"")</f>
        <v/>
      </c>
      <c r="H57" s="415"/>
      <c r="I57" s="428" t="str">
        <f ca="1">IFERROR(VLOOKUP(REPLACE($C57,1,1,),Database!$CZ$4:$DB$203,3,0),"")</f>
        <v/>
      </c>
    </row>
    <row r="58" spans="3:9" x14ac:dyDescent="0.25">
      <c r="C58" s="399" t="str">
        <f ca="1">IF(D58="","",'TNX RTF Parse'!$BB43)</f>
        <v/>
      </c>
      <c r="D58" s="399" t="str">
        <f ca="1">IF('TNX File Parse'!S43&lt;&gt;"",'TNX File Parse'!S43,"")</f>
        <v/>
      </c>
      <c r="E58" s="399" t="str">
        <f ca="1">IF('TNX File Parse'!T43&lt;&gt;"",'TNX File Parse'!T43,"")</f>
        <v/>
      </c>
      <c r="F58" s="399" t="str">
        <f ca="1">IFERROR(IF(VLOOKUP(TEXT(C58,0),'TNX RTF Parse'!$BB$1:$BE$201,3,0)="","",VLOOKUP(TEXT(C58,0),'TNX RTF Parse'!$BB$1:$BE$201,3,0)),"")</f>
        <v/>
      </c>
      <c r="G58" s="399" t="str">
        <f ca="1">IFERROR(IF(VLOOKUP(TEXT(C58,0),'TNX RTF Parse'!$BB$1:$BE$201,4,0)="","",VLOOKUP(TEXT(C58,0),'TNX RTF Parse'!$BB$1:$BE$201,4,0)),"")</f>
        <v/>
      </c>
      <c r="H58" s="415"/>
      <c r="I58" s="428" t="str">
        <f ca="1">IFERROR(VLOOKUP(REPLACE($C58,1,1,),Database!$CZ$4:$DB$203,3,0),"")</f>
        <v/>
      </c>
    </row>
    <row r="59" spans="3:9" x14ac:dyDescent="0.25">
      <c r="C59" s="399" t="str">
        <f ca="1">IF(D59="","",'TNX RTF Parse'!$BB44)</f>
        <v/>
      </c>
      <c r="D59" s="399" t="str">
        <f ca="1">IF('TNX File Parse'!S44&lt;&gt;"",'TNX File Parse'!S44,"")</f>
        <v/>
      </c>
      <c r="E59" s="399" t="str">
        <f ca="1">IF('TNX File Parse'!T44&lt;&gt;"",'TNX File Parse'!T44,"")</f>
        <v/>
      </c>
      <c r="F59" s="399" t="str">
        <f ca="1">IFERROR(IF(VLOOKUP(TEXT(C59,0),'TNX RTF Parse'!$BB$1:$BE$201,3,0)="","",VLOOKUP(TEXT(C59,0),'TNX RTF Parse'!$BB$1:$BE$201,3,0)),"")</f>
        <v/>
      </c>
      <c r="G59" s="399" t="str">
        <f ca="1">IFERROR(IF(VLOOKUP(TEXT(C59,0),'TNX RTF Parse'!$BB$1:$BE$201,4,0)="","",VLOOKUP(TEXT(C59,0),'TNX RTF Parse'!$BB$1:$BE$201,4,0)),"")</f>
        <v/>
      </c>
      <c r="H59" s="415"/>
      <c r="I59" s="428" t="str">
        <f ca="1">IFERROR(VLOOKUP(REPLACE($C59,1,1,),Database!$CZ$4:$DB$203,3,0),"")</f>
        <v/>
      </c>
    </row>
    <row r="60" spans="3:9" x14ac:dyDescent="0.25">
      <c r="C60" s="399" t="str">
        <f ca="1">IF(D60="","",'TNX RTF Parse'!$BB45)</f>
        <v/>
      </c>
      <c r="D60" s="399" t="str">
        <f ca="1">IF('TNX File Parse'!S45&lt;&gt;"",'TNX File Parse'!S45,"")</f>
        <v/>
      </c>
      <c r="E60" s="399" t="str">
        <f ca="1">IF('TNX File Parse'!T45&lt;&gt;"",'TNX File Parse'!T45,"")</f>
        <v/>
      </c>
      <c r="F60" s="399" t="str">
        <f ca="1">IFERROR(IF(VLOOKUP(TEXT(C60,0),'TNX RTF Parse'!$BB$1:$BE$201,3,0)="","",VLOOKUP(TEXT(C60,0),'TNX RTF Parse'!$BB$1:$BE$201,3,0)),"")</f>
        <v/>
      </c>
      <c r="G60" s="399" t="str">
        <f ca="1">IFERROR(IF(VLOOKUP(TEXT(C60,0),'TNX RTF Parse'!$BB$1:$BE$201,4,0)="","",VLOOKUP(TEXT(C60,0),'TNX RTF Parse'!$BB$1:$BE$201,4,0)),"")</f>
        <v/>
      </c>
      <c r="H60" s="415"/>
      <c r="I60" s="428" t="str">
        <f ca="1">IFERROR(VLOOKUP(REPLACE($C60,1,1,),Database!$CZ$4:$DB$203,3,0),"")</f>
        <v/>
      </c>
    </row>
    <row r="61" spans="3:9" x14ac:dyDescent="0.25">
      <c r="C61" s="399" t="str">
        <f ca="1">IF(D61="","",'TNX RTF Parse'!$BB46)</f>
        <v/>
      </c>
      <c r="D61" s="399" t="str">
        <f ca="1">IF('TNX File Parse'!S46&lt;&gt;"",'TNX File Parse'!S46,"")</f>
        <v/>
      </c>
      <c r="E61" s="399" t="str">
        <f ca="1">IF('TNX File Parse'!T46&lt;&gt;"",'TNX File Parse'!T46,"")</f>
        <v/>
      </c>
      <c r="F61" s="399" t="str">
        <f ca="1">IFERROR(IF(VLOOKUP(TEXT(C61,0),'TNX RTF Parse'!$BB$1:$BE$201,3,0)="","",VLOOKUP(TEXT(C61,0),'TNX RTF Parse'!$BB$1:$BE$201,3,0)),"")</f>
        <v/>
      </c>
      <c r="G61" s="399" t="str">
        <f ca="1">IFERROR(IF(VLOOKUP(TEXT(C61,0),'TNX RTF Parse'!$BB$1:$BE$201,4,0)="","",VLOOKUP(TEXT(C61,0),'TNX RTF Parse'!$BB$1:$BE$201,4,0)),"")</f>
        <v/>
      </c>
      <c r="H61" s="415"/>
      <c r="I61" s="428" t="str">
        <f ca="1">IFERROR(VLOOKUP(REPLACE($C61,1,1,),Database!$CZ$4:$DB$203,3,0),"")</f>
        <v/>
      </c>
    </row>
    <row r="62" spans="3:9" x14ac:dyDescent="0.25">
      <c r="C62" s="399" t="str">
        <f ca="1">IF(D62="","",'TNX RTF Parse'!$BB47)</f>
        <v/>
      </c>
      <c r="D62" s="399" t="str">
        <f ca="1">IF('TNX File Parse'!S47&lt;&gt;"",'TNX File Parse'!S47,"")</f>
        <v/>
      </c>
      <c r="E62" s="399" t="str">
        <f ca="1">IF('TNX File Parse'!T47&lt;&gt;"",'TNX File Parse'!T47,"")</f>
        <v/>
      </c>
      <c r="F62" s="399" t="str">
        <f ca="1">IFERROR(IF(VLOOKUP(TEXT(C62,0),'TNX RTF Parse'!$BB$1:$BE$201,3,0)="","",VLOOKUP(TEXT(C62,0),'TNX RTF Parse'!$BB$1:$BE$201,3,0)),"")</f>
        <v/>
      </c>
      <c r="G62" s="399" t="str">
        <f ca="1">IFERROR(IF(VLOOKUP(TEXT(C62,0),'TNX RTF Parse'!$BB$1:$BE$201,4,0)="","",VLOOKUP(TEXT(C62,0),'TNX RTF Parse'!$BB$1:$BE$201,4,0)),"")</f>
        <v/>
      </c>
      <c r="H62" s="415"/>
      <c r="I62" s="428" t="str">
        <f ca="1">IFERROR(VLOOKUP(REPLACE($C62,1,1,),Database!$CZ$4:$DB$203,3,0),"")</f>
        <v/>
      </c>
    </row>
    <row r="63" spans="3:9" x14ac:dyDescent="0.25">
      <c r="C63" s="399" t="str">
        <f ca="1">IF(D63="","",'TNX RTF Parse'!$BB48)</f>
        <v/>
      </c>
      <c r="D63" s="399" t="str">
        <f ca="1">IF('TNX File Parse'!S48&lt;&gt;"",'TNX File Parse'!S48,"")</f>
        <v/>
      </c>
      <c r="E63" s="399" t="str">
        <f ca="1">IF('TNX File Parse'!T48&lt;&gt;"",'TNX File Parse'!T48,"")</f>
        <v/>
      </c>
      <c r="F63" s="399" t="str">
        <f ca="1">IFERROR(IF(VLOOKUP(TEXT(C63,0),'TNX RTF Parse'!$BB$1:$BE$201,3,0)="","",VLOOKUP(TEXT(C63,0),'TNX RTF Parse'!$BB$1:$BE$201,3,0)),"")</f>
        <v/>
      </c>
      <c r="G63" s="399" t="str">
        <f ca="1">IFERROR(IF(VLOOKUP(TEXT(C63,0),'TNX RTF Parse'!$BB$1:$BE$201,4,0)="","",VLOOKUP(TEXT(C63,0),'TNX RTF Parse'!$BB$1:$BE$201,4,0)),"")</f>
        <v/>
      </c>
      <c r="H63" s="415"/>
      <c r="I63" s="428" t="str">
        <f ca="1">IFERROR(VLOOKUP(REPLACE($C63,1,1,),Database!$CZ$4:$DB$203,3,0),"")</f>
        <v/>
      </c>
    </row>
    <row r="64" spans="3:9" x14ac:dyDescent="0.25">
      <c r="C64" s="399" t="str">
        <f ca="1">IF(D64="","",'TNX RTF Parse'!$BB49)</f>
        <v/>
      </c>
      <c r="D64" s="399" t="str">
        <f ca="1">IF('TNX File Parse'!S49&lt;&gt;"",'TNX File Parse'!S49,"")</f>
        <v/>
      </c>
      <c r="E64" s="399" t="str">
        <f ca="1">IF('TNX File Parse'!T49&lt;&gt;"",'TNX File Parse'!T49,"")</f>
        <v/>
      </c>
      <c r="F64" s="399" t="str">
        <f ca="1">IFERROR(IF(VLOOKUP(TEXT(C64,0),'TNX RTF Parse'!$BB$1:$BE$201,3,0)="","",VLOOKUP(TEXT(C64,0),'TNX RTF Parse'!$BB$1:$BE$201,3,0)),"")</f>
        <v/>
      </c>
      <c r="G64" s="399" t="str">
        <f ca="1">IFERROR(IF(VLOOKUP(TEXT(C64,0),'TNX RTF Parse'!$BB$1:$BE$201,4,0)="","",VLOOKUP(TEXT(C64,0),'TNX RTF Parse'!$BB$1:$BE$201,4,0)),"")</f>
        <v/>
      </c>
      <c r="H64" s="415"/>
      <c r="I64" s="428" t="str">
        <f ca="1">IFERROR(VLOOKUP(REPLACE($C64,1,1,),Database!$CZ$4:$DB$203,3,0),"")</f>
        <v/>
      </c>
    </row>
    <row r="65" spans="3:9" x14ac:dyDescent="0.25">
      <c r="C65" s="399" t="str">
        <f ca="1">IF(D65="","",'TNX RTF Parse'!$BB50)</f>
        <v/>
      </c>
      <c r="D65" s="399" t="str">
        <f ca="1">IF('TNX File Parse'!S50&lt;&gt;"",'TNX File Parse'!S50,"")</f>
        <v/>
      </c>
      <c r="E65" s="399" t="str">
        <f ca="1">IF('TNX File Parse'!T50&lt;&gt;"",'TNX File Parse'!T50,"")</f>
        <v/>
      </c>
      <c r="F65" s="399" t="str">
        <f ca="1">IFERROR(IF(VLOOKUP(TEXT(C65,0),'TNX RTF Parse'!$BB$1:$BE$201,3,0)="","",VLOOKUP(TEXT(C65,0),'TNX RTF Parse'!$BB$1:$BE$201,3,0)),"")</f>
        <v/>
      </c>
      <c r="G65" s="399" t="str">
        <f ca="1">IFERROR(IF(VLOOKUP(TEXT(C65,0),'TNX RTF Parse'!$BB$1:$BE$201,4,0)="","",VLOOKUP(TEXT(C65,0),'TNX RTF Parse'!$BB$1:$BE$201,4,0)),"")</f>
        <v/>
      </c>
      <c r="H65" s="415"/>
      <c r="I65" s="428" t="str">
        <f ca="1">IFERROR(VLOOKUP(REPLACE($C65,1,1,),Database!$CZ$4:$DB$203,3,0),"")</f>
        <v/>
      </c>
    </row>
    <row r="66" spans="3:9" x14ac:dyDescent="0.25">
      <c r="C66" s="399" t="str">
        <f ca="1">IF(D66="","",'TNX RTF Parse'!$BB51)</f>
        <v/>
      </c>
      <c r="D66" s="399" t="str">
        <f ca="1">IF('TNX File Parse'!S51&lt;&gt;"",'TNX File Parse'!S51,"")</f>
        <v/>
      </c>
      <c r="E66" s="399" t="str">
        <f ca="1">IF('TNX File Parse'!T51&lt;&gt;"",'TNX File Parse'!T51,"")</f>
        <v/>
      </c>
      <c r="F66" s="399" t="str">
        <f ca="1">IFERROR(IF(VLOOKUP(TEXT(C66,0),'TNX RTF Parse'!$BB$1:$BE$201,3,0)="","",VLOOKUP(TEXT(C66,0),'TNX RTF Parse'!$BB$1:$BE$201,3,0)),"")</f>
        <v/>
      </c>
      <c r="G66" s="399" t="str">
        <f ca="1">IFERROR(IF(VLOOKUP(TEXT(C66,0),'TNX RTF Parse'!$BB$1:$BE$201,4,0)="","",VLOOKUP(TEXT(C66,0),'TNX RTF Parse'!$BB$1:$BE$201,4,0)),"")</f>
        <v/>
      </c>
      <c r="H66" s="415"/>
      <c r="I66" s="428" t="str">
        <f ca="1">IFERROR(VLOOKUP(REPLACE($C66,1,1,),Database!$CZ$4:$DB$203,3,0),"")</f>
        <v/>
      </c>
    </row>
    <row r="67" spans="3:9" x14ac:dyDescent="0.25">
      <c r="C67" s="399" t="str">
        <f ca="1">IF(D67="","",'TNX RTF Parse'!$BB52)</f>
        <v/>
      </c>
      <c r="D67" s="399" t="str">
        <f ca="1">IF('TNX File Parse'!S52&lt;&gt;"",'TNX File Parse'!S52,"")</f>
        <v/>
      </c>
      <c r="E67" s="399" t="str">
        <f ca="1">IF('TNX File Parse'!T52&lt;&gt;"",'TNX File Parse'!T52,"")</f>
        <v/>
      </c>
      <c r="F67" s="399" t="str">
        <f ca="1">IFERROR(IF(VLOOKUP(TEXT(C67,0),'TNX RTF Parse'!$BB$1:$BE$201,3,0)="","",VLOOKUP(TEXT(C67,0),'TNX RTF Parse'!$BB$1:$BE$201,3,0)),"")</f>
        <v/>
      </c>
      <c r="G67" s="399" t="str">
        <f ca="1">IFERROR(IF(VLOOKUP(TEXT(C67,0),'TNX RTF Parse'!$BB$1:$BE$201,4,0)="","",VLOOKUP(TEXT(C67,0),'TNX RTF Parse'!$BB$1:$BE$201,4,0)),"")</f>
        <v/>
      </c>
      <c r="H67" s="415"/>
      <c r="I67" s="428" t="str">
        <f ca="1">IFERROR(VLOOKUP(REPLACE($C67,1,1,),Database!$CZ$4:$DB$203,3,0),"")</f>
        <v/>
      </c>
    </row>
    <row r="68" spans="3:9" x14ac:dyDescent="0.25">
      <c r="C68" s="399" t="str">
        <f ca="1">IF(D68="","",'TNX RTF Parse'!$BB53)</f>
        <v/>
      </c>
      <c r="D68" s="399" t="str">
        <f ca="1">IF('TNX File Parse'!S53&lt;&gt;"",'TNX File Parse'!S53,"")</f>
        <v/>
      </c>
      <c r="E68" s="399" t="str">
        <f ca="1">IF('TNX File Parse'!T53&lt;&gt;"",'TNX File Parse'!T53,"")</f>
        <v/>
      </c>
      <c r="F68" s="399" t="str">
        <f ca="1">IFERROR(IF(VLOOKUP(TEXT(C68,0),'TNX RTF Parse'!$BB$1:$BE$201,3,0)="","",VLOOKUP(TEXT(C68,0),'TNX RTF Parse'!$BB$1:$BE$201,3,0)),"")</f>
        <v/>
      </c>
      <c r="G68" s="399" t="str">
        <f ca="1">IFERROR(IF(VLOOKUP(TEXT(C68,0),'TNX RTF Parse'!$BB$1:$BE$201,4,0)="","",VLOOKUP(TEXT(C68,0),'TNX RTF Parse'!$BB$1:$BE$201,4,0)),"")</f>
        <v/>
      </c>
      <c r="H68" s="415"/>
      <c r="I68" s="428" t="str">
        <f ca="1">IFERROR(VLOOKUP(REPLACE($C68,1,1,),Database!$CZ$4:$DB$203,3,0),"")</f>
        <v/>
      </c>
    </row>
    <row r="69" spans="3:9" x14ac:dyDescent="0.25">
      <c r="C69" s="399" t="str">
        <f ca="1">IF(D69="","",'TNX RTF Parse'!$BB54)</f>
        <v/>
      </c>
      <c r="D69" s="399" t="str">
        <f ca="1">IF('TNX File Parse'!S54&lt;&gt;"",'TNX File Parse'!S54,"")</f>
        <v/>
      </c>
      <c r="E69" s="399" t="str">
        <f ca="1">IF('TNX File Parse'!T54&lt;&gt;"",'TNX File Parse'!T54,"")</f>
        <v/>
      </c>
      <c r="F69" s="399" t="str">
        <f ca="1">IFERROR(IF(VLOOKUP(TEXT(C69,0),'TNX RTF Parse'!$BB$1:$BE$201,3,0)="","",VLOOKUP(TEXT(C69,0),'TNX RTF Parse'!$BB$1:$BE$201,3,0)),"")</f>
        <v/>
      </c>
      <c r="G69" s="399" t="str">
        <f ca="1">IFERROR(IF(VLOOKUP(TEXT(C69,0),'TNX RTF Parse'!$BB$1:$BE$201,4,0)="","",VLOOKUP(TEXT(C69,0),'TNX RTF Parse'!$BB$1:$BE$201,4,0)),"")</f>
        <v/>
      </c>
      <c r="H69" s="415"/>
      <c r="I69" s="428" t="str">
        <f ca="1">IFERROR(VLOOKUP(REPLACE($C69,1,1,),Database!$CZ$4:$DB$203,3,0),"")</f>
        <v/>
      </c>
    </row>
    <row r="70" spans="3:9" x14ac:dyDescent="0.25">
      <c r="C70" s="399" t="str">
        <f ca="1">IF(D70="","",'TNX RTF Parse'!$BB55)</f>
        <v/>
      </c>
      <c r="D70" s="399" t="str">
        <f ca="1">IF('TNX File Parse'!S55&lt;&gt;"",'TNX File Parse'!S55,"")</f>
        <v/>
      </c>
      <c r="E70" s="399" t="str">
        <f ca="1">IF('TNX File Parse'!T55&lt;&gt;"",'TNX File Parse'!T55,"")</f>
        <v/>
      </c>
      <c r="F70" s="399" t="str">
        <f ca="1">IFERROR(IF(VLOOKUP(TEXT(C70,0),'TNX RTF Parse'!$BB$1:$BE$201,3,0)="","",VLOOKUP(TEXT(C70,0),'TNX RTF Parse'!$BB$1:$BE$201,3,0)),"")</f>
        <v/>
      </c>
      <c r="G70" s="399" t="str">
        <f ca="1">IFERROR(IF(VLOOKUP(TEXT(C70,0),'TNX RTF Parse'!$BB$1:$BE$201,4,0)="","",VLOOKUP(TEXT(C70,0),'TNX RTF Parse'!$BB$1:$BE$201,4,0)),"")</f>
        <v/>
      </c>
      <c r="H70" s="415"/>
      <c r="I70" s="428" t="str">
        <f ca="1">IFERROR(VLOOKUP(REPLACE($C70,1,1,),Database!$CZ$4:$DB$203,3,0),"")</f>
        <v/>
      </c>
    </row>
    <row r="71" spans="3:9" x14ac:dyDescent="0.25">
      <c r="C71" s="399" t="str">
        <f ca="1">IF(D71="","",'TNX RTF Parse'!$BB56)</f>
        <v/>
      </c>
      <c r="D71" s="399" t="str">
        <f ca="1">IF('TNX File Parse'!S56&lt;&gt;"",'TNX File Parse'!S56,"")</f>
        <v/>
      </c>
      <c r="E71" s="399" t="str">
        <f ca="1">IF('TNX File Parse'!T56&lt;&gt;"",'TNX File Parse'!T56,"")</f>
        <v/>
      </c>
      <c r="F71" s="399" t="str">
        <f ca="1">IFERROR(IF(VLOOKUP(TEXT(C71,0),'TNX RTF Parse'!$BB$1:$BE$201,3,0)="","",VLOOKUP(TEXT(C71,0),'TNX RTF Parse'!$BB$1:$BE$201,3,0)),"")</f>
        <v/>
      </c>
      <c r="G71" s="399" t="str">
        <f ca="1">IFERROR(IF(VLOOKUP(TEXT(C71,0),'TNX RTF Parse'!$BB$1:$BE$201,4,0)="","",VLOOKUP(TEXT(C71,0),'TNX RTF Parse'!$BB$1:$BE$201,4,0)),"")</f>
        <v/>
      </c>
      <c r="H71" s="415"/>
      <c r="I71" s="428" t="str">
        <f ca="1">IFERROR(VLOOKUP(REPLACE($C71,1,1,),Database!$CZ$4:$DB$203,3,0),"")</f>
        <v/>
      </c>
    </row>
    <row r="72" spans="3:9" x14ac:dyDescent="0.25">
      <c r="C72" s="399" t="str">
        <f ca="1">IF(D72="","",'TNX RTF Parse'!$BB57)</f>
        <v/>
      </c>
      <c r="D72" s="399" t="str">
        <f ca="1">IF('TNX File Parse'!S57&lt;&gt;"",'TNX File Parse'!S57,"")</f>
        <v/>
      </c>
      <c r="E72" s="399" t="str">
        <f ca="1">IF('TNX File Parse'!T57&lt;&gt;"",'TNX File Parse'!T57,"")</f>
        <v/>
      </c>
      <c r="F72" s="399" t="str">
        <f ca="1">IFERROR(IF(VLOOKUP(TEXT(C72,0),'TNX RTF Parse'!$BB$1:$BE$201,3,0)="","",VLOOKUP(TEXT(C72,0),'TNX RTF Parse'!$BB$1:$BE$201,3,0)),"")</f>
        <v/>
      </c>
      <c r="G72" s="399" t="str">
        <f ca="1">IFERROR(IF(VLOOKUP(TEXT(C72,0),'TNX RTF Parse'!$BB$1:$BE$201,4,0)="","",VLOOKUP(TEXT(C72,0),'TNX RTF Parse'!$BB$1:$BE$201,4,0)),"")</f>
        <v/>
      </c>
      <c r="H72" s="415"/>
      <c r="I72" s="428" t="str">
        <f ca="1">IFERROR(VLOOKUP(REPLACE($C72,1,1,),Database!$CZ$4:$DB$203,3,0),"")</f>
        <v/>
      </c>
    </row>
    <row r="73" spans="3:9" x14ac:dyDescent="0.25">
      <c r="C73" s="399" t="str">
        <f ca="1">IF(D73="","",'TNX RTF Parse'!$BB58)</f>
        <v/>
      </c>
      <c r="D73" s="399" t="str">
        <f ca="1">IF('TNX File Parse'!S58&lt;&gt;"",'TNX File Parse'!S58,"")</f>
        <v/>
      </c>
      <c r="E73" s="399" t="str">
        <f ca="1">IF('TNX File Parse'!T58&lt;&gt;"",'TNX File Parse'!T58,"")</f>
        <v/>
      </c>
      <c r="F73" s="399" t="str">
        <f ca="1">IFERROR(IF(VLOOKUP(TEXT(C73,0),'TNX RTF Parse'!$BB$1:$BE$201,3,0)="","",VLOOKUP(TEXT(C73,0),'TNX RTF Parse'!$BB$1:$BE$201,3,0)),"")</f>
        <v/>
      </c>
      <c r="G73" s="399" t="str">
        <f ca="1">IFERROR(IF(VLOOKUP(TEXT(C73,0),'TNX RTF Parse'!$BB$1:$BE$201,4,0)="","",VLOOKUP(TEXT(C73,0),'TNX RTF Parse'!$BB$1:$BE$201,4,0)),"")</f>
        <v/>
      </c>
      <c r="H73" s="415"/>
      <c r="I73" s="428" t="str">
        <f ca="1">IFERROR(VLOOKUP(REPLACE($C73,1,1,),Database!$CZ$4:$DB$203,3,0),"")</f>
        <v/>
      </c>
    </row>
    <row r="74" spans="3:9" x14ac:dyDescent="0.25">
      <c r="C74" s="399" t="str">
        <f ca="1">IF(D74="","",'TNX RTF Parse'!$BB59)</f>
        <v/>
      </c>
      <c r="D74" s="399" t="str">
        <f ca="1">IF('TNX File Parse'!S59&lt;&gt;"",'TNX File Parse'!S59,"")</f>
        <v/>
      </c>
      <c r="E74" s="399" t="str">
        <f ca="1">IF('TNX File Parse'!T59&lt;&gt;"",'TNX File Parse'!T59,"")</f>
        <v/>
      </c>
      <c r="F74" s="399" t="str">
        <f ca="1">IFERROR(IF(VLOOKUP(TEXT(C74,0),'TNX RTF Parse'!$BB$1:$BE$201,3,0)="","",VLOOKUP(TEXT(C74,0),'TNX RTF Parse'!$BB$1:$BE$201,3,0)),"")</f>
        <v/>
      </c>
      <c r="G74" s="399" t="str">
        <f ca="1">IFERROR(IF(VLOOKUP(TEXT(C74,0),'TNX RTF Parse'!$BB$1:$BE$201,4,0)="","",VLOOKUP(TEXT(C74,0),'TNX RTF Parse'!$BB$1:$BE$201,4,0)),"")</f>
        <v/>
      </c>
      <c r="H74" s="415"/>
      <c r="I74" s="428" t="str">
        <f ca="1">IFERROR(VLOOKUP(REPLACE($C74,1,1,),Database!$CZ$4:$DB$203,3,0),"")</f>
        <v/>
      </c>
    </row>
    <row r="75" spans="3:9" x14ac:dyDescent="0.25">
      <c r="C75" s="399" t="str">
        <f ca="1">IF(D75="","",'TNX RTF Parse'!$BB60)</f>
        <v/>
      </c>
      <c r="D75" s="399" t="str">
        <f ca="1">IF('TNX File Parse'!S60&lt;&gt;"",'TNX File Parse'!S60,"")</f>
        <v/>
      </c>
      <c r="E75" s="399" t="str">
        <f ca="1">IF('TNX File Parse'!T60&lt;&gt;"",'TNX File Parse'!T60,"")</f>
        <v/>
      </c>
      <c r="F75" s="399" t="str">
        <f ca="1">IFERROR(IF(VLOOKUP(TEXT(C75,0),'TNX RTF Parse'!$BB$1:$BE$201,3,0)="","",VLOOKUP(TEXT(C75,0),'TNX RTF Parse'!$BB$1:$BE$201,3,0)),"")</f>
        <v/>
      </c>
      <c r="G75" s="399" t="str">
        <f ca="1">IFERROR(IF(VLOOKUP(TEXT(C75,0),'TNX RTF Parse'!$BB$1:$BE$201,4,0)="","",VLOOKUP(TEXT(C75,0),'TNX RTF Parse'!$BB$1:$BE$201,4,0)),"")</f>
        <v/>
      </c>
      <c r="H75" s="415"/>
      <c r="I75" s="428" t="str">
        <f ca="1">IFERROR(VLOOKUP(REPLACE($C75,1,1,),Database!$CZ$4:$DB$203,3,0),"")</f>
        <v/>
      </c>
    </row>
    <row r="76" spans="3:9" x14ac:dyDescent="0.25">
      <c r="C76" s="399" t="str">
        <f ca="1">IF(D76="","",'TNX RTF Parse'!$BB61)</f>
        <v/>
      </c>
      <c r="D76" s="399" t="str">
        <f ca="1">IF('TNX File Parse'!S61&lt;&gt;"",'TNX File Parse'!S61,"")</f>
        <v/>
      </c>
      <c r="E76" s="399" t="str">
        <f ca="1">IF('TNX File Parse'!T61&lt;&gt;"",'TNX File Parse'!T61,"")</f>
        <v/>
      </c>
      <c r="F76" s="399" t="str">
        <f ca="1">IFERROR(IF(VLOOKUP(TEXT(C76,0),'TNX RTF Parse'!$BB$1:$BE$201,3,0)="","",VLOOKUP(TEXT(C76,0),'TNX RTF Parse'!$BB$1:$BE$201,3,0)),"")</f>
        <v/>
      </c>
      <c r="G76" s="399" t="str">
        <f ca="1">IFERROR(IF(VLOOKUP(TEXT(C76,0),'TNX RTF Parse'!$BB$1:$BE$201,4,0)="","",VLOOKUP(TEXT(C76,0),'TNX RTF Parse'!$BB$1:$BE$201,4,0)),"")</f>
        <v/>
      </c>
      <c r="H76" s="415"/>
      <c r="I76" s="428" t="str">
        <f ca="1">IFERROR(VLOOKUP(REPLACE($C76,1,1,),Database!$CZ$4:$DB$203,3,0),"")</f>
        <v/>
      </c>
    </row>
    <row r="77" spans="3:9" x14ac:dyDescent="0.25">
      <c r="C77" s="399" t="str">
        <f ca="1">IF(D77="","",'TNX RTF Parse'!$BB62)</f>
        <v/>
      </c>
      <c r="D77" s="399" t="str">
        <f ca="1">IF('TNX File Parse'!S62&lt;&gt;"",'TNX File Parse'!S62,"")</f>
        <v/>
      </c>
      <c r="E77" s="399" t="str">
        <f ca="1">IF('TNX File Parse'!T62&lt;&gt;"",'TNX File Parse'!T62,"")</f>
        <v/>
      </c>
      <c r="F77" s="399" t="str">
        <f ca="1">IFERROR(IF(VLOOKUP(TEXT(C77,0),'TNX RTF Parse'!$BB$1:$BE$201,3,0)="","",VLOOKUP(TEXT(C77,0),'TNX RTF Parse'!$BB$1:$BE$201,3,0)),"")</f>
        <v/>
      </c>
      <c r="G77" s="399" t="str">
        <f ca="1">IFERROR(IF(VLOOKUP(TEXT(C77,0),'TNX RTF Parse'!$BB$1:$BE$201,4,0)="","",VLOOKUP(TEXT(C77,0),'TNX RTF Parse'!$BB$1:$BE$201,4,0)),"")</f>
        <v/>
      </c>
      <c r="H77" s="415"/>
      <c r="I77" s="428" t="str">
        <f ca="1">IFERROR(VLOOKUP(REPLACE($C77,1,1,),Database!$CZ$4:$DB$203,3,0),"")</f>
        <v/>
      </c>
    </row>
    <row r="78" spans="3:9" x14ac:dyDescent="0.25">
      <c r="C78" s="399" t="str">
        <f ca="1">IF(D78="","",'TNX RTF Parse'!$BB63)</f>
        <v/>
      </c>
      <c r="D78" s="399" t="str">
        <f ca="1">IF('TNX File Parse'!S63&lt;&gt;"",'TNX File Parse'!S63,"")</f>
        <v/>
      </c>
      <c r="E78" s="399" t="str">
        <f ca="1">IF('TNX File Parse'!T63&lt;&gt;"",'TNX File Parse'!T63,"")</f>
        <v/>
      </c>
      <c r="F78" s="399" t="str">
        <f ca="1">IFERROR(IF(VLOOKUP(TEXT(C78,0),'TNX RTF Parse'!$BB$1:$BE$201,3,0)="","",VLOOKUP(TEXT(C78,0),'TNX RTF Parse'!$BB$1:$BE$201,3,0)),"")</f>
        <v/>
      </c>
      <c r="G78" s="399" t="str">
        <f ca="1">IFERROR(IF(VLOOKUP(TEXT(C78,0),'TNX RTF Parse'!$BB$1:$BE$201,4,0)="","",VLOOKUP(TEXT(C78,0),'TNX RTF Parse'!$BB$1:$BE$201,4,0)),"")</f>
        <v/>
      </c>
      <c r="H78" s="415"/>
      <c r="I78" s="428" t="str">
        <f ca="1">IFERROR(VLOOKUP(REPLACE($C78,1,1,),Database!$CZ$4:$DB$203,3,0),"")</f>
        <v/>
      </c>
    </row>
    <row r="79" spans="3:9" x14ac:dyDescent="0.25">
      <c r="C79" s="399" t="str">
        <f ca="1">IF(D79="","",'TNX RTF Parse'!$BB64)</f>
        <v/>
      </c>
      <c r="D79" s="399" t="str">
        <f ca="1">IF('TNX File Parse'!S64&lt;&gt;"",'TNX File Parse'!S64,"")</f>
        <v/>
      </c>
      <c r="E79" s="399" t="str">
        <f ca="1">IF('TNX File Parse'!T64&lt;&gt;"",'TNX File Parse'!T64,"")</f>
        <v/>
      </c>
      <c r="F79" s="399" t="str">
        <f ca="1">IFERROR(IF(VLOOKUP(TEXT(C79,0),'TNX RTF Parse'!$BB$1:$BE$201,3,0)="","",VLOOKUP(TEXT(C79,0),'TNX RTF Parse'!$BB$1:$BE$201,3,0)),"")</f>
        <v/>
      </c>
      <c r="G79" s="399" t="str">
        <f ca="1">IFERROR(IF(VLOOKUP(TEXT(C79,0),'TNX RTF Parse'!$BB$1:$BE$201,4,0)="","",VLOOKUP(TEXT(C79,0),'TNX RTF Parse'!$BB$1:$BE$201,4,0)),"")</f>
        <v/>
      </c>
      <c r="H79" s="415"/>
      <c r="I79" s="428" t="str">
        <f ca="1">IFERROR(VLOOKUP(REPLACE($C79,1,1,),Database!$CZ$4:$DB$203,3,0),"")</f>
        <v/>
      </c>
    </row>
    <row r="80" spans="3:9" x14ac:dyDescent="0.25">
      <c r="C80" s="399" t="str">
        <f ca="1">IF(D80="","",'TNX RTF Parse'!$BB65)</f>
        <v/>
      </c>
      <c r="D80" s="399" t="str">
        <f ca="1">IF('TNX File Parse'!S65&lt;&gt;"",'TNX File Parse'!S65,"")</f>
        <v/>
      </c>
      <c r="E80" s="399" t="str">
        <f ca="1">IF('TNX File Parse'!T65&lt;&gt;"",'TNX File Parse'!T65,"")</f>
        <v/>
      </c>
      <c r="F80" s="399" t="str">
        <f ca="1">IFERROR(IF(VLOOKUP(TEXT(C80,0),'TNX RTF Parse'!$BB$1:$BE$201,3,0)="","",VLOOKUP(TEXT(C80,0),'TNX RTF Parse'!$BB$1:$BE$201,3,0)),"")</f>
        <v/>
      </c>
      <c r="G80" s="399" t="str">
        <f ca="1">IFERROR(IF(VLOOKUP(TEXT(C80,0),'TNX RTF Parse'!$BB$1:$BE$201,4,0)="","",VLOOKUP(TEXT(C80,0),'TNX RTF Parse'!$BB$1:$BE$201,4,0)),"")</f>
        <v/>
      </c>
      <c r="H80" s="415"/>
      <c r="I80" s="428" t="str">
        <f ca="1">IFERROR(VLOOKUP(REPLACE($C80,1,1,),Database!$CZ$4:$DB$203,3,0),"")</f>
        <v/>
      </c>
    </row>
    <row r="81" spans="3:9" x14ac:dyDescent="0.25">
      <c r="C81" s="399" t="str">
        <f ca="1">IF(D81="","",'TNX RTF Parse'!$BB66)</f>
        <v/>
      </c>
      <c r="D81" s="399" t="str">
        <f ca="1">IF('TNX File Parse'!S66&lt;&gt;"",'TNX File Parse'!S66,"")</f>
        <v/>
      </c>
      <c r="E81" s="399" t="str">
        <f ca="1">IF('TNX File Parse'!T66&lt;&gt;"",'TNX File Parse'!T66,"")</f>
        <v/>
      </c>
      <c r="F81" s="399" t="str">
        <f ca="1">IFERROR(IF(VLOOKUP(TEXT(C81,0),'TNX RTF Parse'!$BB$1:$BE$201,3,0)="","",VLOOKUP(TEXT(C81,0),'TNX RTF Parse'!$BB$1:$BE$201,3,0)),"")</f>
        <v/>
      </c>
      <c r="G81" s="399" t="str">
        <f ca="1">IFERROR(IF(VLOOKUP(TEXT(C81,0),'TNX RTF Parse'!$BB$1:$BE$201,4,0)="","",VLOOKUP(TEXT(C81,0),'TNX RTF Parse'!$BB$1:$BE$201,4,0)),"")</f>
        <v/>
      </c>
      <c r="H81" s="415"/>
      <c r="I81" s="428" t="str">
        <f ca="1">IFERROR(VLOOKUP(REPLACE($C81,1,1,),Database!$CZ$4:$DB$203,3,0),"")</f>
        <v/>
      </c>
    </row>
    <row r="82" spans="3:9" x14ac:dyDescent="0.25">
      <c r="C82" s="399" t="str">
        <f ca="1">IF(D82="","",'TNX RTF Parse'!$BB67)</f>
        <v/>
      </c>
      <c r="D82" s="399" t="str">
        <f ca="1">IF('TNX File Parse'!S67&lt;&gt;"",'TNX File Parse'!S67,"")</f>
        <v/>
      </c>
      <c r="E82" s="399" t="str">
        <f ca="1">IF('TNX File Parse'!T67&lt;&gt;"",'TNX File Parse'!T67,"")</f>
        <v/>
      </c>
      <c r="F82" s="399" t="str">
        <f ca="1">IFERROR(IF(VLOOKUP(TEXT(C82,0),'TNX RTF Parse'!$BB$1:$BE$201,3,0)="","",VLOOKUP(TEXT(C82,0),'TNX RTF Parse'!$BB$1:$BE$201,3,0)),"")</f>
        <v/>
      </c>
      <c r="G82" s="399" t="str">
        <f ca="1">IFERROR(IF(VLOOKUP(TEXT(C82,0),'TNX RTF Parse'!$BB$1:$BE$201,4,0)="","",VLOOKUP(TEXT(C82,0),'TNX RTF Parse'!$BB$1:$BE$201,4,0)),"")</f>
        <v/>
      </c>
      <c r="H82" s="415"/>
      <c r="I82" s="428" t="str">
        <f ca="1">IFERROR(VLOOKUP(REPLACE($C82,1,1,),Database!$CZ$4:$DB$203,3,0),"")</f>
        <v/>
      </c>
    </row>
    <row r="83" spans="3:9" x14ac:dyDescent="0.25">
      <c r="C83" s="399" t="str">
        <f ca="1">IF(D83="","",'TNX RTF Parse'!$BB68)</f>
        <v/>
      </c>
      <c r="D83" s="399" t="str">
        <f ca="1">IF('TNX File Parse'!S68&lt;&gt;"",'TNX File Parse'!S68,"")</f>
        <v/>
      </c>
      <c r="E83" s="399" t="str">
        <f ca="1">IF('TNX File Parse'!T68&lt;&gt;"",'TNX File Parse'!T68,"")</f>
        <v/>
      </c>
      <c r="F83" s="399" t="str">
        <f ca="1">IFERROR(IF(VLOOKUP(TEXT(C83,0),'TNX RTF Parse'!$BB$1:$BE$201,3,0)="","",VLOOKUP(TEXT(C83,0),'TNX RTF Parse'!$BB$1:$BE$201,3,0)),"")</f>
        <v/>
      </c>
      <c r="G83" s="399" t="str">
        <f ca="1">IFERROR(IF(VLOOKUP(TEXT(C83,0),'TNX RTF Parse'!$BB$1:$BE$201,4,0)="","",VLOOKUP(TEXT(C83,0),'TNX RTF Parse'!$BB$1:$BE$201,4,0)),"")</f>
        <v/>
      </c>
      <c r="H83" s="415"/>
      <c r="I83" s="428" t="str">
        <f ca="1">IFERROR(VLOOKUP(REPLACE($C83,1,1,),Database!$CZ$4:$DB$203,3,0),"")</f>
        <v/>
      </c>
    </row>
    <row r="84" spans="3:9" x14ac:dyDescent="0.25">
      <c r="C84" s="399" t="str">
        <f ca="1">IF(D84="","",'TNX RTF Parse'!$BB69)</f>
        <v/>
      </c>
      <c r="D84" s="399" t="str">
        <f ca="1">IF('TNX File Parse'!S69&lt;&gt;"",'TNX File Parse'!S69,"")</f>
        <v/>
      </c>
      <c r="E84" s="399" t="str">
        <f ca="1">IF('TNX File Parse'!T69&lt;&gt;"",'TNX File Parse'!T69,"")</f>
        <v/>
      </c>
      <c r="F84" s="399" t="str">
        <f ca="1">IFERROR(IF(VLOOKUP(TEXT(C84,0),'TNX RTF Parse'!$BB$1:$BE$201,3,0)="","",VLOOKUP(TEXT(C84,0),'TNX RTF Parse'!$BB$1:$BE$201,3,0)),"")</f>
        <v/>
      </c>
      <c r="G84" s="399" t="str">
        <f ca="1">IFERROR(IF(VLOOKUP(TEXT(C84,0),'TNX RTF Parse'!$BB$1:$BE$201,4,0)="","",VLOOKUP(TEXT(C84,0),'TNX RTF Parse'!$BB$1:$BE$201,4,0)),"")</f>
        <v/>
      </c>
      <c r="H84" s="415"/>
      <c r="I84" s="428" t="str">
        <f ca="1">IFERROR(VLOOKUP(REPLACE($C84,1,1,),Database!$CZ$4:$DB$203,3,0),"")</f>
        <v/>
      </c>
    </row>
    <row r="85" spans="3:9" x14ac:dyDescent="0.25">
      <c r="C85" s="399" t="str">
        <f ca="1">IF(D85="","",'TNX RTF Parse'!$BB70)</f>
        <v/>
      </c>
      <c r="D85" s="399" t="str">
        <f ca="1">IF('TNX File Parse'!S70&lt;&gt;"",'TNX File Parse'!S70,"")</f>
        <v/>
      </c>
      <c r="E85" s="399" t="str">
        <f ca="1">IF('TNX File Parse'!T70&lt;&gt;"",'TNX File Parse'!T70,"")</f>
        <v/>
      </c>
      <c r="F85" s="399" t="str">
        <f ca="1">IFERROR(IF(VLOOKUP(TEXT(C85,0),'TNX RTF Parse'!$BB$1:$BE$201,3,0)="","",VLOOKUP(TEXT(C85,0),'TNX RTF Parse'!$BB$1:$BE$201,3,0)),"")</f>
        <v/>
      </c>
      <c r="G85" s="399" t="str">
        <f ca="1">IFERROR(IF(VLOOKUP(TEXT(C85,0),'TNX RTF Parse'!$BB$1:$BE$201,4,0)="","",VLOOKUP(TEXT(C85,0),'TNX RTF Parse'!$BB$1:$BE$201,4,0)),"")</f>
        <v/>
      </c>
      <c r="H85" s="415"/>
      <c r="I85" s="428" t="str">
        <f ca="1">IFERROR(VLOOKUP(REPLACE($C85,1,1,),Database!$CZ$4:$DB$203,3,0),"")</f>
        <v/>
      </c>
    </row>
    <row r="86" spans="3:9" x14ac:dyDescent="0.25">
      <c r="C86" s="399" t="str">
        <f ca="1">IF(D86="","",'TNX RTF Parse'!$BB71)</f>
        <v/>
      </c>
      <c r="D86" s="399" t="str">
        <f ca="1">IF('TNX File Parse'!S71&lt;&gt;"",'TNX File Parse'!S71,"")</f>
        <v/>
      </c>
      <c r="E86" s="399" t="str">
        <f ca="1">IF('TNX File Parse'!T71&lt;&gt;"",'TNX File Parse'!T71,"")</f>
        <v/>
      </c>
      <c r="F86" s="399" t="str">
        <f ca="1">IFERROR(IF(VLOOKUP(TEXT(C86,0),'TNX RTF Parse'!$BB$1:$BE$201,3,0)="","",VLOOKUP(TEXT(C86,0),'TNX RTF Parse'!$BB$1:$BE$201,3,0)),"")</f>
        <v/>
      </c>
      <c r="G86" s="399" t="str">
        <f ca="1">IFERROR(IF(VLOOKUP(TEXT(C86,0),'TNX RTF Parse'!$BB$1:$BE$201,4,0)="","",VLOOKUP(TEXT(C86,0),'TNX RTF Parse'!$BB$1:$BE$201,4,0)),"")</f>
        <v/>
      </c>
      <c r="H86" s="415"/>
      <c r="I86" s="428" t="str">
        <f ca="1">IFERROR(VLOOKUP(REPLACE($C86,1,1,),Database!$CZ$4:$DB$203,3,0),"")</f>
        <v/>
      </c>
    </row>
    <row r="87" spans="3:9" x14ac:dyDescent="0.25">
      <c r="C87" s="399" t="str">
        <f ca="1">IF(D87="","",'TNX RTF Parse'!$BB72)</f>
        <v/>
      </c>
      <c r="D87" s="399" t="str">
        <f ca="1">IF('TNX File Parse'!S72&lt;&gt;"",'TNX File Parse'!S72,"")</f>
        <v/>
      </c>
      <c r="E87" s="399" t="str">
        <f ca="1">IF('TNX File Parse'!T72&lt;&gt;"",'TNX File Parse'!T72,"")</f>
        <v/>
      </c>
      <c r="F87" s="399" t="str">
        <f ca="1">IFERROR(IF(VLOOKUP(TEXT(C87,0),'TNX RTF Parse'!$BB$1:$BE$201,3,0)="","",VLOOKUP(TEXT(C87,0),'TNX RTF Parse'!$BB$1:$BE$201,3,0)),"")</f>
        <v/>
      </c>
      <c r="G87" s="399" t="str">
        <f ca="1">IFERROR(IF(VLOOKUP(TEXT(C87,0),'TNX RTF Parse'!$BB$1:$BE$201,4,0)="","",VLOOKUP(TEXT(C87,0),'TNX RTF Parse'!$BB$1:$BE$201,4,0)),"")</f>
        <v/>
      </c>
      <c r="H87" s="415"/>
      <c r="I87" s="428" t="str">
        <f ca="1">IFERROR(VLOOKUP(REPLACE($C87,1,1,),Database!$CZ$4:$DB$203,3,0),"")</f>
        <v/>
      </c>
    </row>
    <row r="88" spans="3:9" x14ac:dyDescent="0.25">
      <c r="C88" s="399" t="str">
        <f ca="1">IF(D88="","",'TNX RTF Parse'!$BB73)</f>
        <v/>
      </c>
      <c r="D88" s="399" t="str">
        <f ca="1">IF('TNX File Parse'!S73&lt;&gt;"",'TNX File Parse'!S73,"")</f>
        <v/>
      </c>
      <c r="E88" s="399" t="str">
        <f ca="1">IF('TNX File Parse'!T73&lt;&gt;"",'TNX File Parse'!T73,"")</f>
        <v/>
      </c>
      <c r="F88" s="399" t="str">
        <f ca="1">IFERROR(IF(VLOOKUP(TEXT(C88,0),'TNX RTF Parse'!$BB$1:$BE$201,3,0)="","",VLOOKUP(TEXT(C88,0),'TNX RTF Parse'!$BB$1:$BE$201,3,0)),"")</f>
        <v/>
      </c>
      <c r="G88" s="399" t="str">
        <f ca="1">IFERROR(IF(VLOOKUP(TEXT(C88,0),'TNX RTF Parse'!$BB$1:$BE$201,4,0)="","",VLOOKUP(TEXT(C88,0),'TNX RTF Parse'!$BB$1:$BE$201,4,0)),"")</f>
        <v/>
      </c>
      <c r="H88" s="415"/>
      <c r="I88" s="428" t="str">
        <f ca="1">IFERROR(VLOOKUP(REPLACE($C88,1,1,),Database!$CZ$4:$DB$203,3,0),"")</f>
        <v/>
      </c>
    </row>
    <row r="89" spans="3:9" x14ac:dyDescent="0.25">
      <c r="C89" s="399" t="str">
        <f ca="1">IF(D89="","",'TNX RTF Parse'!$BB74)</f>
        <v/>
      </c>
      <c r="D89" s="399" t="str">
        <f ca="1">IF('TNX File Parse'!S74&lt;&gt;"",'TNX File Parse'!S74,"")</f>
        <v/>
      </c>
      <c r="E89" s="399" t="str">
        <f ca="1">IF('TNX File Parse'!T74&lt;&gt;"",'TNX File Parse'!T74,"")</f>
        <v/>
      </c>
      <c r="F89" s="399" t="str">
        <f ca="1">IFERROR(IF(VLOOKUP(TEXT(C89,0),'TNX RTF Parse'!$BB$1:$BE$201,3,0)="","",VLOOKUP(TEXT(C89,0),'TNX RTF Parse'!$BB$1:$BE$201,3,0)),"")</f>
        <v/>
      </c>
      <c r="G89" s="399" t="str">
        <f ca="1">IFERROR(IF(VLOOKUP(TEXT(C89,0),'TNX RTF Parse'!$BB$1:$BE$201,4,0)="","",VLOOKUP(TEXT(C89,0),'TNX RTF Parse'!$BB$1:$BE$201,4,0)),"")</f>
        <v/>
      </c>
      <c r="H89" s="415"/>
      <c r="I89" s="428" t="str">
        <f ca="1">IFERROR(VLOOKUP(REPLACE($C89,1,1,),Database!$CZ$4:$DB$203,3,0),"")</f>
        <v/>
      </c>
    </row>
    <row r="90" spans="3:9" x14ac:dyDescent="0.25">
      <c r="C90" s="399" t="str">
        <f ca="1">IF(D90="","",'TNX RTF Parse'!$BB75)</f>
        <v/>
      </c>
      <c r="D90" s="399" t="str">
        <f ca="1">IF('TNX File Parse'!S75&lt;&gt;"",'TNX File Parse'!S75,"")</f>
        <v/>
      </c>
      <c r="E90" s="399" t="str">
        <f ca="1">IF('TNX File Parse'!T75&lt;&gt;"",'TNX File Parse'!T75,"")</f>
        <v/>
      </c>
      <c r="F90" s="399" t="str">
        <f ca="1">IFERROR(IF(VLOOKUP(TEXT(C90,0),'TNX RTF Parse'!$BB$1:$BE$201,3,0)="","",VLOOKUP(TEXT(C90,0),'TNX RTF Parse'!$BB$1:$BE$201,3,0)),"")</f>
        <v/>
      </c>
      <c r="G90" s="399" t="str">
        <f ca="1">IFERROR(IF(VLOOKUP(TEXT(C90,0),'TNX RTF Parse'!$BB$1:$BE$201,4,0)="","",VLOOKUP(TEXT(C90,0),'TNX RTF Parse'!$BB$1:$BE$201,4,0)),"")</f>
        <v/>
      </c>
      <c r="H90" s="415"/>
      <c r="I90" s="428" t="str">
        <f ca="1">IFERROR(VLOOKUP(REPLACE($C90,1,1,),Database!$CZ$4:$DB$203,3,0),"")</f>
        <v/>
      </c>
    </row>
    <row r="91" spans="3:9" x14ac:dyDescent="0.25">
      <c r="C91" s="399" t="str">
        <f ca="1">IF(D91="","",'TNX RTF Parse'!$BB76)</f>
        <v/>
      </c>
      <c r="D91" s="399" t="str">
        <f ca="1">IF('TNX File Parse'!S76&lt;&gt;"",'TNX File Parse'!S76,"")</f>
        <v/>
      </c>
      <c r="E91" s="399" t="str">
        <f ca="1">IF('TNX File Parse'!T76&lt;&gt;"",'TNX File Parse'!T76,"")</f>
        <v/>
      </c>
      <c r="F91" s="399" t="str">
        <f ca="1">IFERROR(IF(VLOOKUP(TEXT(C91,0),'TNX RTF Parse'!$BB$1:$BE$201,3,0)="","",VLOOKUP(TEXT(C91,0),'TNX RTF Parse'!$BB$1:$BE$201,3,0)),"")</f>
        <v/>
      </c>
      <c r="G91" s="399" t="str">
        <f ca="1">IFERROR(IF(VLOOKUP(TEXT(C91,0),'TNX RTF Parse'!$BB$1:$BE$201,4,0)="","",VLOOKUP(TEXT(C91,0),'TNX RTF Parse'!$BB$1:$BE$201,4,0)),"")</f>
        <v/>
      </c>
      <c r="H91" s="415"/>
      <c r="I91" s="428" t="str">
        <f ca="1">IFERROR(VLOOKUP(REPLACE($C91,1,1,),Database!$CZ$4:$DB$203,3,0),"")</f>
        <v/>
      </c>
    </row>
    <row r="92" spans="3:9" x14ac:dyDescent="0.25">
      <c r="C92" s="399" t="str">
        <f ca="1">IF(D92="","",'TNX RTF Parse'!$BB77)</f>
        <v/>
      </c>
      <c r="D92" s="399" t="str">
        <f ca="1">IF('TNX File Parse'!S77&lt;&gt;"",'TNX File Parse'!S77,"")</f>
        <v/>
      </c>
      <c r="E92" s="399" t="str">
        <f ca="1">IF('TNX File Parse'!T77&lt;&gt;"",'TNX File Parse'!T77,"")</f>
        <v/>
      </c>
      <c r="F92" s="399" t="str">
        <f ca="1">IFERROR(IF(VLOOKUP(TEXT(C92,0),'TNX RTF Parse'!$BB$1:$BE$201,3,0)="","",VLOOKUP(TEXT(C92,0),'TNX RTF Parse'!$BB$1:$BE$201,3,0)),"")</f>
        <v/>
      </c>
      <c r="G92" s="399" t="str">
        <f ca="1">IFERROR(IF(VLOOKUP(TEXT(C92,0),'TNX RTF Parse'!$BB$1:$BE$201,4,0)="","",VLOOKUP(TEXT(C92,0),'TNX RTF Parse'!$BB$1:$BE$201,4,0)),"")</f>
        <v/>
      </c>
      <c r="H92" s="415"/>
      <c r="I92" s="428" t="str">
        <f ca="1">IFERROR(VLOOKUP(REPLACE($C92,1,1,),Database!$CZ$4:$DB$203,3,0),"")</f>
        <v/>
      </c>
    </row>
    <row r="93" spans="3:9" x14ac:dyDescent="0.25">
      <c r="C93" s="399" t="str">
        <f ca="1">IF(D93="","",'TNX RTF Parse'!$BB78)</f>
        <v/>
      </c>
      <c r="D93" s="399" t="str">
        <f ca="1">IF('TNX File Parse'!S78&lt;&gt;"",'TNX File Parse'!S78,"")</f>
        <v/>
      </c>
      <c r="E93" s="399" t="str">
        <f ca="1">IF('TNX File Parse'!T78&lt;&gt;"",'TNX File Parse'!T78,"")</f>
        <v/>
      </c>
      <c r="F93" s="399" t="str">
        <f ca="1">IFERROR(IF(VLOOKUP(TEXT(C93,0),'TNX RTF Parse'!$BB$1:$BE$201,3,0)="","",VLOOKUP(TEXT(C93,0),'TNX RTF Parse'!$BB$1:$BE$201,3,0)),"")</f>
        <v/>
      </c>
      <c r="G93" s="399" t="str">
        <f ca="1">IFERROR(IF(VLOOKUP(TEXT(C93,0),'TNX RTF Parse'!$BB$1:$BE$201,4,0)="","",VLOOKUP(TEXT(C93,0),'TNX RTF Parse'!$BB$1:$BE$201,4,0)),"")</f>
        <v/>
      </c>
      <c r="H93" s="415"/>
      <c r="I93" s="428" t="str">
        <f ca="1">IFERROR(VLOOKUP(REPLACE($C93,1,1,),Database!$CZ$4:$DB$203,3,0),"")</f>
        <v/>
      </c>
    </row>
    <row r="94" spans="3:9" x14ac:dyDescent="0.25">
      <c r="C94" s="399" t="str">
        <f ca="1">IF(D94="","",'TNX RTF Parse'!$BB79)</f>
        <v/>
      </c>
      <c r="D94" s="399" t="str">
        <f ca="1">IF('TNX File Parse'!S79&lt;&gt;"",'TNX File Parse'!S79,"")</f>
        <v/>
      </c>
      <c r="E94" s="399" t="str">
        <f ca="1">IF('TNX File Parse'!T79&lt;&gt;"",'TNX File Parse'!T79,"")</f>
        <v/>
      </c>
      <c r="F94" s="399" t="str">
        <f ca="1">IFERROR(IF(VLOOKUP(TEXT(C94,0),'TNX RTF Parse'!$BB$1:$BE$201,3,0)="","",VLOOKUP(TEXT(C94,0),'TNX RTF Parse'!$BB$1:$BE$201,3,0)),"")</f>
        <v/>
      </c>
      <c r="G94" s="399" t="str">
        <f ca="1">IFERROR(IF(VLOOKUP(TEXT(C94,0),'TNX RTF Parse'!$BB$1:$BE$201,4,0)="","",VLOOKUP(TEXT(C94,0),'TNX RTF Parse'!$BB$1:$BE$201,4,0)),"")</f>
        <v/>
      </c>
      <c r="H94" s="415"/>
      <c r="I94" s="428" t="str">
        <f ca="1">IFERROR(VLOOKUP(REPLACE($C94,1,1,),Database!$CZ$4:$DB$203,3,0),"")</f>
        <v/>
      </c>
    </row>
    <row r="95" spans="3:9" x14ac:dyDescent="0.25">
      <c r="C95" s="399" t="str">
        <f ca="1">IF(D95="","",'TNX RTF Parse'!$BB80)</f>
        <v/>
      </c>
      <c r="D95" s="399" t="str">
        <f ca="1">IF('TNX File Parse'!S80&lt;&gt;"",'TNX File Parse'!S80,"")</f>
        <v/>
      </c>
      <c r="E95" s="399" t="str">
        <f ca="1">IF('TNX File Parse'!T80&lt;&gt;"",'TNX File Parse'!T80,"")</f>
        <v/>
      </c>
      <c r="F95" s="399" t="str">
        <f ca="1">IFERROR(IF(VLOOKUP(TEXT(C95,0),'TNX RTF Parse'!$BB$1:$BE$201,3,0)="","",VLOOKUP(TEXT(C95,0),'TNX RTF Parse'!$BB$1:$BE$201,3,0)),"")</f>
        <v/>
      </c>
      <c r="G95" s="399" t="str">
        <f ca="1">IFERROR(IF(VLOOKUP(TEXT(C95,0),'TNX RTF Parse'!$BB$1:$BE$201,4,0)="","",VLOOKUP(TEXT(C95,0),'TNX RTF Parse'!$BB$1:$BE$201,4,0)),"")</f>
        <v/>
      </c>
      <c r="H95" s="415"/>
      <c r="I95" s="428" t="str">
        <f ca="1">IFERROR(VLOOKUP(REPLACE($C95,1,1,),Database!$CZ$4:$DB$203,3,0),"")</f>
        <v/>
      </c>
    </row>
    <row r="96" spans="3:9" x14ac:dyDescent="0.25">
      <c r="C96" s="399" t="str">
        <f ca="1">IF(D96="","",'TNX RTF Parse'!$BB81)</f>
        <v/>
      </c>
      <c r="D96" s="399" t="str">
        <f ca="1">IF('TNX File Parse'!S81&lt;&gt;"",'TNX File Parse'!S81,"")</f>
        <v/>
      </c>
      <c r="E96" s="399" t="str">
        <f ca="1">IF('TNX File Parse'!T81&lt;&gt;"",'TNX File Parse'!T81,"")</f>
        <v/>
      </c>
      <c r="F96" s="399" t="str">
        <f ca="1">IFERROR(IF(VLOOKUP(TEXT(C96,0),'TNX RTF Parse'!$BB$1:$BE$201,3,0)="","",VLOOKUP(TEXT(C96,0),'TNX RTF Parse'!$BB$1:$BE$201,3,0)),"")</f>
        <v/>
      </c>
      <c r="G96" s="399" t="str">
        <f ca="1">IFERROR(IF(VLOOKUP(TEXT(C96,0),'TNX RTF Parse'!$BB$1:$BE$201,4,0)="","",VLOOKUP(TEXT(C96,0),'TNX RTF Parse'!$BB$1:$BE$201,4,0)),"")</f>
        <v/>
      </c>
      <c r="H96" s="415"/>
      <c r="I96" s="428" t="str">
        <f ca="1">IFERROR(VLOOKUP(REPLACE($C96,1,1,),Database!$CZ$4:$DB$203,3,0),"")</f>
        <v/>
      </c>
    </row>
    <row r="97" spans="3:9" x14ac:dyDescent="0.25">
      <c r="C97" s="399" t="str">
        <f ca="1">IF(D97="","",'TNX RTF Parse'!$BB82)</f>
        <v/>
      </c>
      <c r="D97" s="399" t="str">
        <f ca="1">IF('TNX File Parse'!S82&lt;&gt;"",'TNX File Parse'!S82,"")</f>
        <v/>
      </c>
      <c r="E97" s="399" t="str">
        <f ca="1">IF('TNX File Parse'!T82&lt;&gt;"",'TNX File Parse'!T82,"")</f>
        <v/>
      </c>
      <c r="F97" s="399" t="str">
        <f ca="1">IFERROR(IF(VLOOKUP(TEXT(C97,0),'TNX RTF Parse'!$BB$1:$BE$201,3,0)="","",VLOOKUP(TEXT(C97,0),'TNX RTF Parse'!$BB$1:$BE$201,3,0)),"")</f>
        <v/>
      </c>
      <c r="G97" s="399" t="str">
        <f ca="1">IFERROR(IF(VLOOKUP(TEXT(C97,0),'TNX RTF Parse'!$BB$1:$BE$201,4,0)="","",VLOOKUP(TEXT(C97,0),'TNX RTF Parse'!$BB$1:$BE$201,4,0)),"")</f>
        <v/>
      </c>
      <c r="H97" s="415"/>
      <c r="I97" s="428" t="str">
        <f ca="1">IFERROR(VLOOKUP(REPLACE($C97,1,1,),Database!$CZ$4:$DB$203,3,0),"")</f>
        <v/>
      </c>
    </row>
    <row r="98" spans="3:9" x14ac:dyDescent="0.25">
      <c r="C98" s="399" t="str">
        <f ca="1">IF(D98="","",'TNX RTF Parse'!$BB83)</f>
        <v/>
      </c>
      <c r="D98" s="399" t="str">
        <f ca="1">IF('TNX File Parse'!S83&lt;&gt;"",'TNX File Parse'!S83,"")</f>
        <v/>
      </c>
      <c r="E98" s="399" t="str">
        <f ca="1">IF('TNX File Parse'!T83&lt;&gt;"",'TNX File Parse'!T83,"")</f>
        <v/>
      </c>
      <c r="F98" s="399" t="str">
        <f ca="1">IFERROR(IF(VLOOKUP(TEXT(C98,0),'TNX RTF Parse'!$BB$1:$BE$201,3,0)="","",VLOOKUP(TEXT(C98,0),'TNX RTF Parse'!$BB$1:$BE$201,3,0)),"")</f>
        <v/>
      </c>
      <c r="G98" s="399" t="str">
        <f ca="1">IFERROR(IF(VLOOKUP(TEXT(C98,0),'TNX RTF Parse'!$BB$1:$BE$201,4,0)="","",VLOOKUP(TEXT(C98,0),'TNX RTF Parse'!$BB$1:$BE$201,4,0)),"")</f>
        <v/>
      </c>
      <c r="H98" s="415"/>
      <c r="I98" s="428" t="str">
        <f ca="1">IFERROR(VLOOKUP(REPLACE($C98,1,1,),Database!$CZ$4:$DB$203,3,0),"")</f>
        <v/>
      </c>
    </row>
    <row r="99" spans="3:9" x14ac:dyDescent="0.25">
      <c r="C99" s="399" t="str">
        <f ca="1">IF(D99="","",'TNX RTF Parse'!$BB84)</f>
        <v/>
      </c>
      <c r="D99" s="399" t="str">
        <f ca="1">IF('TNX File Parse'!S84&lt;&gt;"",'TNX File Parse'!S84,"")</f>
        <v/>
      </c>
      <c r="E99" s="399" t="str">
        <f ca="1">IF('TNX File Parse'!T84&lt;&gt;"",'TNX File Parse'!T84,"")</f>
        <v/>
      </c>
      <c r="F99" s="399" t="str">
        <f ca="1">IFERROR(IF(VLOOKUP(TEXT(C99,0),'TNX RTF Parse'!$BB$1:$BE$201,3,0)="","",VLOOKUP(TEXT(C99,0),'TNX RTF Parse'!$BB$1:$BE$201,3,0)),"")</f>
        <v/>
      </c>
      <c r="G99" s="399" t="str">
        <f ca="1">IFERROR(IF(VLOOKUP(TEXT(C99,0),'TNX RTF Parse'!$BB$1:$BE$201,4,0)="","",VLOOKUP(TEXT(C99,0),'TNX RTF Parse'!$BB$1:$BE$201,4,0)),"")</f>
        <v/>
      </c>
      <c r="H99" s="415"/>
      <c r="I99" s="428" t="str">
        <f ca="1">IFERROR(VLOOKUP(REPLACE($C99,1,1,),Database!$CZ$4:$DB$203,3,0),"")</f>
        <v/>
      </c>
    </row>
    <row r="100" spans="3:9" x14ac:dyDescent="0.25">
      <c r="C100" s="399" t="str">
        <f ca="1">IF(D100="","",'TNX RTF Parse'!$BB85)</f>
        <v/>
      </c>
      <c r="D100" s="399" t="str">
        <f ca="1">IF('TNX File Parse'!S85&lt;&gt;"",'TNX File Parse'!S85,"")</f>
        <v/>
      </c>
      <c r="E100" s="399" t="str">
        <f ca="1">IF('TNX File Parse'!T85&lt;&gt;"",'TNX File Parse'!T85,"")</f>
        <v/>
      </c>
      <c r="F100" s="399" t="str">
        <f ca="1">IFERROR(IF(VLOOKUP(TEXT(C100,0),'TNX RTF Parse'!$BB$1:$BE$201,3,0)="","",VLOOKUP(TEXT(C100,0),'TNX RTF Parse'!$BB$1:$BE$201,3,0)),"")</f>
        <v/>
      </c>
      <c r="G100" s="399" t="str">
        <f ca="1">IFERROR(IF(VLOOKUP(TEXT(C100,0),'TNX RTF Parse'!$BB$1:$BE$201,4,0)="","",VLOOKUP(TEXT(C100,0),'TNX RTF Parse'!$BB$1:$BE$201,4,0)),"")</f>
        <v/>
      </c>
      <c r="H100" s="415"/>
      <c r="I100" s="428" t="str">
        <f ca="1">IFERROR(VLOOKUP(REPLACE($C100,1,1,),Database!$CZ$4:$DB$203,3,0),"")</f>
        <v/>
      </c>
    </row>
    <row r="101" spans="3:9" x14ac:dyDescent="0.25">
      <c r="C101" s="399" t="str">
        <f ca="1">IF(D101="","",'TNX RTF Parse'!$BB86)</f>
        <v/>
      </c>
      <c r="D101" s="399" t="str">
        <f ca="1">IF('TNX File Parse'!S86&lt;&gt;"",'TNX File Parse'!S86,"")</f>
        <v/>
      </c>
      <c r="E101" s="399" t="str">
        <f ca="1">IF('TNX File Parse'!T86&lt;&gt;"",'TNX File Parse'!T86,"")</f>
        <v/>
      </c>
      <c r="F101" s="399" t="str">
        <f ca="1">IFERROR(IF(VLOOKUP(TEXT(C101,0),'TNX RTF Parse'!$BB$1:$BE$201,3,0)="","",VLOOKUP(TEXT(C101,0),'TNX RTF Parse'!$BB$1:$BE$201,3,0)),"")</f>
        <v/>
      </c>
      <c r="G101" s="399" t="str">
        <f ca="1">IFERROR(IF(VLOOKUP(TEXT(C101,0),'TNX RTF Parse'!$BB$1:$BE$201,4,0)="","",VLOOKUP(TEXT(C101,0),'TNX RTF Parse'!$BB$1:$BE$201,4,0)),"")</f>
        <v/>
      </c>
      <c r="H101" s="415"/>
      <c r="I101" s="428" t="str">
        <f ca="1">IFERROR(VLOOKUP(REPLACE($C101,1,1,),Database!$CZ$4:$DB$203,3,0),"")</f>
        <v/>
      </c>
    </row>
    <row r="102" spans="3:9" x14ac:dyDescent="0.25">
      <c r="C102" s="399" t="str">
        <f ca="1">IF(D102="","",'TNX RTF Parse'!$BB87)</f>
        <v/>
      </c>
      <c r="D102" s="399" t="str">
        <f ca="1">IF('TNX File Parse'!S87&lt;&gt;"",'TNX File Parse'!S87,"")</f>
        <v/>
      </c>
      <c r="E102" s="399" t="str">
        <f ca="1">IF('TNX File Parse'!T87&lt;&gt;"",'TNX File Parse'!T87,"")</f>
        <v/>
      </c>
      <c r="F102" s="399" t="str">
        <f ca="1">IFERROR(IF(VLOOKUP(TEXT(C102,0),'TNX RTF Parse'!$BB$1:$BE$201,3,0)="","",VLOOKUP(TEXT(C102,0),'TNX RTF Parse'!$BB$1:$BE$201,3,0)),"")</f>
        <v/>
      </c>
      <c r="G102" s="399" t="str">
        <f ca="1">IFERROR(IF(VLOOKUP(TEXT(C102,0),'TNX RTF Parse'!$BB$1:$BE$201,4,0)="","",VLOOKUP(TEXT(C102,0),'TNX RTF Parse'!$BB$1:$BE$201,4,0)),"")</f>
        <v/>
      </c>
      <c r="H102" s="415"/>
      <c r="I102" s="428" t="str">
        <f ca="1">IFERROR(VLOOKUP(REPLACE($C102,1,1,),Database!$CZ$4:$DB$203,3,0),"")</f>
        <v/>
      </c>
    </row>
    <row r="103" spans="3:9" x14ac:dyDescent="0.25">
      <c r="C103" s="399" t="str">
        <f ca="1">IF(D103="","",'TNX RTF Parse'!$BB88)</f>
        <v/>
      </c>
      <c r="D103" s="399" t="str">
        <f ca="1">IF('TNX File Parse'!S88&lt;&gt;"",'TNX File Parse'!S88,"")</f>
        <v/>
      </c>
      <c r="E103" s="399" t="str">
        <f ca="1">IF('TNX File Parse'!T88&lt;&gt;"",'TNX File Parse'!T88,"")</f>
        <v/>
      </c>
      <c r="F103" s="399" t="str">
        <f ca="1">IFERROR(IF(VLOOKUP(TEXT(C103,0),'TNX RTF Parse'!$BB$1:$BE$201,3,0)="","",VLOOKUP(TEXT(C103,0),'TNX RTF Parse'!$BB$1:$BE$201,3,0)),"")</f>
        <v/>
      </c>
      <c r="G103" s="399" t="str">
        <f ca="1">IFERROR(IF(VLOOKUP(TEXT(C103,0),'TNX RTF Parse'!$BB$1:$BE$201,4,0)="","",VLOOKUP(TEXT(C103,0),'TNX RTF Parse'!$BB$1:$BE$201,4,0)),"")</f>
        <v/>
      </c>
      <c r="H103" s="415"/>
      <c r="I103" s="428" t="str">
        <f ca="1">IFERROR(VLOOKUP(REPLACE($C103,1,1,),Database!$CZ$4:$DB$203,3,0),"")</f>
        <v/>
      </c>
    </row>
    <row r="104" spans="3:9" x14ac:dyDescent="0.25">
      <c r="C104" s="399" t="str">
        <f ca="1">IF(D104="","",'TNX RTF Parse'!$BB89)</f>
        <v/>
      </c>
      <c r="D104" s="399" t="str">
        <f ca="1">IF('TNX File Parse'!S89&lt;&gt;"",'TNX File Parse'!S89,"")</f>
        <v/>
      </c>
      <c r="E104" s="399" t="str">
        <f ca="1">IF('TNX File Parse'!T89&lt;&gt;"",'TNX File Parse'!T89,"")</f>
        <v/>
      </c>
      <c r="F104" s="399" t="str">
        <f ca="1">IFERROR(IF(VLOOKUP(TEXT(C104,0),'TNX RTF Parse'!$BB$1:$BE$201,3,0)="","",VLOOKUP(TEXT(C104,0),'TNX RTF Parse'!$BB$1:$BE$201,3,0)),"")</f>
        <v/>
      </c>
      <c r="G104" s="399" t="str">
        <f ca="1">IFERROR(IF(VLOOKUP(TEXT(C104,0),'TNX RTF Parse'!$BB$1:$BE$201,4,0)="","",VLOOKUP(TEXT(C104,0),'TNX RTF Parse'!$BB$1:$BE$201,4,0)),"")</f>
        <v/>
      </c>
      <c r="H104" s="415"/>
      <c r="I104" s="428" t="str">
        <f ca="1">IFERROR(VLOOKUP(REPLACE($C104,1,1,),Database!$CZ$4:$DB$203,3,0),"")</f>
        <v/>
      </c>
    </row>
    <row r="105" spans="3:9" x14ac:dyDescent="0.25">
      <c r="C105" s="399" t="str">
        <f ca="1">IF(D105="","",'TNX RTF Parse'!$BB90)</f>
        <v/>
      </c>
      <c r="D105" s="399" t="str">
        <f ca="1">IF('TNX File Parse'!S90&lt;&gt;"",'TNX File Parse'!S90,"")</f>
        <v/>
      </c>
      <c r="E105" s="399" t="str">
        <f ca="1">IF('TNX File Parse'!T90&lt;&gt;"",'TNX File Parse'!T90,"")</f>
        <v/>
      </c>
      <c r="F105" s="399" t="str">
        <f ca="1">IFERROR(IF(VLOOKUP(TEXT(C105,0),'TNX RTF Parse'!$BB$1:$BE$201,3,0)="","",VLOOKUP(TEXT(C105,0),'TNX RTF Parse'!$BB$1:$BE$201,3,0)),"")</f>
        <v/>
      </c>
      <c r="G105" s="399" t="str">
        <f ca="1">IFERROR(IF(VLOOKUP(TEXT(C105,0),'TNX RTF Parse'!$BB$1:$BE$201,4,0)="","",VLOOKUP(TEXT(C105,0),'TNX RTF Parse'!$BB$1:$BE$201,4,0)),"")</f>
        <v/>
      </c>
      <c r="H105" s="415"/>
      <c r="I105" s="428" t="str">
        <f ca="1">IFERROR(VLOOKUP(REPLACE($C105,1,1,),Database!$CZ$4:$DB$203,3,0),"")</f>
        <v/>
      </c>
    </row>
    <row r="106" spans="3:9" x14ac:dyDescent="0.25">
      <c r="C106" s="399" t="str">
        <f ca="1">IF(D106="","",'TNX RTF Parse'!$BB91)</f>
        <v/>
      </c>
      <c r="D106" s="399" t="str">
        <f ca="1">IF('TNX File Parse'!S91&lt;&gt;"",'TNX File Parse'!S91,"")</f>
        <v/>
      </c>
      <c r="E106" s="399" t="str">
        <f ca="1">IF('TNX File Parse'!T91&lt;&gt;"",'TNX File Parse'!T91,"")</f>
        <v/>
      </c>
      <c r="F106" s="399" t="str">
        <f ca="1">IFERROR(IF(VLOOKUP(TEXT(C106,0),'TNX RTF Parse'!$BB$1:$BE$201,3,0)="","",VLOOKUP(TEXT(C106,0),'TNX RTF Parse'!$BB$1:$BE$201,3,0)),"")</f>
        <v/>
      </c>
      <c r="G106" s="399" t="str">
        <f ca="1">IFERROR(IF(VLOOKUP(TEXT(C106,0),'TNX RTF Parse'!$BB$1:$BE$201,4,0)="","",VLOOKUP(TEXT(C106,0),'TNX RTF Parse'!$BB$1:$BE$201,4,0)),"")</f>
        <v/>
      </c>
      <c r="H106" s="415"/>
      <c r="I106" s="428" t="str">
        <f ca="1">IFERROR(VLOOKUP(REPLACE($C106,1,1,),Database!$CZ$4:$DB$203,3,0),"")</f>
        <v/>
      </c>
    </row>
    <row r="107" spans="3:9" x14ac:dyDescent="0.25">
      <c r="C107" s="399" t="str">
        <f ca="1">IF(D107="","",'TNX RTF Parse'!$BB92)</f>
        <v/>
      </c>
      <c r="D107" s="399" t="str">
        <f ca="1">IF('TNX File Parse'!S92&lt;&gt;"",'TNX File Parse'!S92,"")</f>
        <v/>
      </c>
      <c r="E107" s="399" t="str">
        <f ca="1">IF('TNX File Parse'!T92&lt;&gt;"",'TNX File Parse'!T92,"")</f>
        <v/>
      </c>
      <c r="F107" s="399" t="str">
        <f ca="1">IFERROR(IF(VLOOKUP(TEXT(C107,0),'TNX RTF Parse'!$BB$1:$BE$201,3,0)="","",VLOOKUP(TEXT(C107,0),'TNX RTF Parse'!$BB$1:$BE$201,3,0)),"")</f>
        <v/>
      </c>
      <c r="G107" s="399" t="str">
        <f ca="1">IFERROR(IF(VLOOKUP(TEXT(C107,0),'TNX RTF Parse'!$BB$1:$BE$201,4,0)="","",VLOOKUP(TEXT(C107,0),'TNX RTF Parse'!$BB$1:$BE$201,4,0)),"")</f>
        <v/>
      </c>
      <c r="H107" s="415"/>
      <c r="I107" s="428" t="str">
        <f ca="1">IFERROR(VLOOKUP(REPLACE($C107,1,1,),Database!$CZ$4:$DB$203,3,0),"")</f>
        <v/>
      </c>
    </row>
    <row r="108" spans="3:9" x14ac:dyDescent="0.25">
      <c r="C108" s="399" t="str">
        <f ca="1">IF(D108="","",'TNX RTF Parse'!$BB93)</f>
        <v/>
      </c>
      <c r="D108" s="399" t="str">
        <f ca="1">IF('TNX File Parse'!S93&lt;&gt;"",'TNX File Parse'!S93,"")</f>
        <v/>
      </c>
      <c r="E108" s="399" t="str">
        <f ca="1">IF('TNX File Parse'!T93&lt;&gt;"",'TNX File Parse'!T93,"")</f>
        <v/>
      </c>
      <c r="F108" s="399" t="str">
        <f ca="1">IFERROR(IF(VLOOKUP(TEXT(C108,0),'TNX RTF Parse'!$BB$1:$BE$201,3,0)="","",VLOOKUP(TEXT(C108,0),'TNX RTF Parse'!$BB$1:$BE$201,3,0)),"")</f>
        <v/>
      </c>
      <c r="G108" s="399" t="str">
        <f ca="1">IFERROR(IF(VLOOKUP(TEXT(C108,0),'TNX RTF Parse'!$BB$1:$BE$201,4,0)="","",VLOOKUP(TEXT(C108,0),'TNX RTF Parse'!$BB$1:$BE$201,4,0)),"")</f>
        <v/>
      </c>
      <c r="H108" s="415"/>
      <c r="I108" s="428" t="str">
        <f ca="1">IFERROR(VLOOKUP(REPLACE($C108,1,1,),Database!$CZ$4:$DB$203,3,0),"")</f>
        <v/>
      </c>
    </row>
    <row r="109" spans="3:9" x14ac:dyDescent="0.25">
      <c r="C109" s="399" t="str">
        <f ca="1">IF(D109="","",'TNX RTF Parse'!$BB94)</f>
        <v/>
      </c>
      <c r="D109" s="399" t="str">
        <f ca="1">IF('TNX File Parse'!S94&lt;&gt;"",'TNX File Parse'!S94,"")</f>
        <v/>
      </c>
      <c r="E109" s="399" t="str">
        <f ca="1">IF('TNX File Parse'!T94&lt;&gt;"",'TNX File Parse'!T94,"")</f>
        <v/>
      </c>
      <c r="F109" s="399" t="str">
        <f ca="1">IFERROR(IF(VLOOKUP(TEXT(C109,0),'TNX RTF Parse'!$BB$1:$BE$201,3,0)="","",VLOOKUP(TEXT(C109,0),'TNX RTF Parse'!$BB$1:$BE$201,3,0)),"")</f>
        <v/>
      </c>
      <c r="G109" s="399" t="str">
        <f ca="1">IFERROR(IF(VLOOKUP(TEXT(C109,0),'TNX RTF Parse'!$BB$1:$BE$201,4,0)="","",VLOOKUP(TEXT(C109,0),'TNX RTF Parse'!$BB$1:$BE$201,4,0)),"")</f>
        <v/>
      </c>
      <c r="H109" s="415"/>
      <c r="I109" s="428" t="str">
        <f ca="1">IFERROR(VLOOKUP(REPLACE($C109,1,1,),Database!$CZ$4:$DB$203,3,0),"")</f>
        <v/>
      </c>
    </row>
    <row r="110" spans="3:9" x14ac:dyDescent="0.25">
      <c r="C110" s="399" t="str">
        <f ca="1">IF(D110="","",'TNX RTF Parse'!$BB95)</f>
        <v/>
      </c>
      <c r="D110" s="399" t="str">
        <f ca="1">IF('TNX File Parse'!S95&lt;&gt;"",'TNX File Parse'!S95,"")</f>
        <v/>
      </c>
      <c r="E110" s="399" t="str">
        <f ca="1">IF('TNX File Parse'!T95&lt;&gt;"",'TNX File Parse'!T95,"")</f>
        <v/>
      </c>
      <c r="F110" s="399" t="str">
        <f ca="1">IFERROR(IF(VLOOKUP(TEXT(C110,0),'TNX RTF Parse'!$BB$1:$BE$201,3,0)="","",VLOOKUP(TEXT(C110,0),'TNX RTF Parse'!$BB$1:$BE$201,3,0)),"")</f>
        <v/>
      </c>
      <c r="G110" s="399" t="str">
        <f ca="1">IFERROR(IF(VLOOKUP(TEXT(C110,0),'TNX RTF Parse'!$BB$1:$BE$201,4,0)="","",VLOOKUP(TEXT(C110,0),'TNX RTF Parse'!$BB$1:$BE$201,4,0)),"")</f>
        <v/>
      </c>
      <c r="H110" s="415"/>
      <c r="I110" s="428" t="str">
        <f ca="1">IFERROR(VLOOKUP(REPLACE($C110,1,1,),Database!$CZ$4:$DB$203,3,0),"")</f>
        <v/>
      </c>
    </row>
    <row r="111" spans="3:9" x14ac:dyDescent="0.25">
      <c r="C111" s="399" t="str">
        <f ca="1">IF(D111="","",'TNX RTF Parse'!$BB96)</f>
        <v/>
      </c>
      <c r="D111" s="399" t="str">
        <f ca="1">IF('TNX File Parse'!S96&lt;&gt;"",'TNX File Parse'!S96,"")</f>
        <v/>
      </c>
      <c r="E111" s="399" t="str">
        <f ca="1">IF('TNX File Parse'!T96&lt;&gt;"",'TNX File Parse'!T96,"")</f>
        <v/>
      </c>
      <c r="F111" s="399" t="str">
        <f ca="1">IFERROR(IF(VLOOKUP(TEXT(C111,0),'TNX RTF Parse'!$BB$1:$BE$201,3,0)="","",VLOOKUP(TEXT(C111,0),'TNX RTF Parse'!$BB$1:$BE$201,3,0)),"")</f>
        <v/>
      </c>
      <c r="G111" s="399" t="str">
        <f ca="1">IFERROR(IF(VLOOKUP(TEXT(C111,0),'TNX RTF Parse'!$BB$1:$BE$201,4,0)="","",VLOOKUP(TEXT(C111,0),'TNX RTF Parse'!$BB$1:$BE$201,4,0)),"")</f>
        <v/>
      </c>
      <c r="H111" s="415"/>
      <c r="I111" s="428" t="str">
        <f ca="1">IFERROR(VLOOKUP(REPLACE($C111,1,1,),Database!$CZ$4:$DB$203,3,0),"")</f>
        <v/>
      </c>
    </row>
    <row r="112" spans="3:9" x14ac:dyDescent="0.25">
      <c r="C112" s="399" t="str">
        <f ca="1">IF(D112="","",'TNX RTF Parse'!$BB97)</f>
        <v/>
      </c>
      <c r="D112" s="399" t="str">
        <f ca="1">IF('TNX File Parse'!S97&lt;&gt;"",'TNX File Parse'!S97,"")</f>
        <v/>
      </c>
      <c r="E112" s="399" t="str">
        <f ca="1">IF('TNX File Parse'!T97&lt;&gt;"",'TNX File Parse'!T97,"")</f>
        <v/>
      </c>
      <c r="F112" s="399" t="str">
        <f ca="1">IFERROR(IF(VLOOKUP(TEXT(C112,0),'TNX RTF Parse'!$BB$1:$BE$201,3,0)="","",VLOOKUP(TEXT(C112,0),'TNX RTF Parse'!$BB$1:$BE$201,3,0)),"")</f>
        <v/>
      </c>
      <c r="G112" s="399" t="str">
        <f ca="1">IFERROR(IF(VLOOKUP(TEXT(C112,0),'TNX RTF Parse'!$BB$1:$BE$201,4,0)="","",VLOOKUP(TEXT(C112,0),'TNX RTF Parse'!$BB$1:$BE$201,4,0)),"")</f>
        <v/>
      </c>
      <c r="H112" s="415"/>
      <c r="I112" s="428" t="str">
        <f ca="1">IFERROR(VLOOKUP(REPLACE($C112,1,1,),Database!$CZ$4:$DB$203,3,0),"")</f>
        <v/>
      </c>
    </row>
    <row r="113" spans="3:9" x14ac:dyDescent="0.25">
      <c r="C113" s="399" t="str">
        <f ca="1">IF(D113="","",'TNX RTF Parse'!$BB98)</f>
        <v/>
      </c>
      <c r="D113" s="399" t="str">
        <f ca="1">IF('TNX File Parse'!S98&lt;&gt;"",'TNX File Parse'!S98,"")</f>
        <v/>
      </c>
      <c r="E113" s="399" t="str">
        <f ca="1">IF('TNX File Parse'!T98&lt;&gt;"",'TNX File Parse'!T98,"")</f>
        <v/>
      </c>
      <c r="F113" s="399" t="str">
        <f ca="1">IFERROR(IF(VLOOKUP(TEXT(C113,0),'TNX RTF Parse'!$BB$1:$BE$201,3,0)="","",VLOOKUP(TEXT(C113,0),'TNX RTF Parse'!$BB$1:$BE$201,3,0)),"")</f>
        <v/>
      </c>
      <c r="G113" s="399" t="str">
        <f ca="1">IFERROR(IF(VLOOKUP(TEXT(C113,0),'TNX RTF Parse'!$BB$1:$BE$201,4,0)="","",VLOOKUP(TEXT(C113,0),'TNX RTF Parse'!$BB$1:$BE$201,4,0)),"")</f>
        <v/>
      </c>
      <c r="H113" s="415"/>
      <c r="I113" s="428" t="str">
        <f ca="1">IFERROR(VLOOKUP(REPLACE($C113,1,1,),Database!$CZ$4:$DB$203,3,0),"")</f>
        <v/>
      </c>
    </row>
    <row r="114" spans="3:9" x14ac:dyDescent="0.25">
      <c r="C114" s="399" t="str">
        <f ca="1">IF(D114="","",'TNX RTF Parse'!$BB99)</f>
        <v/>
      </c>
      <c r="D114" s="399" t="str">
        <f ca="1">IF('TNX File Parse'!S99&lt;&gt;"",'TNX File Parse'!S99,"")</f>
        <v/>
      </c>
      <c r="E114" s="399" t="str">
        <f ca="1">IF('TNX File Parse'!T99&lt;&gt;"",'TNX File Parse'!T99,"")</f>
        <v/>
      </c>
      <c r="F114" s="399" t="str">
        <f ca="1">IFERROR(IF(VLOOKUP(TEXT(C114,0),'TNX RTF Parse'!$BB$1:$BE$201,3,0)="","",VLOOKUP(TEXT(C114,0),'TNX RTF Parse'!$BB$1:$BE$201,3,0)),"")</f>
        <v/>
      </c>
      <c r="G114" s="399" t="str">
        <f ca="1">IFERROR(IF(VLOOKUP(TEXT(C114,0),'TNX RTF Parse'!$BB$1:$BE$201,4,0)="","",VLOOKUP(TEXT(C114,0),'TNX RTF Parse'!$BB$1:$BE$201,4,0)),"")</f>
        <v/>
      </c>
      <c r="H114" s="415"/>
      <c r="I114" s="428" t="str">
        <f ca="1">IFERROR(VLOOKUP(REPLACE($C114,1,1,),Database!$CZ$4:$DB$203,3,0),"")</f>
        <v/>
      </c>
    </row>
    <row r="115" spans="3:9" x14ac:dyDescent="0.25">
      <c r="C115" s="399" t="str">
        <f ca="1">IF(D115="","",'TNX RTF Parse'!$BB100)</f>
        <v/>
      </c>
      <c r="D115" s="399" t="str">
        <f ca="1">IF('TNX File Parse'!S100&lt;&gt;"",'TNX File Parse'!S100,"")</f>
        <v/>
      </c>
      <c r="E115" s="399" t="str">
        <f ca="1">IF('TNX File Parse'!T100&lt;&gt;"",'TNX File Parse'!T100,"")</f>
        <v/>
      </c>
      <c r="F115" s="399" t="str">
        <f ca="1">IFERROR(IF(VLOOKUP(TEXT(C115,0),'TNX RTF Parse'!$BB$1:$BE$201,3,0)="","",VLOOKUP(TEXT(C115,0),'TNX RTF Parse'!$BB$1:$BE$201,3,0)),"")</f>
        <v/>
      </c>
      <c r="G115" s="399" t="str">
        <f ca="1">IFERROR(IF(VLOOKUP(TEXT(C115,0),'TNX RTF Parse'!$BB$1:$BE$201,4,0)="","",VLOOKUP(TEXT(C115,0),'TNX RTF Parse'!$BB$1:$BE$201,4,0)),"")</f>
        <v/>
      </c>
      <c r="H115" s="415"/>
      <c r="I115" s="428" t="str">
        <f ca="1">IFERROR(VLOOKUP(REPLACE($C115,1,1,),Database!$CZ$4:$DB$203,3,0),"")</f>
        <v/>
      </c>
    </row>
    <row r="116" spans="3:9" x14ac:dyDescent="0.25">
      <c r="C116" s="399" t="str">
        <f ca="1">IF(D116="","",'TNX RTF Parse'!$BB101)</f>
        <v/>
      </c>
      <c r="D116" s="399" t="str">
        <f ca="1">IF('TNX File Parse'!S101&lt;&gt;"",'TNX File Parse'!S101,"")</f>
        <v/>
      </c>
      <c r="E116" s="399" t="str">
        <f ca="1">IF('TNX File Parse'!T101&lt;&gt;"",'TNX File Parse'!T101,"")</f>
        <v/>
      </c>
      <c r="F116" s="399" t="str">
        <f ca="1">IFERROR(IF(VLOOKUP(TEXT(C116,0),'TNX RTF Parse'!$BB$1:$BE$201,3,0)="","",VLOOKUP(TEXT(C116,0),'TNX RTF Parse'!$BB$1:$BE$201,3,0)),"")</f>
        <v/>
      </c>
      <c r="G116" s="399" t="str">
        <f ca="1">IFERROR(IF(VLOOKUP(TEXT(C116,0),'TNX RTF Parse'!$BB$1:$BE$201,4,0)="","",VLOOKUP(TEXT(C116,0),'TNX RTF Parse'!$BB$1:$BE$201,4,0)),"")</f>
        <v/>
      </c>
      <c r="H116" s="415"/>
      <c r="I116" s="428" t="str">
        <f ca="1">IFERROR(VLOOKUP(REPLACE($C116,1,1,),Database!$CZ$4:$DB$203,3,0),"")</f>
        <v/>
      </c>
    </row>
    <row r="117" spans="3:9" x14ac:dyDescent="0.25">
      <c r="C117" s="399" t="str">
        <f ca="1">IF(D117="","",'TNX RTF Parse'!$BB102)</f>
        <v/>
      </c>
      <c r="D117" s="399" t="str">
        <f ca="1">IF('TNX File Parse'!S102&lt;&gt;"",'TNX File Parse'!S102,"")</f>
        <v/>
      </c>
      <c r="E117" s="399" t="str">
        <f ca="1">IF('TNX File Parse'!T102&lt;&gt;"",'TNX File Parse'!T102,"")</f>
        <v/>
      </c>
      <c r="F117" s="399" t="str">
        <f ca="1">IFERROR(IF(VLOOKUP(TEXT(C117,0),'TNX RTF Parse'!$BB$1:$BE$201,3,0)="","",VLOOKUP(TEXT(C117,0),'TNX RTF Parse'!$BB$1:$BE$201,3,0)),"")</f>
        <v/>
      </c>
      <c r="G117" s="399" t="str">
        <f ca="1">IFERROR(IF(VLOOKUP(TEXT(C117,0),'TNX RTF Parse'!$BB$1:$BE$201,4,0)="","",VLOOKUP(TEXT(C117,0),'TNX RTF Parse'!$BB$1:$BE$201,4,0)),"")</f>
        <v/>
      </c>
      <c r="H117" s="415"/>
      <c r="I117" s="428" t="str">
        <f ca="1">IFERROR(VLOOKUP(REPLACE($C117,1,1,),Database!$CZ$4:$DB$203,3,0),"")</f>
        <v/>
      </c>
    </row>
    <row r="118" spans="3:9" x14ac:dyDescent="0.25">
      <c r="C118" s="399" t="str">
        <f ca="1">IF(D118="","",'TNX RTF Parse'!$BB103)</f>
        <v/>
      </c>
      <c r="D118" s="399" t="str">
        <f ca="1">IF('TNX File Parse'!S103&lt;&gt;"",'TNX File Parse'!S103,"")</f>
        <v/>
      </c>
      <c r="E118" s="399" t="str">
        <f ca="1">IF('TNX File Parse'!T103&lt;&gt;"",'TNX File Parse'!T103,"")</f>
        <v/>
      </c>
      <c r="F118" s="399" t="str">
        <f ca="1">IFERROR(IF(VLOOKUP(TEXT(C118,0),'TNX RTF Parse'!$BB$1:$BE$201,3,0)="","",VLOOKUP(TEXT(C118,0),'TNX RTF Parse'!$BB$1:$BE$201,3,0)),"")</f>
        <v/>
      </c>
      <c r="G118" s="399" t="str">
        <f ca="1">IFERROR(IF(VLOOKUP(TEXT(C118,0),'TNX RTF Parse'!$BB$1:$BE$201,4,0)="","",VLOOKUP(TEXT(C118,0),'TNX RTF Parse'!$BB$1:$BE$201,4,0)),"")</f>
        <v/>
      </c>
      <c r="H118" s="415"/>
      <c r="I118" s="428" t="str">
        <f ca="1">IFERROR(VLOOKUP(REPLACE($C118,1,1,),Database!$CZ$4:$DB$203,3,0),"")</f>
        <v/>
      </c>
    </row>
    <row r="119" spans="3:9" x14ac:dyDescent="0.25">
      <c r="C119" s="399" t="str">
        <f ca="1">IF(D119="","",'TNX RTF Parse'!$BB104)</f>
        <v/>
      </c>
      <c r="D119" s="399" t="str">
        <f ca="1">IF('TNX File Parse'!S104&lt;&gt;"",'TNX File Parse'!S104,"")</f>
        <v/>
      </c>
      <c r="E119" s="399" t="str">
        <f ca="1">IF('TNX File Parse'!T104&lt;&gt;"",'TNX File Parse'!T104,"")</f>
        <v/>
      </c>
      <c r="F119" s="399" t="str">
        <f ca="1">IFERROR(IF(VLOOKUP(TEXT(C119,0),'TNX RTF Parse'!$BB$1:$BE$201,3,0)="","",VLOOKUP(TEXT(C119,0),'TNX RTF Parse'!$BB$1:$BE$201,3,0)),"")</f>
        <v/>
      </c>
      <c r="G119" s="399" t="str">
        <f ca="1">IFERROR(IF(VLOOKUP(TEXT(C119,0),'TNX RTF Parse'!$BB$1:$BE$201,4,0)="","",VLOOKUP(TEXT(C119,0),'TNX RTF Parse'!$BB$1:$BE$201,4,0)),"")</f>
        <v/>
      </c>
      <c r="H119" s="415"/>
      <c r="I119" s="428" t="str">
        <f ca="1">IFERROR(VLOOKUP(REPLACE($C119,1,1,),Database!$CZ$4:$DB$203,3,0),"")</f>
        <v/>
      </c>
    </row>
    <row r="120" spans="3:9" x14ac:dyDescent="0.25">
      <c r="C120" s="399" t="str">
        <f ca="1">IF(D120="","",'TNX RTF Parse'!$BB105)</f>
        <v/>
      </c>
      <c r="D120" s="399" t="str">
        <f ca="1">IF('TNX File Parse'!S105&lt;&gt;"",'TNX File Parse'!S105,"")</f>
        <v/>
      </c>
      <c r="E120" s="399" t="str">
        <f ca="1">IF('TNX File Parse'!T105&lt;&gt;"",'TNX File Parse'!T105,"")</f>
        <v/>
      </c>
      <c r="F120" s="399" t="str">
        <f ca="1">IFERROR(IF(VLOOKUP(TEXT(C120,0),'TNX RTF Parse'!$BB$1:$BE$201,3,0)="","",VLOOKUP(TEXT(C120,0),'TNX RTF Parse'!$BB$1:$BE$201,3,0)),"")</f>
        <v/>
      </c>
      <c r="G120" s="399" t="str">
        <f ca="1">IFERROR(IF(VLOOKUP(TEXT(C120,0),'TNX RTF Parse'!$BB$1:$BE$201,4,0)="","",VLOOKUP(TEXT(C120,0),'TNX RTF Parse'!$BB$1:$BE$201,4,0)),"")</f>
        <v/>
      </c>
      <c r="H120" s="415"/>
      <c r="I120" s="428" t="str">
        <f ca="1">IFERROR(VLOOKUP(REPLACE($C120,1,1,),Database!$CZ$4:$DB$203,3,0),"")</f>
        <v/>
      </c>
    </row>
    <row r="121" spans="3:9" x14ac:dyDescent="0.25">
      <c r="C121" s="399" t="str">
        <f ca="1">IF(D121="","",'TNX RTF Parse'!$BB106)</f>
        <v/>
      </c>
      <c r="D121" s="399" t="str">
        <f ca="1">IF('TNX File Parse'!S106&lt;&gt;"",'TNX File Parse'!S106,"")</f>
        <v/>
      </c>
      <c r="E121" s="399" t="str">
        <f ca="1">IF('TNX File Parse'!T106&lt;&gt;"",'TNX File Parse'!T106,"")</f>
        <v/>
      </c>
      <c r="F121" s="399" t="str">
        <f ca="1">IFERROR(IF(VLOOKUP(TEXT(C121,0),'TNX RTF Parse'!$BB$1:$BE$201,3,0)="","",VLOOKUP(TEXT(C121,0),'TNX RTF Parse'!$BB$1:$BE$201,3,0)),"")</f>
        <v/>
      </c>
      <c r="G121" s="399" t="str">
        <f ca="1">IFERROR(IF(VLOOKUP(TEXT(C121,0),'TNX RTF Parse'!$BB$1:$BE$201,4,0)="","",VLOOKUP(TEXT(C121,0),'TNX RTF Parse'!$BB$1:$BE$201,4,0)),"")</f>
        <v/>
      </c>
      <c r="H121" s="415"/>
      <c r="I121" s="428" t="str">
        <f ca="1">IFERROR(VLOOKUP(REPLACE($C121,1,1,),Database!$CZ$4:$DB$203,3,0),"")</f>
        <v/>
      </c>
    </row>
    <row r="122" spans="3:9" x14ac:dyDescent="0.25">
      <c r="C122" s="399" t="str">
        <f ca="1">IF(D122="","",'TNX RTF Parse'!$BB107)</f>
        <v/>
      </c>
      <c r="D122" s="399" t="str">
        <f ca="1">IF('TNX File Parse'!S107&lt;&gt;"",'TNX File Parse'!S107,"")</f>
        <v/>
      </c>
      <c r="E122" s="399" t="str">
        <f ca="1">IF('TNX File Parse'!T107&lt;&gt;"",'TNX File Parse'!T107,"")</f>
        <v/>
      </c>
      <c r="F122" s="399" t="str">
        <f ca="1">IFERROR(IF(VLOOKUP(TEXT(C122,0),'TNX RTF Parse'!$BB$1:$BE$201,3,0)="","",VLOOKUP(TEXT(C122,0),'TNX RTF Parse'!$BB$1:$BE$201,3,0)),"")</f>
        <v/>
      </c>
      <c r="G122" s="399" t="str">
        <f ca="1">IFERROR(IF(VLOOKUP(TEXT(C122,0),'TNX RTF Parse'!$BB$1:$BE$201,4,0)="","",VLOOKUP(TEXT(C122,0),'TNX RTF Parse'!$BB$1:$BE$201,4,0)),"")</f>
        <v/>
      </c>
      <c r="H122" s="415"/>
      <c r="I122" s="428" t="str">
        <f ca="1">IFERROR(VLOOKUP(REPLACE($C122,1,1,),Database!$CZ$4:$DB$203,3,0),"")</f>
        <v/>
      </c>
    </row>
    <row r="123" spans="3:9" x14ac:dyDescent="0.25">
      <c r="C123" s="399" t="str">
        <f ca="1">IF(D123="","",'TNX RTF Parse'!$BB108)</f>
        <v/>
      </c>
      <c r="D123" s="399" t="str">
        <f ca="1">IF('TNX File Parse'!S108&lt;&gt;"",'TNX File Parse'!S108,"")</f>
        <v/>
      </c>
      <c r="E123" s="399" t="str">
        <f ca="1">IF('TNX File Parse'!T108&lt;&gt;"",'TNX File Parse'!T108,"")</f>
        <v/>
      </c>
      <c r="F123" s="399" t="str">
        <f ca="1">IFERROR(IF(VLOOKUP(TEXT(C123,0),'TNX RTF Parse'!$BB$1:$BE$201,3,0)="","",VLOOKUP(TEXT(C123,0),'TNX RTF Parse'!$BB$1:$BE$201,3,0)),"")</f>
        <v/>
      </c>
      <c r="G123" s="399" t="str">
        <f ca="1">IFERROR(IF(VLOOKUP(TEXT(C123,0),'TNX RTF Parse'!$BB$1:$BE$201,4,0)="","",VLOOKUP(TEXT(C123,0),'TNX RTF Parse'!$BB$1:$BE$201,4,0)),"")</f>
        <v/>
      </c>
      <c r="H123" s="415"/>
      <c r="I123" s="428" t="str">
        <f ca="1">IFERROR(VLOOKUP(REPLACE($C123,1,1,),Database!$CZ$4:$DB$203,3,0),"")</f>
        <v/>
      </c>
    </row>
    <row r="124" spans="3:9" x14ac:dyDescent="0.25">
      <c r="C124" s="399" t="str">
        <f ca="1">IF(D124="","",'TNX RTF Parse'!$BB109)</f>
        <v/>
      </c>
      <c r="D124" s="399" t="str">
        <f ca="1">IF('TNX File Parse'!S109&lt;&gt;"",'TNX File Parse'!S109,"")</f>
        <v/>
      </c>
      <c r="E124" s="399" t="str">
        <f ca="1">IF('TNX File Parse'!T109&lt;&gt;"",'TNX File Parse'!T109,"")</f>
        <v/>
      </c>
      <c r="F124" s="399" t="str">
        <f ca="1">IFERROR(IF(VLOOKUP(TEXT(C124,0),'TNX RTF Parse'!$BB$1:$BE$201,3,0)="","",VLOOKUP(TEXT(C124,0),'TNX RTF Parse'!$BB$1:$BE$201,3,0)),"")</f>
        <v/>
      </c>
      <c r="G124" s="399" t="str">
        <f ca="1">IFERROR(IF(VLOOKUP(TEXT(C124,0),'TNX RTF Parse'!$BB$1:$BE$201,4,0)="","",VLOOKUP(TEXT(C124,0),'TNX RTF Parse'!$BB$1:$BE$201,4,0)),"")</f>
        <v/>
      </c>
      <c r="H124" s="415"/>
      <c r="I124" s="428" t="str">
        <f ca="1">IFERROR(VLOOKUP(REPLACE($C124,1,1,),Database!$CZ$4:$DB$203,3,0),"")</f>
        <v/>
      </c>
    </row>
    <row r="125" spans="3:9" x14ac:dyDescent="0.25">
      <c r="C125" s="399" t="str">
        <f ca="1">IF(D125="","",'TNX RTF Parse'!$BB110)</f>
        <v/>
      </c>
      <c r="D125" s="399" t="str">
        <f ca="1">IF('TNX File Parse'!S110&lt;&gt;"",'TNX File Parse'!S110,"")</f>
        <v/>
      </c>
      <c r="E125" s="399" t="str">
        <f ca="1">IF('TNX File Parse'!T110&lt;&gt;"",'TNX File Parse'!T110,"")</f>
        <v/>
      </c>
      <c r="F125" s="399" t="str">
        <f ca="1">IFERROR(IF(VLOOKUP(TEXT(C125,0),'TNX RTF Parse'!$BB$1:$BE$201,3,0)="","",VLOOKUP(TEXT(C125,0),'TNX RTF Parse'!$BB$1:$BE$201,3,0)),"")</f>
        <v/>
      </c>
      <c r="G125" s="399" t="str">
        <f ca="1">IFERROR(IF(VLOOKUP(TEXT(C125,0),'TNX RTF Parse'!$BB$1:$BE$201,4,0)="","",VLOOKUP(TEXT(C125,0),'TNX RTF Parse'!$BB$1:$BE$201,4,0)),"")</f>
        <v/>
      </c>
      <c r="H125" s="415"/>
      <c r="I125" s="428" t="str">
        <f ca="1">IFERROR(VLOOKUP(REPLACE($C125,1,1,),Database!$CZ$4:$DB$203,3,0),"")</f>
        <v/>
      </c>
    </row>
    <row r="126" spans="3:9" x14ac:dyDescent="0.25">
      <c r="C126" s="399" t="str">
        <f ca="1">IF(D126="","",'TNX RTF Parse'!$BB111)</f>
        <v/>
      </c>
      <c r="D126" s="399" t="str">
        <f ca="1">IF('TNX File Parse'!S111&lt;&gt;"",'TNX File Parse'!S111,"")</f>
        <v/>
      </c>
      <c r="E126" s="399" t="str">
        <f ca="1">IF('TNX File Parse'!T111&lt;&gt;"",'TNX File Parse'!T111,"")</f>
        <v/>
      </c>
      <c r="F126" s="399" t="str">
        <f ca="1">IFERROR(IF(VLOOKUP(TEXT(C126,0),'TNX RTF Parse'!$BB$1:$BE$201,3,0)="","",VLOOKUP(TEXT(C126,0),'TNX RTF Parse'!$BB$1:$BE$201,3,0)),"")</f>
        <v/>
      </c>
      <c r="G126" s="399" t="str">
        <f ca="1">IFERROR(IF(VLOOKUP(TEXT(C126,0),'TNX RTF Parse'!$BB$1:$BE$201,4,0)="","",VLOOKUP(TEXT(C126,0),'TNX RTF Parse'!$BB$1:$BE$201,4,0)),"")</f>
        <v/>
      </c>
      <c r="H126" s="415"/>
      <c r="I126" s="428" t="str">
        <f ca="1">IFERROR(VLOOKUP(REPLACE($C126,1,1,),Database!$CZ$4:$DB$203,3,0),"")</f>
        <v/>
      </c>
    </row>
    <row r="127" spans="3:9" x14ac:dyDescent="0.25">
      <c r="C127" s="399" t="str">
        <f ca="1">IF(D127="","",'TNX RTF Parse'!$BB112)</f>
        <v/>
      </c>
      <c r="D127" s="399" t="str">
        <f ca="1">IF('TNX File Parse'!S112&lt;&gt;"",'TNX File Parse'!S112,"")</f>
        <v/>
      </c>
      <c r="E127" s="399" t="str">
        <f ca="1">IF('TNX File Parse'!T112&lt;&gt;"",'TNX File Parse'!T112,"")</f>
        <v/>
      </c>
      <c r="F127" s="399" t="str">
        <f ca="1">IFERROR(IF(VLOOKUP(TEXT(C127,0),'TNX RTF Parse'!$BB$1:$BE$201,3,0)="","",VLOOKUP(TEXT(C127,0),'TNX RTF Parse'!$BB$1:$BE$201,3,0)),"")</f>
        <v/>
      </c>
      <c r="G127" s="399" t="str">
        <f ca="1">IFERROR(IF(VLOOKUP(TEXT(C127,0),'TNX RTF Parse'!$BB$1:$BE$201,4,0)="","",VLOOKUP(TEXT(C127,0),'TNX RTF Parse'!$BB$1:$BE$201,4,0)),"")</f>
        <v/>
      </c>
      <c r="H127" s="415"/>
      <c r="I127" s="428" t="str">
        <f ca="1">IFERROR(VLOOKUP(REPLACE($C127,1,1,),Database!$CZ$4:$DB$203,3,0),"")</f>
        <v/>
      </c>
    </row>
    <row r="128" spans="3:9" x14ac:dyDescent="0.25">
      <c r="C128" s="399" t="str">
        <f ca="1">IF(D128="","",'TNX RTF Parse'!$BB113)</f>
        <v/>
      </c>
      <c r="D128" s="399" t="str">
        <f ca="1">IF('TNX File Parse'!S113&lt;&gt;"",'TNX File Parse'!S113,"")</f>
        <v/>
      </c>
      <c r="E128" s="399" t="str">
        <f ca="1">IF('TNX File Parse'!T113&lt;&gt;"",'TNX File Parse'!T113,"")</f>
        <v/>
      </c>
      <c r="F128" s="399" t="str">
        <f ca="1">IFERROR(IF(VLOOKUP(TEXT(C128,0),'TNX RTF Parse'!$BB$1:$BE$201,3,0)="","",VLOOKUP(TEXT(C128,0),'TNX RTF Parse'!$BB$1:$BE$201,3,0)),"")</f>
        <v/>
      </c>
      <c r="G128" s="399" t="str">
        <f ca="1">IFERROR(IF(VLOOKUP(TEXT(C128,0),'TNX RTF Parse'!$BB$1:$BE$201,4,0)="","",VLOOKUP(TEXT(C128,0),'TNX RTF Parse'!$BB$1:$BE$201,4,0)),"")</f>
        <v/>
      </c>
      <c r="H128" s="415"/>
      <c r="I128" s="428" t="str">
        <f ca="1">IFERROR(VLOOKUP(REPLACE($C128,1,1,),Database!$CZ$4:$DB$203,3,0),"")</f>
        <v/>
      </c>
    </row>
    <row r="129" spans="3:9" x14ac:dyDescent="0.25">
      <c r="C129" s="399" t="str">
        <f ca="1">IF(D129="","",'TNX RTF Parse'!$BB114)</f>
        <v/>
      </c>
      <c r="D129" s="399" t="str">
        <f ca="1">IF('TNX File Parse'!S114&lt;&gt;"",'TNX File Parse'!S114,"")</f>
        <v/>
      </c>
      <c r="E129" s="399" t="str">
        <f ca="1">IF('TNX File Parse'!T114&lt;&gt;"",'TNX File Parse'!T114,"")</f>
        <v/>
      </c>
      <c r="F129" s="399" t="str">
        <f ca="1">IFERROR(IF(VLOOKUP(TEXT(C129,0),'TNX RTF Parse'!$BB$1:$BE$201,3,0)="","",VLOOKUP(TEXT(C129,0),'TNX RTF Parse'!$BB$1:$BE$201,3,0)),"")</f>
        <v/>
      </c>
      <c r="G129" s="399" t="str">
        <f ca="1">IFERROR(IF(VLOOKUP(TEXT(C129,0),'TNX RTF Parse'!$BB$1:$BE$201,4,0)="","",VLOOKUP(TEXT(C129,0),'TNX RTF Parse'!$BB$1:$BE$201,4,0)),"")</f>
        <v/>
      </c>
      <c r="H129" s="415"/>
      <c r="I129" s="428" t="str">
        <f ca="1">IFERROR(VLOOKUP(REPLACE($C129,1,1,),Database!$CZ$4:$DB$203,3,0),"")</f>
        <v/>
      </c>
    </row>
    <row r="130" spans="3:9" x14ac:dyDescent="0.25">
      <c r="C130" s="399" t="str">
        <f ca="1">IF(D130="","",'TNX RTF Parse'!$BB115)</f>
        <v/>
      </c>
      <c r="D130" s="399" t="str">
        <f ca="1">IF('TNX File Parse'!S115&lt;&gt;"",'TNX File Parse'!S115,"")</f>
        <v/>
      </c>
      <c r="E130" s="399" t="str">
        <f ca="1">IF('TNX File Parse'!T115&lt;&gt;"",'TNX File Parse'!T115,"")</f>
        <v/>
      </c>
      <c r="F130" s="399" t="str">
        <f ca="1">IFERROR(IF(VLOOKUP(TEXT(C130,0),'TNX RTF Parse'!$BB$1:$BE$201,3,0)="","",VLOOKUP(TEXT(C130,0),'TNX RTF Parse'!$BB$1:$BE$201,3,0)),"")</f>
        <v/>
      </c>
      <c r="G130" s="399" t="str">
        <f ca="1">IFERROR(IF(VLOOKUP(TEXT(C130,0),'TNX RTF Parse'!$BB$1:$BE$201,4,0)="","",VLOOKUP(TEXT(C130,0),'TNX RTF Parse'!$BB$1:$BE$201,4,0)),"")</f>
        <v/>
      </c>
      <c r="H130" s="415"/>
      <c r="I130" s="428" t="str">
        <f ca="1">IFERROR(VLOOKUP(REPLACE($C130,1,1,),Database!$CZ$4:$DB$203,3,0),"")</f>
        <v/>
      </c>
    </row>
    <row r="131" spans="3:9" x14ac:dyDescent="0.25">
      <c r="C131" s="399" t="str">
        <f ca="1">IF(D131="","",'TNX RTF Parse'!$BB116)</f>
        <v/>
      </c>
      <c r="D131" s="399" t="str">
        <f ca="1">IF('TNX File Parse'!S116&lt;&gt;"",'TNX File Parse'!S116,"")</f>
        <v/>
      </c>
      <c r="E131" s="399" t="str">
        <f ca="1">IF('TNX File Parse'!T116&lt;&gt;"",'TNX File Parse'!T116,"")</f>
        <v/>
      </c>
      <c r="F131" s="399" t="str">
        <f ca="1">IFERROR(IF(VLOOKUP(TEXT(C131,0),'TNX RTF Parse'!$BB$1:$BE$201,3,0)="","",VLOOKUP(TEXT(C131,0),'TNX RTF Parse'!$BB$1:$BE$201,3,0)),"")</f>
        <v/>
      </c>
      <c r="G131" s="399" t="str">
        <f ca="1">IFERROR(IF(VLOOKUP(TEXT(C131,0),'TNX RTF Parse'!$BB$1:$BE$201,4,0)="","",VLOOKUP(TEXT(C131,0),'TNX RTF Parse'!$BB$1:$BE$201,4,0)),"")</f>
        <v/>
      </c>
      <c r="H131" s="415"/>
      <c r="I131" s="428" t="str">
        <f ca="1">IFERROR(VLOOKUP(REPLACE($C131,1,1,),Database!$CZ$4:$DB$203,3,0),"")</f>
        <v/>
      </c>
    </row>
    <row r="132" spans="3:9" x14ac:dyDescent="0.25">
      <c r="C132" s="399" t="str">
        <f ca="1">IF(D132="","",'TNX RTF Parse'!$BB117)</f>
        <v/>
      </c>
      <c r="D132" s="399" t="str">
        <f ca="1">IF('TNX File Parse'!S117&lt;&gt;"",'TNX File Parse'!S117,"")</f>
        <v/>
      </c>
      <c r="E132" s="399" t="str">
        <f ca="1">IF('TNX File Parse'!T117&lt;&gt;"",'TNX File Parse'!T117,"")</f>
        <v/>
      </c>
      <c r="F132" s="399" t="str">
        <f ca="1">IFERROR(IF(VLOOKUP(TEXT(C132,0),'TNX RTF Parse'!$BB$1:$BE$201,3,0)="","",VLOOKUP(TEXT(C132,0),'TNX RTF Parse'!$BB$1:$BE$201,3,0)),"")</f>
        <v/>
      </c>
      <c r="G132" s="399" t="str">
        <f ca="1">IFERROR(IF(VLOOKUP(TEXT(C132,0),'TNX RTF Parse'!$BB$1:$BE$201,4,0)="","",VLOOKUP(TEXT(C132,0),'TNX RTF Parse'!$BB$1:$BE$201,4,0)),"")</f>
        <v/>
      </c>
      <c r="H132" s="415"/>
      <c r="I132" s="428" t="str">
        <f ca="1">IFERROR(VLOOKUP(REPLACE($C132,1,1,),Database!$CZ$4:$DB$203,3,0),"")</f>
        <v/>
      </c>
    </row>
    <row r="133" spans="3:9" x14ac:dyDescent="0.25">
      <c r="C133" s="399" t="str">
        <f ca="1">IF(D133="","",'TNX RTF Parse'!$BB118)</f>
        <v/>
      </c>
      <c r="D133" s="399" t="str">
        <f ca="1">IF('TNX File Parse'!S118&lt;&gt;"",'TNX File Parse'!S118,"")</f>
        <v/>
      </c>
      <c r="E133" s="399" t="str">
        <f ca="1">IF('TNX File Parse'!T118&lt;&gt;"",'TNX File Parse'!T118,"")</f>
        <v/>
      </c>
      <c r="F133" s="399" t="str">
        <f ca="1">IFERROR(IF(VLOOKUP(TEXT(C133,0),'TNX RTF Parse'!$BB$1:$BE$201,3,0)="","",VLOOKUP(TEXT(C133,0),'TNX RTF Parse'!$BB$1:$BE$201,3,0)),"")</f>
        <v/>
      </c>
      <c r="G133" s="399" t="str">
        <f ca="1">IFERROR(IF(VLOOKUP(TEXT(C133,0),'TNX RTF Parse'!$BB$1:$BE$201,4,0)="","",VLOOKUP(TEXT(C133,0),'TNX RTF Parse'!$BB$1:$BE$201,4,0)),"")</f>
        <v/>
      </c>
      <c r="H133" s="415"/>
      <c r="I133" s="428" t="str">
        <f ca="1">IFERROR(VLOOKUP(REPLACE($C133,1,1,),Database!$CZ$4:$DB$203,3,0),"")</f>
        <v/>
      </c>
    </row>
    <row r="134" spans="3:9" x14ac:dyDescent="0.25">
      <c r="C134" s="399" t="str">
        <f ca="1">IF(D134="","",'TNX RTF Parse'!$BB119)</f>
        <v/>
      </c>
      <c r="D134" s="399" t="str">
        <f ca="1">IF('TNX File Parse'!S119&lt;&gt;"",'TNX File Parse'!S119,"")</f>
        <v/>
      </c>
      <c r="E134" s="399" t="str">
        <f ca="1">IF('TNX File Parse'!T119&lt;&gt;"",'TNX File Parse'!T119,"")</f>
        <v/>
      </c>
      <c r="F134" s="399" t="str">
        <f ca="1">IFERROR(IF(VLOOKUP(TEXT(C134,0),'TNX RTF Parse'!$BB$1:$BE$201,3,0)="","",VLOOKUP(TEXT(C134,0),'TNX RTF Parse'!$BB$1:$BE$201,3,0)),"")</f>
        <v/>
      </c>
      <c r="G134" s="399" t="str">
        <f ca="1">IFERROR(IF(VLOOKUP(TEXT(C134,0),'TNX RTF Parse'!$BB$1:$BE$201,4,0)="","",VLOOKUP(TEXT(C134,0),'TNX RTF Parse'!$BB$1:$BE$201,4,0)),"")</f>
        <v/>
      </c>
      <c r="H134" s="415"/>
      <c r="I134" s="428" t="str">
        <f ca="1">IFERROR(VLOOKUP(REPLACE($C134,1,1,),Database!$CZ$4:$DB$203,3,0),"")</f>
        <v/>
      </c>
    </row>
    <row r="135" spans="3:9" x14ac:dyDescent="0.25">
      <c r="C135" s="399" t="str">
        <f ca="1">IF(D135="","",'TNX RTF Parse'!$BB120)</f>
        <v/>
      </c>
      <c r="D135" s="399" t="str">
        <f ca="1">IF('TNX File Parse'!S120&lt;&gt;"",'TNX File Parse'!S120,"")</f>
        <v/>
      </c>
      <c r="E135" s="399" t="str">
        <f ca="1">IF('TNX File Parse'!T120&lt;&gt;"",'TNX File Parse'!T120,"")</f>
        <v/>
      </c>
      <c r="F135" s="399" t="str">
        <f ca="1">IFERROR(IF(VLOOKUP(TEXT(C135,0),'TNX RTF Parse'!$BB$1:$BE$201,3,0)="","",VLOOKUP(TEXT(C135,0),'TNX RTF Parse'!$BB$1:$BE$201,3,0)),"")</f>
        <v/>
      </c>
      <c r="G135" s="399" t="str">
        <f ca="1">IFERROR(IF(VLOOKUP(TEXT(C135,0),'TNX RTF Parse'!$BB$1:$BE$201,4,0)="","",VLOOKUP(TEXT(C135,0),'TNX RTF Parse'!$BB$1:$BE$201,4,0)),"")</f>
        <v/>
      </c>
      <c r="H135" s="415"/>
      <c r="I135" s="428" t="str">
        <f ca="1">IFERROR(VLOOKUP(REPLACE($C135,1,1,),Database!$CZ$4:$DB$203,3,0),"")</f>
        <v/>
      </c>
    </row>
    <row r="136" spans="3:9" x14ac:dyDescent="0.25">
      <c r="C136" s="399" t="str">
        <f ca="1">IF(D136="","",'TNX RTF Parse'!$BB121)</f>
        <v/>
      </c>
      <c r="D136" s="399" t="str">
        <f ca="1">IF('TNX File Parse'!S121&lt;&gt;"",'TNX File Parse'!S121,"")</f>
        <v/>
      </c>
      <c r="E136" s="399" t="str">
        <f ca="1">IF('TNX File Parse'!T121&lt;&gt;"",'TNX File Parse'!T121,"")</f>
        <v/>
      </c>
      <c r="F136" s="399" t="str">
        <f ca="1">IFERROR(IF(VLOOKUP(TEXT(C136,0),'TNX RTF Parse'!$BB$1:$BE$201,3,0)="","",VLOOKUP(TEXT(C136,0),'TNX RTF Parse'!$BB$1:$BE$201,3,0)),"")</f>
        <v/>
      </c>
      <c r="G136" s="399" t="str">
        <f ca="1">IFERROR(IF(VLOOKUP(TEXT(C136,0),'TNX RTF Parse'!$BB$1:$BE$201,4,0)="","",VLOOKUP(TEXT(C136,0),'TNX RTF Parse'!$BB$1:$BE$201,4,0)),"")</f>
        <v/>
      </c>
      <c r="H136" s="415"/>
      <c r="I136" s="428" t="str">
        <f ca="1">IFERROR(VLOOKUP(REPLACE($C136,1,1,),Database!$CZ$4:$DB$203,3,0),"")</f>
        <v/>
      </c>
    </row>
    <row r="137" spans="3:9" x14ac:dyDescent="0.25">
      <c r="C137" s="399" t="str">
        <f ca="1">IF(D137="","",'TNX RTF Parse'!$BB122)</f>
        <v/>
      </c>
      <c r="D137" s="399" t="str">
        <f ca="1">IF('TNX File Parse'!S122&lt;&gt;"",'TNX File Parse'!S122,"")</f>
        <v/>
      </c>
      <c r="E137" s="399" t="str">
        <f ca="1">IF('TNX File Parse'!T122&lt;&gt;"",'TNX File Parse'!T122,"")</f>
        <v/>
      </c>
      <c r="F137" s="399" t="str">
        <f ca="1">IFERROR(IF(VLOOKUP(TEXT(C137,0),'TNX RTF Parse'!$BB$1:$BE$201,3,0)="","",VLOOKUP(TEXT(C137,0),'TNX RTF Parse'!$BB$1:$BE$201,3,0)),"")</f>
        <v/>
      </c>
      <c r="G137" s="399" t="str">
        <f ca="1">IFERROR(IF(VLOOKUP(TEXT(C137,0),'TNX RTF Parse'!$BB$1:$BE$201,4,0)="","",VLOOKUP(TEXT(C137,0),'TNX RTF Parse'!$BB$1:$BE$201,4,0)),"")</f>
        <v/>
      </c>
      <c r="H137" s="415"/>
      <c r="I137" s="428" t="str">
        <f ca="1">IFERROR(VLOOKUP(REPLACE($C137,1,1,),Database!$CZ$4:$DB$203,3,0),"")</f>
        <v/>
      </c>
    </row>
    <row r="138" spans="3:9" x14ac:dyDescent="0.25">
      <c r="C138" s="399" t="str">
        <f ca="1">IF(D138="","",'TNX RTF Parse'!$BB123)</f>
        <v/>
      </c>
      <c r="D138" s="399" t="str">
        <f ca="1">IF('TNX File Parse'!S123&lt;&gt;"",'TNX File Parse'!S123,"")</f>
        <v/>
      </c>
      <c r="E138" s="399" t="str">
        <f ca="1">IF('TNX File Parse'!T123&lt;&gt;"",'TNX File Parse'!T123,"")</f>
        <v/>
      </c>
      <c r="F138" s="399" t="str">
        <f ca="1">IFERROR(IF(VLOOKUP(TEXT(C138,0),'TNX RTF Parse'!$BB$1:$BE$201,3,0)="","",VLOOKUP(TEXT(C138,0),'TNX RTF Parse'!$BB$1:$BE$201,3,0)),"")</f>
        <v/>
      </c>
      <c r="G138" s="399" t="str">
        <f ca="1">IFERROR(IF(VLOOKUP(TEXT(C138,0),'TNX RTF Parse'!$BB$1:$BE$201,4,0)="","",VLOOKUP(TEXT(C138,0),'TNX RTF Parse'!$BB$1:$BE$201,4,0)),"")</f>
        <v/>
      </c>
      <c r="H138" s="415"/>
      <c r="I138" s="428" t="str">
        <f ca="1">IFERROR(VLOOKUP(REPLACE($C138,1,1,),Database!$CZ$4:$DB$203,3,0),"")</f>
        <v/>
      </c>
    </row>
    <row r="139" spans="3:9" x14ac:dyDescent="0.25">
      <c r="C139" s="399" t="str">
        <f ca="1">IF(D139="","",'TNX RTF Parse'!$BB124)</f>
        <v/>
      </c>
      <c r="D139" s="399" t="str">
        <f ca="1">IF('TNX File Parse'!S124&lt;&gt;"",'TNX File Parse'!S124,"")</f>
        <v/>
      </c>
      <c r="E139" s="399" t="str">
        <f ca="1">IF('TNX File Parse'!T124&lt;&gt;"",'TNX File Parse'!T124,"")</f>
        <v/>
      </c>
      <c r="F139" s="399" t="str">
        <f ca="1">IFERROR(IF(VLOOKUP(TEXT(C139,0),'TNX RTF Parse'!$BB$1:$BE$201,3,0)="","",VLOOKUP(TEXT(C139,0),'TNX RTF Parse'!$BB$1:$BE$201,3,0)),"")</f>
        <v/>
      </c>
      <c r="G139" s="399" t="str">
        <f ca="1">IFERROR(IF(VLOOKUP(TEXT(C139,0),'TNX RTF Parse'!$BB$1:$BE$201,4,0)="","",VLOOKUP(TEXT(C139,0),'TNX RTF Parse'!$BB$1:$BE$201,4,0)),"")</f>
        <v/>
      </c>
      <c r="H139" s="415"/>
      <c r="I139" s="428" t="str">
        <f ca="1">IFERROR(VLOOKUP(REPLACE($C139,1,1,),Database!$CZ$4:$DB$203,3,0),"")</f>
        <v/>
      </c>
    </row>
    <row r="140" spans="3:9" x14ac:dyDescent="0.25">
      <c r="C140" s="399" t="str">
        <f ca="1">IF(D140="","",'TNX RTF Parse'!$BB125)</f>
        <v/>
      </c>
      <c r="D140" s="399" t="str">
        <f ca="1">IF('TNX File Parse'!S125&lt;&gt;"",'TNX File Parse'!S125,"")</f>
        <v/>
      </c>
      <c r="E140" s="399" t="str">
        <f ca="1">IF('TNX File Parse'!T125&lt;&gt;"",'TNX File Parse'!T125,"")</f>
        <v/>
      </c>
      <c r="F140" s="399" t="str">
        <f ca="1">IFERROR(IF(VLOOKUP(TEXT(C140,0),'TNX RTF Parse'!$BB$1:$BE$201,3,0)="","",VLOOKUP(TEXT(C140,0),'TNX RTF Parse'!$BB$1:$BE$201,3,0)),"")</f>
        <v/>
      </c>
      <c r="G140" s="399" t="str">
        <f ca="1">IFERROR(IF(VLOOKUP(TEXT(C140,0),'TNX RTF Parse'!$BB$1:$BE$201,4,0)="","",VLOOKUP(TEXT(C140,0),'TNX RTF Parse'!$BB$1:$BE$201,4,0)),"")</f>
        <v/>
      </c>
      <c r="H140" s="415"/>
      <c r="I140" s="428" t="str">
        <f ca="1">IFERROR(VLOOKUP(REPLACE($C140,1,1,),Database!$CZ$4:$DB$203,3,0),"")</f>
        <v/>
      </c>
    </row>
    <row r="141" spans="3:9" x14ac:dyDescent="0.25">
      <c r="C141" s="399" t="str">
        <f ca="1">IF(D141="","",'TNX RTF Parse'!$BB126)</f>
        <v/>
      </c>
      <c r="D141" s="399" t="str">
        <f ca="1">IF('TNX File Parse'!S126&lt;&gt;"",'TNX File Parse'!S126,"")</f>
        <v/>
      </c>
      <c r="E141" s="399" t="str">
        <f ca="1">IF('TNX File Parse'!T126&lt;&gt;"",'TNX File Parse'!T126,"")</f>
        <v/>
      </c>
      <c r="F141" s="399" t="str">
        <f ca="1">IFERROR(IF(VLOOKUP(TEXT(C141,0),'TNX RTF Parse'!$BB$1:$BE$201,3,0)="","",VLOOKUP(TEXT(C141,0),'TNX RTF Parse'!$BB$1:$BE$201,3,0)),"")</f>
        <v/>
      </c>
      <c r="G141" s="399" t="str">
        <f ca="1">IFERROR(IF(VLOOKUP(TEXT(C141,0),'TNX RTF Parse'!$BB$1:$BE$201,4,0)="","",VLOOKUP(TEXT(C141,0),'TNX RTF Parse'!$BB$1:$BE$201,4,0)),"")</f>
        <v/>
      </c>
      <c r="H141" s="415"/>
      <c r="I141" s="428" t="str">
        <f ca="1">IFERROR(VLOOKUP(REPLACE($C141,1,1,),Database!$CZ$4:$DB$203,3,0),"")</f>
        <v/>
      </c>
    </row>
    <row r="142" spans="3:9" x14ac:dyDescent="0.25">
      <c r="C142" s="399" t="str">
        <f ca="1">IF(D142="","",'TNX RTF Parse'!$BB127)</f>
        <v/>
      </c>
      <c r="D142" s="399" t="str">
        <f ca="1">IF('TNX File Parse'!S127&lt;&gt;"",'TNX File Parse'!S127,"")</f>
        <v/>
      </c>
      <c r="E142" s="399" t="str">
        <f ca="1">IF('TNX File Parse'!T127&lt;&gt;"",'TNX File Parse'!T127,"")</f>
        <v/>
      </c>
      <c r="F142" s="399" t="str">
        <f ca="1">IFERROR(IF(VLOOKUP(TEXT(C142,0),'TNX RTF Parse'!$BB$1:$BE$201,3,0)="","",VLOOKUP(TEXT(C142,0),'TNX RTF Parse'!$BB$1:$BE$201,3,0)),"")</f>
        <v/>
      </c>
      <c r="G142" s="399" t="str">
        <f ca="1">IFERROR(IF(VLOOKUP(TEXT(C142,0),'TNX RTF Parse'!$BB$1:$BE$201,4,0)="","",VLOOKUP(TEXT(C142,0),'TNX RTF Parse'!$BB$1:$BE$201,4,0)),"")</f>
        <v/>
      </c>
      <c r="H142" s="415"/>
      <c r="I142" s="428" t="str">
        <f ca="1">IFERROR(VLOOKUP(REPLACE($C142,1,1,),Database!$CZ$4:$DB$203,3,0),"")</f>
        <v/>
      </c>
    </row>
    <row r="143" spans="3:9" x14ac:dyDescent="0.25">
      <c r="C143" s="399" t="str">
        <f ca="1">IF(D143="","",'TNX RTF Parse'!$BB128)</f>
        <v/>
      </c>
      <c r="D143" s="399" t="str">
        <f ca="1">IF('TNX File Parse'!S128&lt;&gt;"",'TNX File Parse'!S128,"")</f>
        <v/>
      </c>
      <c r="E143" s="399" t="str">
        <f ca="1">IF('TNX File Parse'!T128&lt;&gt;"",'TNX File Parse'!T128,"")</f>
        <v/>
      </c>
      <c r="F143" s="399" t="str">
        <f ca="1">IFERROR(IF(VLOOKUP(TEXT(C143,0),'TNX RTF Parse'!$BB$1:$BE$201,3,0)="","",VLOOKUP(TEXT(C143,0),'TNX RTF Parse'!$BB$1:$BE$201,3,0)),"")</f>
        <v/>
      </c>
      <c r="G143" s="399" t="str">
        <f ca="1">IFERROR(IF(VLOOKUP(TEXT(C143,0),'TNX RTF Parse'!$BB$1:$BE$201,4,0)="","",VLOOKUP(TEXT(C143,0),'TNX RTF Parse'!$BB$1:$BE$201,4,0)),"")</f>
        <v/>
      </c>
      <c r="H143" s="415"/>
      <c r="I143" s="428" t="str">
        <f ca="1">IFERROR(VLOOKUP(REPLACE($C143,1,1,),Database!$CZ$4:$DB$203,3,0),"")</f>
        <v/>
      </c>
    </row>
    <row r="144" spans="3:9" x14ac:dyDescent="0.25">
      <c r="C144" s="399" t="str">
        <f ca="1">IF(D144="","",'TNX RTF Parse'!$BB129)</f>
        <v/>
      </c>
      <c r="D144" s="399" t="str">
        <f ca="1">IF('TNX File Parse'!S129&lt;&gt;"",'TNX File Parse'!S129,"")</f>
        <v/>
      </c>
      <c r="E144" s="399" t="str">
        <f ca="1">IF('TNX File Parse'!T129&lt;&gt;"",'TNX File Parse'!T129,"")</f>
        <v/>
      </c>
      <c r="F144" s="399" t="str">
        <f ca="1">IFERROR(IF(VLOOKUP(TEXT(C144,0),'TNX RTF Parse'!$BB$1:$BE$201,3,0)="","",VLOOKUP(TEXT(C144,0),'TNX RTF Parse'!$BB$1:$BE$201,3,0)),"")</f>
        <v/>
      </c>
      <c r="G144" s="399" t="str">
        <f ca="1">IFERROR(IF(VLOOKUP(TEXT(C144,0),'TNX RTF Parse'!$BB$1:$BE$201,4,0)="","",VLOOKUP(TEXT(C144,0),'TNX RTF Parse'!$BB$1:$BE$201,4,0)),"")</f>
        <v/>
      </c>
      <c r="H144" s="415"/>
      <c r="I144" s="428" t="str">
        <f ca="1">IFERROR(VLOOKUP(REPLACE($C144,1,1,),Database!$CZ$4:$DB$203,3,0),"")</f>
        <v/>
      </c>
    </row>
    <row r="145" spans="3:9" x14ac:dyDescent="0.25">
      <c r="C145" s="399" t="str">
        <f ca="1">IF(D145="","",'TNX RTF Parse'!$BB130)</f>
        <v/>
      </c>
      <c r="D145" s="399" t="str">
        <f ca="1">IF('TNX File Parse'!S130&lt;&gt;"",'TNX File Parse'!S130,"")</f>
        <v/>
      </c>
      <c r="E145" s="399" t="str">
        <f ca="1">IF('TNX File Parse'!T130&lt;&gt;"",'TNX File Parse'!T130,"")</f>
        <v/>
      </c>
      <c r="F145" s="399" t="str">
        <f ca="1">IFERROR(IF(VLOOKUP(TEXT(C145,0),'TNX RTF Parse'!$BB$1:$BE$201,3,0)="","",VLOOKUP(TEXT(C145,0),'TNX RTF Parse'!$BB$1:$BE$201,3,0)),"")</f>
        <v/>
      </c>
      <c r="G145" s="399" t="str">
        <f ca="1">IFERROR(IF(VLOOKUP(TEXT(C145,0),'TNX RTF Parse'!$BB$1:$BE$201,4,0)="","",VLOOKUP(TEXT(C145,0),'TNX RTF Parse'!$BB$1:$BE$201,4,0)),"")</f>
        <v/>
      </c>
      <c r="H145" s="415"/>
      <c r="I145" s="428" t="str">
        <f ca="1">IFERROR(VLOOKUP(REPLACE($C145,1,1,),Database!$CZ$4:$DB$203,3,0),"")</f>
        <v/>
      </c>
    </row>
    <row r="146" spans="3:9" x14ac:dyDescent="0.25">
      <c r="C146" s="399" t="str">
        <f ca="1">IF(D146="","",'TNX RTF Parse'!$BB131)</f>
        <v/>
      </c>
      <c r="D146" s="399" t="str">
        <f ca="1">IF('TNX File Parse'!S131&lt;&gt;"",'TNX File Parse'!S131,"")</f>
        <v/>
      </c>
      <c r="E146" s="399" t="str">
        <f ca="1">IF('TNX File Parse'!T131&lt;&gt;"",'TNX File Parse'!T131,"")</f>
        <v/>
      </c>
      <c r="F146" s="399" t="str">
        <f ca="1">IFERROR(IF(VLOOKUP(TEXT(C146,0),'TNX RTF Parse'!$BB$1:$BE$201,3,0)="","",VLOOKUP(TEXT(C146,0),'TNX RTF Parse'!$BB$1:$BE$201,3,0)),"")</f>
        <v/>
      </c>
      <c r="G146" s="399" t="str">
        <f ca="1">IFERROR(IF(VLOOKUP(TEXT(C146,0),'TNX RTF Parse'!$BB$1:$BE$201,4,0)="","",VLOOKUP(TEXT(C146,0),'TNX RTF Parse'!$BB$1:$BE$201,4,0)),"")</f>
        <v/>
      </c>
      <c r="H146" s="415"/>
      <c r="I146" s="428" t="str">
        <f ca="1">IFERROR(VLOOKUP(REPLACE($C146,1,1,),Database!$CZ$4:$DB$203,3,0),"")</f>
        <v/>
      </c>
    </row>
    <row r="147" spans="3:9" x14ac:dyDescent="0.25">
      <c r="C147" s="399" t="str">
        <f ca="1">IF(D147="","",'TNX RTF Parse'!$BB132)</f>
        <v/>
      </c>
      <c r="D147" s="399" t="str">
        <f ca="1">IF('TNX File Parse'!S132&lt;&gt;"",'TNX File Parse'!S132,"")</f>
        <v/>
      </c>
      <c r="E147" s="399" t="str">
        <f ca="1">IF('TNX File Parse'!T132&lt;&gt;"",'TNX File Parse'!T132,"")</f>
        <v/>
      </c>
      <c r="F147" s="399" t="str">
        <f ca="1">IFERROR(IF(VLOOKUP(TEXT(C147,0),'TNX RTF Parse'!$BB$1:$BE$201,3,0)="","",VLOOKUP(TEXT(C147,0),'TNX RTF Parse'!$BB$1:$BE$201,3,0)),"")</f>
        <v/>
      </c>
      <c r="G147" s="399" t="str">
        <f ca="1">IFERROR(IF(VLOOKUP(TEXT(C147,0),'TNX RTF Parse'!$BB$1:$BE$201,4,0)="","",VLOOKUP(TEXT(C147,0),'TNX RTF Parse'!$BB$1:$BE$201,4,0)),"")</f>
        <v/>
      </c>
      <c r="H147" s="415"/>
      <c r="I147" s="428" t="str">
        <f ca="1">IFERROR(VLOOKUP(REPLACE($C147,1,1,),Database!$CZ$4:$DB$203,3,0),"")</f>
        <v/>
      </c>
    </row>
    <row r="148" spans="3:9" x14ac:dyDescent="0.25">
      <c r="C148" s="399" t="str">
        <f ca="1">IF(D148="","",'TNX RTF Parse'!$BB133)</f>
        <v/>
      </c>
      <c r="D148" s="399" t="str">
        <f ca="1">IF('TNX File Parse'!S133&lt;&gt;"",'TNX File Parse'!S133,"")</f>
        <v/>
      </c>
      <c r="E148" s="399" t="str">
        <f ca="1">IF('TNX File Parse'!T133&lt;&gt;"",'TNX File Parse'!T133,"")</f>
        <v/>
      </c>
      <c r="F148" s="399" t="str">
        <f ca="1">IFERROR(IF(VLOOKUP(TEXT(C148,0),'TNX RTF Parse'!$BB$1:$BE$201,3,0)="","",VLOOKUP(TEXT(C148,0),'TNX RTF Parse'!$BB$1:$BE$201,3,0)),"")</f>
        <v/>
      </c>
      <c r="G148" s="399" t="str">
        <f ca="1">IFERROR(IF(VLOOKUP(TEXT(C148,0),'TNX RTF Parse'!$BB$1:$BE$201,4,0)="","",VLOOKUP(TEXT(C148,0),'TNX RTF Parse'!$BB$1:$BE$201,4,0)),"")</f>
        <v/>
      </c>
      <c r="H148" s="415"/>
      <c r="I148" s="428" t="str">
        <f ca="1">IFERROR(VLOOKUP(REPLACE($C148,1,1,),Database!$CZ$4:$DB$203,3,0),"")</f>
        <v/>
      </c>
    </row>
    <row r="149" spans="3:9" x14ac:dyDescent="0.25">
      <c r="C149" s="399" t="str">
        <f ca="1">IF(D149="","",'TNX RTF Parse'!$BB134)</f>
        <v/>
      </c>
      <c r="D149" s="399" t="str">
        <f ca="1">IF('TNX File Parse'!S134&lt;&gt;"",'TNX File Parse'!S134,"")</f>
        <v/>
      </c>
      <c r="E149" s="399" t="str">
        <f ca="1">IF('TNX File Parse'!T134&lt;&gt;"",'TNX File Parse'!T134,"")</f>
        <v/>
      </c>
      <c r="F149" s="399" t="str">
        <f ca="1">IFERROR(IF(VLOOKUP(TEXT(C149,0),'TNX RTF Parse'!$BB$1:$BE$201,3,0)="","",VLOOKUP(TEXT(C149,0),'TNX RTF Parse'!$BB$1:$BE$201,3,0)),"")</f>
        <v/>
      </c>
      <c r="G149" s="399" t="str">
        <f ca="1">IFERROR(IF(VLOOKUP(TEXT(C149,0),'TNX RTF Parse'!$BB$1:$BE$201,4,0)="","",VLOOKUP(TEXT(C149,0),'TNX RTF Parse'!$BB$1:$BE$201,4,0)),"")</f>
        <v/>
      </c>
      <c r="H149" s="415"/>
      <c r="I149" s="428" t="str">
        <f ca="1">IFERROR(VLOOKUP(REPLACE($C149,1,1,),Database!$CZ$4:$DB$203,3,0),"")</f>
        <v/>
      </c>
    </row>
    <row r="150" spans="3:9" x14ac:dyDescent="0.25">
      <c r="C150" s="399" t="str">
        <f ca="1">IF(D150="","",'TNX RTF Parse'!$BB135)</f>
        <v/>
      </c>
      <c r="D150" s="399" t="str">
        <f ca="1">IF('TNX File Parse'!S135&lt;&gt;"",'TNX File Parse'!S135,"")</f>
        <v/>
      </c>
      <c r="E150" s="399" t="str">
        <f ca="1">IF('TNX File Parse'!T135&lt;&gt;"",'TNX File Parse'!T135,"")</f>
        <v/>
      </c>
      <c r="F150" s="399" t="str">
        <f ca="1">IFERROR(IF(VLOOKUP(TEXT(C150,0),'TNX RTF Parse'!$BB$1:$BE$201,3,0)="","",VLOOKUP(TEXT(C150,0),'TNX RTF Parse'!$BB$1:$BE$201,3,0)),"")</f>
        <v/>
      </c>
      <c r="G150" s="399" t="str">
        <f ca="1">IFERROR(IF(VLOOKUP(TEXT(C150,0),'TNX RTF Parse'!$BB$1:$BE$201,4,0)="","",VLOOKUP(TEXT(C150,0),'TNX RTF Parse'!$BB$1:$BE$201,4,0)),"")</f>
        <v/>
      </c>
      <c r="H150" s="415"/>
      <c r="I150" s="428" t="str">
        <f ca="1">IFERROR(VLOOKUP(REPLACE($C150,1,1,),Database!$CZ$4:$DB$203,3,0),"")</f>
        <v/>
      </c>
    </row>
    <row r="151" spans="3:9" x14ac:dyDescent="0.25">
      <c r="C151" s="399" t="str">
        <f ca="1">IF(D151="","",'TNX RTF Parse'!$BB136)</f>
        <v/>
      </c>
      <c r="D151" s="399" t="str">
        <f ca="1">IF('TNX File Parse'!S136&lt;&gt;"",'TNX File Parse'!S136,"")</f>
        <v/>
      </c>
      <c r="E151" s="399" t="str">
        <f ca="1">IF('TNX File Parse'!T136&lt;&gt;"",'TNX File Parse'!T136,"")</f>
        <v/>
      </c>
      <c r="F151" s="399" t="str">
        <f ca="1">IFERROR(IF(VLOOKUP(TEXT(C151,0),'TNX RTF Parse'!$BB$1:$BE$201,3,0)="","",VLOOKUP(TEXT(C151,0),'TNX RTF Parse'!$BB$1:$BE$201,3,0)),"")</f>
        <v/>
      </c>
      <c r="G151" s="399" t="str">
        <f ca="1">IFERROR(IF(VLOOKUP(TEXT(C151,0),'TNX RTF Parse'!$BB$1:$BE$201,4,0)="","",VLOOKUP(TEXT(C151,0),'TNX RTF Parse'!$BB$1:$BE$201,4,0)),"")</f>
        <v/>
      </c>
      <c r="H151" s="415"/>
      <c r="I151" s="428" t="str">
        <f ca="1">IFERROR(VLOOKUP(REPLACE($C151,1,1,),Database!$CZ$4:$DB$203,3,0),"")</f>
        <v/>
      </c>
    </row>
    <row r="152" spans="3:9" x14ac:dyDescent="0.25">
      <c r="C152" s="399" t="str">
        <f ca="1">IF(D152="","",'TNX RTF Parse'!$BB137)</f>
        <v/>
      </c>
      <c r="D152" s="399" t="str">
        <f ca="1">IF('TNX File Parse'!S137&lt;&gt;"",'TNX File Parse'!S137,"")</f>
        <v/>
      </c>
      <c r="E152" s="399" t="str">
        <f ca="1">IF('TNX File Parse'!T137&lt;&gt;"",'TNX File Parse'!T137,"")</f>
        <v/>
      </c>
      <c r="F152" s="399" t="str">
        <f ca="1">IFERROR(IF(VLOOKUP(TEXT(C152,0),'TNX RTF Parse'!$BB$1:$BE$201,3,0)="","",VLOOKUP(TEXT(C152,0),'TNX RTF Parse'!$BB$1:$BE$201,3,0)),"")</f>
        <v/>
      </c>
      <c r="G152" s="399" t="str">
        <f ca="1">IFERROR(IF(VLOOKUP(TEXT(C152,0),'TNX RTF Parse'!$BB$1:$BE$201,4,0)="","",VLOOKUP(TEXT(C152,0),'TNX RTF Parse'!$BB$1:$BE$201,4,0)),"")</f>
        <v/>
      </c>
      <c r="H152" s="415"/>
      <c r="I152" s="428" t="str">
        <f ca="1">IFERROR(VLOOKUP(REPLACE($C152,1,1,),Database!$CZ$4:$DB$203,3,0),"")</f>
        <v/>
      </c>
    </row>
    <row r="153" spans="3:9" x14ac:dyDescent="0.25">
      <c r="C153" s="399" t="str">
        <f ca="1">IF(D153="","",'TNX RTF Parse'!$BB138)</f>
        <v/>
      </c>
      <c r="D153" s="399" t="str">
        <f ca="1">IF('TNX File Parse'!S138&lt;&gt;"",'TNX File Parse'!S138,"")</f>
        <v/>
      </c>
      <c r="E153" s="399" t="str">
        <f ca="1">IF('TNX File Parse'!T138&lt;&gt;"",'TNX File Parse'!T138,"")</f>
        <v/>
      </c>
      <c r="F153" s="399" t="str">
        <f ca="1">IFERROR(IF(VLOOKUP(TEXT(C153,0),'TNX RTF Parse'!$BB$1:$BE$201,3,0)="","",VLOOKUP(TEXT(C153,0),'TNX RTF Parse'!$BB$1:$BE$201,3,0)),"")</f>
        <v/>
      </c>
      <c r="G153" s="399" t="str">
        <f ca="1">IFERROR(IF(VLOOKUP(TEXT(C153,0),'TNX RTF Parse'!$BB$1:$BE$201,4,0)="","",VLOOKUP(TEXT(C153,0),'TNX RTF Parse'!$BB$1:$BE$201,4,0)),"")</f>
        <v/>
      </c>
      <c r="H153" s="415"/>
      <c r="I153" s="428" t="str">
        <f ca="1">IFERROR(VLOOKUP(REPLACE($C153,1,1,),Database!$CZ$4:$DB$203,3,0),"")</f>
        <v/>
      </c>
    </row>
    <row r="154" spans="3:9" x14ac:dyDescent="0.25">
      <c r="C154" s="399" t="str">
        <f ca="1">IF(D154="","",'TNX RTF Parse'!$BB139)</f>
        <v/>
      </c>
      <c r="D154" s="399" t="str">
        <f ca="1">IF('TNX File Parse'!S139&lt;&gt;"",'TNX File Parse'!S139,"")</f>
        <v/>
      </c>
      <c r="E154" s="399" t="str">
        <f ca="1">IF('TNX File Parse'!T139&lt;&gt;"",'TNX File Parse'!T139,"")</f>
        <v/>
      </c>
      <c r="F154" s="399" t="str">
        <f ca="1">IFERROR(IF(VLOOKUP(TEXT(C154,0),'TNX RTF Parse'!$BB$1:$BE$201,3,0)="","",VLOOKUP(TEXT(C154,0),'TNX RTF Parse'!$BB$1:$BE$201,3,0)),"")</f>
        <v/>
      </c>
      <c r="G154" s="399" t="str">
        <f ca="1">IFERROR(IF(VLOOKUP(TEXT(C154,0),'TNX RTF Parse'!$BB$1:$BE$201,4,0)="","",VLOOKUP(TEXT(C154,0),'TNX RTF Parse'!$BB$1:$BE$201,4,0)),"")</f>
        <v/>
      </c>
      <c r="H154" s="415"/>
      <c r="I154" s="428" t="str">
        <f ca="1">IFERROR(VLOOKUP(REPLACE($C154,1,1,),Database!$CZ$4:$DB$203,3,0),"")</f>
        <v/>
      </c>
    </row>
    <row r="155" spans="3:9" x14ac:dyDescent="0.25">
      <c r="C155" s="399" t="str">
        <f ca="1">IF(D155="","",'TNX RTF Parse'!$BB140)</f>
        <v/>
      </c>
      <c r="D155" s="399" t="str">
        <f ca="1">IF('TNX File Parse'!S140&lt;&gt;"",'TNX File Parse'!S140,"")</f>
        <v/>
      </c>
      <c r="E155" s="399" t="str">
        <f ca="1">IF('TNX File Parse'!T140&lt;&gt;"",'TNX File Parse'!T140,"")</f>
        <v/>
      </c>
      <c r="F155" s="399" t="str">
        <f ca="1">IFERROR(IF(VLOOKUP(TEXT(C155,0),'TNX RTF Parse'!$BB$1:$BE$201,3,0)="","",VLOOKUP(TEXT(C155,0),'TNX RTF Parse'!$BB$1:$BE$201,3,0)),"")</f>
        <v/>
      </c>
      <c r="G155" s="399" t="str">
        <f ca="1">IFERROR(IF(VLOOKUP(TEXT(C155,0),'TNX RTF Parse'!$BB$1:$BE$201,4,0)="","",VLOOKUP(TEXT(C155,0),'TNX RTF Parse'!$BB$1:$BE$201,4,0)),"")</f>
        <v/>
      </c>
      <c r="H155" s="415"/>
      <c r="I155" s="428" t="str">
        <f ca="1">IFERROR(VLOOKUP(REPLACE($C155,1,1,),Database!$CZ$4:$DB$203,3,0),"")</f>
        <v/>
      </c>
    </row>
    <row r="156" spans="3:9" x14ac:dyDescent="0.25">
      <c r="C156" s="399" t="str">
        <f ca="1">IF(D156="","",'TNX RTF Parse'!$BB141)</f>
        <v/>
      </c>
      <c r="D156" s="399" t="str">
        <f ca="1">IF('TNX File Parse'!S141&lt;&gt;"",'TNX File Parse'!S141,"")</f>
        <v/>
      </c>
      <c r="E156" s="399" t="str">
        <f ca="1">IF('TNX File Parse'!T141&lt;&gt;"",'TNX File Parse'!T141,"")</f>
        <v/>
      </c>
      <c r="F156" s="399" t="str">
        <f ca="1">IFERROR(IF(VLOOKUP(TEXT(C156,0),'TNX RTF Parse'!$BB$1:$BE$201,3,0)="","",VLOOKUP(TEXT(C156,0),'TNX RTF Parse'!$BB$1:$BE$201,3,0)),"")</f>
        <v/>
      </c>
      <c r="G156" s="399" t="str">
        <f ca="1">IFERROR(IF(VLOOKUP(TEXT(C156,0),'TNX RTF Parse'!$BB$1:$BE$201,4,0)="","",VLOOKUP(TEXT(C156,0),'TNX RTF Parse'!$BB$1:$BE$201,4,0)),"")</f>
        <v/>
      </c>
      <c r="H156" s="415"/>
      <c r="I156" s="428" t="str">
        <f ca="1">IFERROR(VLOOKUP(REPLACE($C156,1,1,),Database!$CZ$4:$DB$203,3,0),"")</f>
        <v/>
      </c>
    </row>
    <row r="157" spans="3:9" x14ac:dyDescent="0.25">
      <c r="C157" s="399" t="str">
        <f ca="1">IF(D157="","",'TNX RTF Parse'!$BB142)</f>
        <v/>
      </c>
      <c r="D157" s="399" t="str">
        <f ca="1">IF('TNX File Parse'!S142&lt;&gt;"",'TNX File Parse'!S142,"")</f>
        <v/>
      </c>
      <c r="E157" s="399" t="str">
        <f ca="1">IF('TNX File Parse'!T142&lt;&gt;"",'TNX File Parse'!T142,"")</f>
        <v/>
      </c>
      <c r="F157" s="399" t="str">
        <f ca="1">IFERROR(IF(VLOOKUP(TEXT(C157,0),'TNX RTF Parse'!$BB$1:$BE$201,3,0)="","",VLOOKUP(TEXT(C157,0),'TNX RTF Parse'!$BB$1:$BE$201,3,0)),"")</f>
        <v/>
      </c>
      <c r="G157" s="399" t="str">
        <f ca="1">IFERROR(IF(VLOOKUP(TEXT(C157,0),'TNX RTF Parse'!$BB$1:$BE$201,4,0)="","",VLOOKUP(TEXT(C157,0),'TNX RTF Parse'!$BB$1:$BE$201,4,0)),"")</f>
        <v/>
      </c>
      <c r="H157" s="415"/>
      <c r="I157" s="428" t="str">
        <f ca="1">IFERROR(VLOOKUP(REPLACE($C157,1,1,),Database!$CZ$4:$DB$203,3,0),"")</f>
        <v/>
      </c>
    </row>
    <row r="158" spans="3:9" x14ac:dyDescent="0.25">
      <c r="C158" s="399" t="str">
        <f ca="1">IF(D158="","",'TNX RTF Parse'!$BB143)</f>
        <v/>
      </c>
      <c r="D158" s="399" t="str">
        <f ca="1">IF('TNX File Parse'!S143&lt;&gt;"",'TNX File Parse'!S143,"")</f>
        <v/>
      </c>
      <c r="E158" s="399" t="str">
        <f ca="1">IF('TNX File Parse'!T143&lt;&gt;"",'TNX File Parse'!T143,"")</f>
        <v/>
      </c>
      <c r="F158" s="399" t="str">
        <f ca="1">IFERROR(IF(VLOOKUP(TEXT(C158,0),'TNX RTF Parse'!$BB$1:$BE$201,3,0)="","",VLOOKUP(TEXT(C158,0),'TNX RTF Parse'!$BB$1:$BE$201,3,0)),"")</f>
        <v/>
      </c>
      <c r="G158" s="399" t="str">
        <f ca="1">IFERROR(IF(VLOOKUP(TEXT(C158,0),'TNX RTF Parse'!$BB$1:$BE$201,4,0)="","",VLOOKUP(TEXT(C158,0),'TNX RTF Parse'!$BB$1:$BE$201,4,0)),"")</f>
        <v/>
      </c>
      <c r="H158" s="415"/>
      <c r="I158" s="428" t="str">
        <f ca="1">IFERROR(VLOOKUP(REPLACE($C158,1,1,),Database!$CZ$4:$DB$203,3,0),"")</f>
        <v/>
      </c>
    </row>
    <row r="159" spans="3:9" x14ac:dyDescent="0.25">
      <c r="C159" s="399" t="str">
        <f ca="1">IF(D159="","",'TNX RTF Parse'!$BB144)</f>
        <v/>
      </c>
      <c r="D159" s="399" t="str">
        <f ca="1">IF('TNX File Parse'!S144&lt;&gt;"",'TNX File Parse'!S144,"")</f>
        <v/>
      </c>
      <c r="E159" s="399" t="str">
        <f ca="1">IF('TNX File Parse'!T144&lt;&gt;"",'TNX File Parse'!T144,"")</f>
        <v/>
      </c>
      <c r="F159" s="399" t="str">
        <f ca="1">IFERROR(IF(VLOOKUP(TEXT(C159,0),'TNX RTF Parse'!$BB$1:$BE$201,3,0)="","",VLOOKUP(TEXT(C159,0),'TNX RTF Parse'!$BB$1:$BE$201,3,0)),"")</f>
        <v/>
      </c>
      <c r="G159" s="399" t="str">
        <f ca="1">IFERROR(IF(VLOOKUP(TEXT(C159,0),'TNX RTF Parse'!$BB$1:$BE$201,4,0)="","",VLOOKUP(TEXT(C159,0),'TNX RTF Parse'!$BB$1:$BE$201,4,0)),"")</f>
        <v/>
      </c>
      <c r="H159" s="415"/>
      <c r="I159" s="428" t="str">
        <f ca="1">IFERROR(VLOOKUP(REPLACE($C159,1,1,),Database!$CZ$4:$DB$203,3,0),"")</f>
        <v/>
      </c>
    </row>
    <row r="160" spans="3:9" x14ac:dyDescent="0.25">
      <c r="C160" s="399" t="str">
        <f ca="1">IF(D160="","",'TNX RTF Parse'!$BB145)</f>
        <v/>
      </c>
      <c r="D160" s="399" t="str">
        <f ca="1">IF('TNX File Parse'!S145&lt;&gt;"",'TNX File Parse'!S145,"")</f>
        <v/>
      </c>
      <c r="E160" s="399" t="str">
        <f ca="1">IF('TNX File Parse'!T145&lt;&gt;"",'TNX File Parse'!T145,"")</f>
        <v/>
      </c>
      <c r="F160" s="399" t="str">
        <f ca="1">IFERROR(IF(VLOOKUP(TEXT(C160,0),'TNX RTF Parse'!$BB$1:$BE$201,3,0)="","",VLOOKUP(TEXT(C160,0),'TNX RTF Parse'!$BB$1:$BE$201,3,0)),"")</f>
        <v/>
      </c>
      <c r="G160" s="399" t="str">
        <f ca="1">IFERROR(IF(VLOOKUP(TEXT(C160,0),'TNX RTF Parse'!$BB$1:$BE$201,4,0)="","",VLOOKUP(TEXT(C160,0),'TNX RTF Parse'!$BB$1:$BE$201,4,0)),"")</f>
        <v/>
      </c>
      <c r="H160" s="415"/>
      <c r="I160" s="428" t="str">
        <f ca="1">IFERROR(VLOOKUP(REPLACE($C160,1,1,),Database!$CZ$4:$DB$203,3,0),"")</f>
        <v/>
      </c>
    </row>
    <row r="161" spans="3:9" x14ac:dyDescent="0.25">
      <c r="C161" s="399" t="str">
        <f ca="1">IF(D161="","",'TNX RTF Parse'!$BB146)</f>
        <v/>
      </c>
      <c r="D161" s="399" t="str">
        <f ca="1">IF('TNX File Parse'!S146&lt;&gt;"",'TNX File Parse'!S146,"")</f>
        <v/>
      </c>
      <c r="E161" s="399" t="str">
        <f ca="1">IF('TNX File Parse'!T146&lt;&gt;"",'TNX File Parse'!T146,"")</f>
        <v/>
      </c>
      <c r="F161" s="399" t="str">
        <f ca="1">IFERROR(IF(VLOOKUP(TEXT(C161,0),'TNX RTF Parse'!$BB$1:$BE$201,3,0)="","",VLOOKUP(TEXT(C161,0),'TNX RTF Parse'!$BB$1:$BE$201,3,0)),"")</f>
        <v/>
      </c>
      <c r="G161" s="399" t="str">
        <f ca="1">IFERROR(IF(VLOOKUP(TEXT(C161,0),'TNX RTF Parse'!$BB$1:$BE$201,4,0)="","",VLOOKUP(TEXT(C161,0),'TNX RTF Parse'!$BB$1:$BE$201,4,0)),"")</f>
        <v/>
      </c>
      <c r="H161" s="415"/>
      <c r="I161" s="428" t="str">
        <f ca="1">IFERROR(VLOOKUP(REPLACE($C161,1,1,),Database!$CZ$4:$DB$203,3,0),"")</f>
        <v/>
      </c>
    </row>
    <row r="162" spans="3:9" x14ac:dyDescent="0.25">
      <c r="C162" s="399" t="str">
        <f ca="1">IF(D162="","",'TNX RTF Parse'!$BB147)</f>
        <v/>
      </c>
      <c r="D162" s="399" t="str">
        <f ca="1">IF('TNX File Parse'!S147&lt;&gt;"",'TNX File Parse'!S147,"")</f>
        <v/>
      </c>
      <c r="E162" s="399" t="str">
        <f ca="1">IF('TNX File Parse'!T147&lt;&gt;"",'TNX File Parse'!T147,"")</f>
        <v/>
      </c>
      <c r="F162" s="399" t="str">
        <f ca="1">IFERROR(IF(VLOOKUP(TEXT(C162,0),'TNX RTF Parse'!$BB$1:$BE$201,3,0)="","",VLOOKUP(TEXT(C162,0),'TNX RTF Parse'!$BB$1:$BE$201,3,0)),"")</f>
        <v/>
      </c>
      <c r="G162" s="399" t="str">
        <f ca="1">IFERROR(IF(VLOOKUP(TEXT(C162,0),'TNX RTF Parse'!$BB$1:$BE$201,4,0)="","",VLOOKUP(TEXT(C162,0),'TNX RTF Parse'!$BB$1:$BE$201,4,0)),"")</f>
        <v/>
      </c>
      <c r="H162" s="415"/>
      <c r="I162" s="428" t="str">
        <f ca="1">IFERROR(VLOOKUP(REPLACE($C162,1,1,),Database!$CZ$4:$DB$203,3,0),"")</f>
        <v/>
      </c>
    </row>
    <row r="163" spans="3:9" x14ac:dyDescent="0.25">
      <c r="C163" s="399" t="str">
        <f ca="1">IF(D163="","",'TNX RTF Parse'!$BB148)</f>
        <v/>
      </c>
      <c r="D163" s="399" t="str">
        <f ca="1">IF('TNX File Parse'!S148&lt;&gt;"",'TNX File Parse'!S148,"")</f>
        <v/>
      </c>
      <c r="E163" s="399" t="str">
        <f ca="1">IF('TNX File Parse'!T148&lt;&gt;"",'TNX File Parse'!T148,"")</f>
        <v/>
      </c>
      <c r="F163" s="399" t="str">
        <f ca="1">IFERROR(IF(VLOOKUP(TEXT(C163,0),'TNX RTF Parse'!$BB$1:$BE$201,3,0)="","",VLOOKUP(TEXT(C163,0),'TNX RTF Parse'!$BB$1:$BE$201,3,0)),"")</f>
        <v/>
      </c>
      <c r="G163" s="399" t="str">
        <f ca="1">IFERROR(IF(VLOOKUP(TEXT(C163,0),'TNX RTF Parse'!$BB$1:$BE$201,4,0)="","",VLOOKUP(TEXT(C163,0),'TNX RTF Parse'!$BB$1:$BE$201,4,0)),"")</f>
        <v/>
      </c>
      <c r="H163" s="415"/>
      <c r="I163" s="428" t="str">
        <f ca="1">IFERROR(VLOOKUP(REPLACE($C163,1,1,),Database!$CZ$4:$DB$203,3,0),"")</f>
        <v/>
      </c>
    </row>
    <row r="164" spans="3:9" x14ac:dyDescent="0.25">
      <c r="C164" s="399" t="str">
        <f ca="1">IF(D164="","",'TNX RTF Parse'!$BB149)</f>
        <v/>
      </c>
      <c r="D164" s="399" t="str">
        <f ca="1">IF('TNX File Parse'!S149&lt;&gt;"",'TNX File Parse'!S149,"")</f>
        <v/>
      </c>
      <c r="E164" s="399" t="str">
        <f ca="1">IF('TNX File Parse'!T149&lt;&gt;"",'TNX File Parse'!T149,"")</f>
        <v/>
      </c>
      <c r="F164" s="399" t="str">
        <f ca="1">IFERROR(IF(VLOOKUP(TEXT(C164,0),'TNX RTF Parse'!$BB$1:$BE$201,3,0)="","",VLOOKUP(TEXT(C164,0),'TNX RTF Parse'!$BB$1:$BE$201,3,0)),"")</f>
        <v/>
      </c>
      <c r="G164" s="399" t="str">
        <f ca="1">IFERROR(IF(VLOOKUP(TEXT(C164,0),'TNX RTF Parse'!$BB$1:$BE$201,4,0)="","",VLOOKUP(TEXT(C164,0),'TNX RTF Parse'!$BB$1:$BE$201,4,0)),"")</f>
        <v/>
      </c>
      <c r="H164" s="415"/>
      <c r="I164" s="428" t="str">
        <f ca="1">IFERROR(VLOOKUP(REPLACE($C164,1,1,),Database!$CZ$4:$DB$203,3,0),"")</f>
        <v/>
      </c>
    </row>
    <row r="165" spans="3:9" x14ac:dyDescent="0.25">
      <c r="C165" s="399" t="str">
        <f ca="1">IF(D165="","",'TNX RTF Parse'!$BB150)</f>
        <v/>
      </c>
      <c r="D165" s="399" t="str">
        <f ca="1">IF('TNX File Parse'!S150&lt;&gt;"",'TNX File Parse'!S150,"")</f>
        <v/>
      </c>
      <c r="E165" s="399" t="str">
        <f ca="1">IF('TNX File Parse'!T150&lt;&gt;"",'TNX File Parse'!T150,"")</f>
        <v/>
      </c>
      <c r="F165" s="399" t="str">
        <f ca="1">IFERROR(IF(VLOOKUP(TEXT(C165,0),'TNX RTF Parse'!$BB$1:$BE$201,3,0)="","",VLOOKUP(TEXT(C165,0),'TNX RTF Parse'!$BB$1:$BE$201,3,0)),"")</f>
        <v/>
      </c>
      <c r="G165" s="399" t="str">
        <f ca="1">IFERROR(IF(VLOOKUP(TEXT(C165,0),'TNX RTF Parse'!$BB$1:$BE$201,4,0)="","",VLOOKUP(TEXT(C165,0),'TNX RTF Parse'!$BB$1:$BE$201,4,0)),"")</f>
        <v/>
      </c>
      <c r="H165" s="415"/>
      <c r="I165" s="428" t="str">
        <f ca="1">IFERROR(VLOOKUP(REPLACE($C165,1,1,),Database!$CZ$4:$DB$203,3,0),"")</f>
        <v/>
      </c>
    </row>
    <row r="166" spans="3:9" x14ac:dyDescent="0.25">
      <c r="C166" s="399" t="str">
        <f ca="1">IF(D166="","",'TNX RTF Parse'!$BB151)</f>
        <v/>
      </c>
      <c r="D166" s="399" t="str">
        <f ca="1">IF('TNX File Parse'!S151&lt;&gt;"",'TNX File Parse'!S151,"")</f>
        <v/>
      </c>
      <c r="E166" s="399" t="str">
        <f ca="1">IF('TNX File Parse'!T151&lt;&gt;"",'TNX File Parse'!T151,"")</f>
        <v/>
      </c>
      <c r="F166" s="399" t="str">
        <f ca="1">IFERROR(IF(VLOOKUP(TEXT(C166,0),'TNX RTF Parse'!$BB$1:$BE$201,3,0)="","",VLOOKUP(TEXT(C166,0),'TNX RTF Parse'!$BB$1:$BE$201,3,0)),"")</f>
        <v/>
      </c>
      <c r="G166" s="399" t="str">
        <f ca="1">IFERROR(IF(VLOOKUP(TEXT(C166,0),'TNX RTF Parse'!$BB$1:$BE$201,4,0)="","",VLOOKUP(TEXT(C166,0),'TNX RTF Parse'!$BB$1:$BE$201,4,0)),"")</f>
        <v/>
      </c>
      <c r="H166" s="415"/>
      <c r="I166" s="428" t="str">
        <f ca="1">IFERROR(VLOOKUP(REPLACE($C166,1,1,),Database!$CZ$4:$DB$203,3,0),"")</f>
        <v/>
      </c>
    </row>
    <row r="167" spans="3:9" x14ac:dyDescent="0.25">
      <c r="C167" s="399" t="str">
        <f ca="1">IF(D167="","",'TNX RTF Parse'!$BB152)</f>
        <v/>
      </c>
      <c r="D167" s="399" t="str">
        <f ca="1">IF('TNX File Parse'!S152&lt;&gt;"",'TNX File Parse'!S152,"")</f>
        <v/>
      </c>
      <c r="E167" s="399" t="str">
        <f ca="1">IF('TNX File Parse'!T152&lt;&gt;"",'TNX File Parse'!T152,"")</f>
        <v/>
      </c>
      <c r="F167" s="399" t="str">
        <f ca="1">IFERROR(IF(VLOOKUP(TEXT(C167,0),'TNX RTF Parse'!$BB$1:$BE$201,3,0)="","",VLOOKUP(TEXT(C167,0),'TNX RTF Parse'!$BB$1:$BE$201,3,0)),"")</f>
        <v/>
      </c>
      <c r="G167" s="399" t="str">
        <f ca="1">IFERROR(IF(VLOOKUP(TEXT(C167,0),'TNX RTF Parse'!$BB$1:$BE$201,4,0)="","",VLOOKUP(TEXT(C167,0),'TNX RTF Parse'!$BB$1:$BE$201,4,0)),"")</f>
        <v/>
      </c>
      <c r="H167" s="415"/>
      <c r="I167" s="428" t="str">
        <f ca="1">IFERROR(VLOOKUP(REPLACE($C167,1,1,),Database!$CZ$4:$DB$203,3,0),"")</f>
        <v/>
      </c>
    </row>
    <row r="168" spans="3:9" x14ac:dyDescent="0.25">
      <c r="C168" s="399" t="str">
        <f ca="1">IF(D168="","",'TNX RTF Parse'!$BB153)</f>
        <v/>
      </c>
      <c r="D168" s="399" t="str">
        <f ca="1">IF('TNX File Parse'!S153&lt;&gt;"",'TNX File Parse'!S153,"")</f>
        <v/>
      </c>
      <c r="E168" s="399" t="str">
        <f ca="1">IF('TNX File Parse'!T153&lt;&gt;"",'TNX File Parse'!T153,"")</f>
        <v/>
      </c>
      <c r="F168" s="399" t="str">
        <f ca="1">IFERROR(IF(VLOOKUP(TEXT(C168,0),'TNX RTF Parse'!$BB$1:$BE$201,3,0)="","",VLOOKUP(TEXT(C168,0),'TNX RTF Parse'!$BB$1:$BE$201,3,0)),"")</f>
        <v/>
      </c>
      <c r="G168" s="399" t="str">
        <f ca="1">IFERROR(IF(VLOOKUP(TEXT(C168,0),'TNX RTF Parse'!$BB$1:$BE$201,4,0)="","",VLOOKUP(TEXT(C168,0),'TNX RTF Parse'!$BB$1:$BE$201,4,0)),"")</f>
        <v/>
      </c>
      <c r="H168" s="415"/>
      <c r="I168" s="428" t="str">
        <f ca="1">IFERROR(VLOOKUP(REPLACE($C168,1,1,),Database!$CZ$4:$DB$203,3,0),"")</f>
        <v/>
      </c>
    </row>
    <row r="169" spans="3:9" x14ac:dyDescent="0.25">
      <c r="C169" s="399" t="str">
        <f ca="1">IF(D169="","",'TNX RTF Parse'!$BB154)</f>
        <v/>
      </c>
      <c r="D169" s="399" t="str">
        <f ca="1">IF('TNX File Parse'!S154&lt;&gt;"",'TNX File Parse'!S154,"")</f>
        <v/>
      </c>
      <c r="E169" s="399" t="str">
        <f ca="1">IF('TNX File Parse'!T154&lt;&gt;"",'TNX File Parse'!T154,"")</f>
        <v/>
      </c>
      <c r="F169" s="399" t="str">
        <f ca="1">IFERROR(IF(VLOOKUP(TEXT(C169,0),'TNX RTF Parse'!$BB$1:$BE$201,3,0)="","",VLOOKUP(TEXT(C169,0),'TNX RTF Parse'!$BB$1:$BE$201,3,0)),"")</f>
        <v/>
      </c>
      <c r="G169" s="399" t="str">
        <f ca="1">IFERROR(IF(VLOOKUP(TEXT(C169,0),'TNX RTF Parse'!$BB$1:$BE$201,4,0)="","",VLOOKUP(TEXT(C169,0),'TNX RTF Parse'!$BB$1:$BE$201,4,0)),"")</f>
        <v/>
      </c>
      <c r="H169" s="415"/>
      <c r="I169" s="428" t="str">
        <f ca="1">IFERROR(VLOOKUP(REPLACE($C169,1,1,),Database!$CZ$4:$DB$203,3,0),"")</f>
        <v/>
      </c>
    </row>
    <row r="170" spans="3:9" x14ac:dyDescent="0.25">
      <c r="C170" s="399" t="str">
        <f ca="1">IF(D170="","",'TNX RTF Parse'!$BB155)</f>
        <v/>
      </c>
      <c r="D170" s="399" t="str">
        <f ca="1">IF('TNX File Parse'!S155&lt;&gt;"",'TNX File Parse'!S155,"")</f>
        <v/>
      </c>
      <c r="E170" s="399" t="str">
        <f ca="1">IF('TNX File Parse'!T155&lt;&gt;"",'TNX File Parse'!T155,"")</f>
        <v/>
      </c>
      <c r="F170" s="399" t="str">
        <f ca="1">IFERROR(IF(VLOOKUP(TEXT(C170,0),'TNX RTF Parse'!$BB$1:$BE$201,3,0)="","",VLOOKUP(TEXT(C170,0),'TNX RTF Parse'!$BB$1:$BE$201,3,0)),"")</f>
        <v/>
      </c>
      <c r="G170" s="399" t="str">
        <f ca="1">IFERROR(IF(VLOOKUP(TEXT(C170,0),'TNX RTF Parse'!$BB$1:$BE$201,4,0)="","",VLOOKUP(TEXT(C170,0),'TNX RTF Parse'!$BB$1:$BE$201,4,0)),"")</f>
        <v/>
      </c>
      <c r="H170" s="415"/>
      <c r="I170" s="428" t="str">
        <f ca="1">IFERROR(VLOOKUP(REPLACE($C170,1,1,),Database!$CZ$4:$DB$203,3,0),"")</f>
        <v/>
      </c>
    </row>
    <row r="171" spans="3:9" x14ac:dyDescent="0.25">
      <c r="C171" s="399" t="str">
        <f ca="1">IF(D171="","",'TNX RTF Parse'!$BB156)</f>
        <v/>
      </c>
      <c r="D171" s="399" t="str">
        <f ca="1">IF('TNX File Parse'!S156&lt;&gt;"",'TNX File Parse'!S156,"")</f>
        <v/>
      </c>
      <c r="E171" s="399" t="str">
        <f ca="1">IF('TNX File Parse'!T156&lt;&gt;"",'TNX File Parse'!T156,"")</f>
        <v/>
      </c>
      <c r="F171" s="399" t="str">
        <f ca="1">IFERROR(IF(VLOOKUP(TEXT(C171,0),'TNX RTF Parse'!$BB$1:$BE$201,3,0)="","",VLOOKUP(TEXT(C171,0),'TNX RTF Parse'!$BB$1:$BE$201,3,0)),"")</f>
        <v/>
      </c>
      <c r="G171" s="399" t="str">
        <f ca="1">IFERROR(IF(VLOOKUP(TEXT(C171,0),'TNX RTF Parse'!$BB$1:$BE$201,4,0)="","",VLOOKUP(TEXT(C171,0),'TNX RTF Parse'!$BB$1:$BE$201,4,0)),"")</f>
        <v/>
      </c>
      <c r="H171" s="415"/>
      <c r="I171" s="428" t="str">
        <f ca="1">IFERROR(VLOOKUP(REPLACE($C171,1,1,),Database!$CZ$4:$DB$203,3,0),"")</f>
        <v/>
      </c>
    </row>
    <row r="172" spans="3:9" x14ac:dyDescent="0.25">
      <c r="C172" s="399" t="str">
        <f ca="1">IF(D172="","",'TNX RTF Parse'!$BB157)</f>
        <v/>
      </c>
      <c r="D172" s="399" t="str">
        <f ca="1">IF('TNX File Parse'!S157&lt;&gt;"",'TNX File Parse'!S157,"")</f>
        <v/>
      </c>
      <c r="E172" s="399" t="str">
        <f ca="1">IF('TNX File Parse'!T157&lt;&gt;"",'TNX File Parse'!T157,"")</f>
        <v/>
      </c>
      <c r="F172" s="399" t="str">
        <f ca="1">IFERROR(IF(VLOOKUP(TEXT(C172,0),'TNX RTF Parse'!$BB$1:$BE$201,3,0)="","",VLOOKUP(TEXT(C172,0),'TNX RTF Parse'!$BB$1:$BE$201,3,0)),"")</f>
        <v/>
      </c>
      <c r="G172" s="399" t="str">
        <f ca="1">IFERROR(IF(VLOOKUP(TEXT(C172,0),'TNX RTF Parse'!$BB$1:$BE$201,4,0)="","",VLOOKUP(TEXT(C172,0),'TNX RTF Parse'!$BB$1:$BE$201,4,0)),"")</f>
        <v/>
      </c>
      <c r="H172" s="415"/>
      <c r="I172" s="428" t="str">
        <f ca="1">IFERROR(VLOOKUP(REPLACE($C172,1,1,),Database!$CZ$4:$DB$203,3,0),"")</f>
        <v/>
      </c>
    </row>
    <row r="173" spans="3:9" x14ac:dyDescent="0.25">
      <c r="C173" s="399" t="str">
        <f ca="1">IF(D173="","",'TNX RTF Parse'!$BB158)</f>
        <v/>
      </c>
      <c r="D173" s="399" t="str">
        <f ca="1">IF('TNX File Parse'!S158&lt;&gt;"",'TNX File Parse'!S158,"")</f>
        <v/>
      </c>
      <c r="E173" s="399" t="str">
        <f ca="1">IF('TNX File Parse'!T158&lt;&gt;"",'TNX File Parse'!T158,"")</f>
        <v/>
      </c>
      <c r="F173" s="399" t="str">
        <f ca="1">IFERROR(IF(VLOOKUP(TEXT(C173,0),'TNX RTF Parse'!$BB$1:$BE$201,3,0)="","",VLOOKUP(TEXT(C173,0),'TNX RTF Parse'!$BB$1:$BE$201,3,0)),"")</f>
        <v/>
      </c>
      <c r="G173" s="399" t="str">
        <f ca="1">IFERROR(IF(VLOOKUP(TEXT(C173,0),'TNX RTF Parse'!$BB$1:$BE$201,4,0)="","",VLOOKUP(TEXT(C173,0),'TNX RTF Parse'!$BB$1:$BE$201,4,0)),"")</f>
        <v/>
      </c>
      <c r="H173" s="415"/>
      <c r="I173" s="428" t="str">
        <f ca="1">IFERROR(VLOOKUP(REPLACE($C173,1,1,),Database!$CZ$4:$DB$203,3,0),"")</f>
        <v/>
      </c>
    </row>
    <row r="174" spans="3:9" x14ac:dyDescent="0.25">
      <c r="C174" s="399" t="str">
        <f ca="1">IF(D174="","",'TNX RTF Parse'!$BB159)</f>
        <v/>
      </c>
      <c r="D174" s="399" t="str">
        <f ca="1">IF('TNX File Parse'!S159&lt;&gt;"",'TNX File Parse'!S159,"")</f>
        <v/>
      </c>
      <c r="E174" s="399" t="str">
        <f ca="1">IF('TNX File Parse'!T159&lt;&gt;"",'TNX File Parse'!T159,"")</f>
        <v/>
      </c>
      <c r="F174" s="399" t="str">
        <f ca="1">IFERROR(IF(VLOOKUP(TEXT(C174,0),'TNX RTF Parse'!$BB$1:$BE$201,3,0)="","",VLOOKUP(TEXT(C174,0),'TNX RTF Parse'!$BB$1:$BE$201,3,0)),"")</f>
        <v/>
      </c>
      <c r="G174" s="399" t="str">
        <f ca="1">IFERROR(IF(VLOOKUP(TEXT(C174,0),'TNX RTF Parse'!$BB$1:$BE$201,4,0)="","",VLOOKUP(TEXT(C174,0),'TNX RTF Parse'!$BB$1:$BE$201,4,0)),"")</f>
        <v/>
      </c>
      <c r="H174" s="415"/>
      <c r="I174" s="428" t="str">
        <f ca="1">IFERROR(VLOOKUP(REPLACE($C174,1,1,),Database!$CZ$4:$DB$203,3,0),"")</f>
        <v/>
      </c>
    </row>
    <row r="175" spans="3:9" x14ac:dyDescent="0.25">
      <c r="C175" s="399" t="str">
        <f ca="1">IF(D175="","",'TNX RTF Parse'!$BB160)</f>
        <v/>
      </c>
      <c r="D175" s="399" t="str">
        <f ca="1">IF('TNX File Parse'!S160&lt;&gt;"",'TNX File Parse'!S160,"")</f>
        <v/>
      </c>
      <c r="E175" s="399" t="str">
        <f ca="1">IF('TNX File Parse'!T160&lt;&gt;"",'TNX File Parse'!T160,"")</f>
        <v/>
      </c>
      <c r="F175" s="399" t="str">
        <f ca="1">IFERROR(IF(VLOOKUP(TEXT(C175,0),'TNX RTF Parse'!$BB$1:$BE$201,3,0)="","",VLOOKUP(TEXT(C175,0),'TNX RTF Parse'!$BB$1:$BE$201,3,0)),"")</f>
        <v/>
      </c>
      <c r="G175" s="399" t="str">
        <f ca="1">IFERROR(IF(VLOOKUP(TEXT(C175,0),'TNX RTF Parse'!$BB$1:$BE$201,4,0)="","",VLOOKUP(TEXT(C175,0),'TNX RTF Parse'!$BB$1:$BE$201,4,0)),"")</f>
        <v/>
      </c>
      <c r="H175" s="415"/>
      <c r="I175" s="428" t="str">
        <f ca="1">IFERROR(VLOOKUP(REPLACE($C175,1,1,),Database!$CZ$4:$DB$203,3,0),"")</f>
        <v/>
      </c>
    </row>
    <row r="176" spans="3:9" x14ac:dyDescent="0.25">
      <c r="C176" s="399" t="str">
        <f ca="1">IF(D176="","",'TNX RTF Parse'!$BB161)</f>
        <v/>
      </c>
      <c r="D176" s="399" t="str">
        <f ca="1">IF('TNX File Parse'!S161&lt;&gt;"",'TNX File Parse'!S161,"")</f>
        <v/>
      </c>
      <c r="E176" s="399" t="str">
        <f ca="1">IF('TNX File Parse'!T161&lt;&gt;"",'TNX File Parse'!T161,"")</f>
        <v/>
      </c>
      <c r="F176" s="399" t="str">
        <f ca="1">IFERROR(IF(VLOOKUP(TEXT(C176,0),'TNX RTF Parse'!$BB$1:$BE$201,3,0)="","",VLOOKUP(TEXT(C176,0),'TNX RTF Parse'!$BB$1:$BE$201,3,0)),"")</f>
        <v/>
      </c>
      <c r="G176" s="399" t="str">
        <f ca="1">IFERROR(IF(VLOOKUP(TEXT(C176,0),'TNX RTF Parse'!$BB$1:$BE$201,4,0)="","",VLOOKUP(TEXT(C176,0),'TNX RTF Parse'!$BB$1:$BE$201,4,0)),"")</f>
        <v/>
      </c>
      <c r="H176" s="415"/>
      <c r="I176" s="428" t="str">
        <f ca="1">IFERROR(VLOOKUP(REPLACE($C176,1,1,),Database!$CZ$4:$DB$203,3,0),"")</f>
        <v/>
      </c>
    </row>
    <row r="177" spans="3:9" x14ac:dyDescent="0.25">
      <c r="C177" s="399" t="str">
        <f ca="1">IF(D177="","",'TNX RTF Parse'!$BB162)</f>
        <v/>
      </c>
      <c r="D177" s="399" t="str">
        <f ca="1">IF('TNX File Parse'!S162&lt;&gt;"",'TNX File Parse'!S162,"")</f>
        <v/>
      </c>
      <c r="E177" s="399" t="str">
        <f ca="1">IF('TNX File Parse'!T162&lt;&gt;"",'TNX File Parse'!T162,"")</f>
        <v/>
      </c>
      <c r="F177" s="399" t="str">
        <f ca="1">IFERROR(IF(VLOOKUP(TEXT(C177,0),'TNX RTF Parse'!$BB$1:$BE$201,3,0)="","",VLOOKUP(TEXT(C177,0),'TNX RTF Parse'!$BB$1:$BE$201,3,0)),"")</f>
        <v/>
      </c>
      <c r="G177" s="399" t="str">
        <f ca="1">IFERROR(IF(VLOOKUP(TEXT(C177,0),'TNX RTF Parse'!$BB$1:$BE$201,4,0)="","",VLOOKUP(TEXT(C177,0),'TNX RTF Parse'!$BB$1:$BE$201,4,0)),"")</f>
        <v/>
      </c>
      <c r="H177" s="415"/>
      <c r="I177" s="428" t="str">
        <f ca="1">IFERROR(VLOOKUP(REPLACE($C177,1,1,),Database!$CZ$4:$DB$203,3,0),"")</f>
        <v/>
      </c>
    </row>
    <row r="178" spans="3:9" x14ac:dyDescent="0.25">
      <c r="C178" s="399" t="str">
        <f ca="1">IF(D178="","",'TNX RTF Parse'!$BB163)</f>
        <v/>
      </c>
      <c r="D178" s="399" t="str">
        <f ca="1">IF('TNX File Parse'!S163&lt;&gt;"",'TNX File Parse'!S163,"")</f>
        <v/>
      </c>
      <c r="E178" s="399" t="str">
        <f ca="1">IF('TNX File Parse'!T163&lt;&gt;"",'TNX File Parse'!T163,"")</f>
        <v/>
      </c>
      <c r="F178" s="399" t="str">
        <f ca="1">IFERROR(IF(VLOOKUP(TEXT(C178,0),'TNX RTF Parse'!$BB$1:$BE$201,3,0)="","",VLOOKUP(TEXT(C178,0),'TNX RTF Parse'!$BB$1:$BE$201,3,0)),"")</f>
        <v/>
      </c>
      <c r="G178" s="399" t="str">
        <f ca="1">IFERROR(IF(VLOOKUP(TEXT(C178,0),'TNX RTF Parse'!$BB$1:$BE$201,4,0)="","",VLOOKUP(TEXT(C178,0),'TNX RTF Parse'!$BB$1:$BE$201,4,0)),"")</f>
        <v/>
      </c>
      <c r="H178" s="415"/>
      <c r="I178" s="428" t="str">
        <f ca="1">IFERROR(VLOOKUP(REPLACE($C178,1,1,),Database!$CZ$4:$DB$203,3,0),"")</f>
        <v/>
      </c>
    </row>
    <row r="179" spans="3:9" x14ac:dyDescent="0.25">
      <c r="C179" s="399" t="str">
        <f ca="1">IF(D179="","",'TNX RTF Parse'!$BB164)</f>
        <v/>
      </c>
      <c r="D179" s="399" t="str">
        <f ca="1">IF('TNX File Parse'!S164&lt;&gt;"",'TNX File Parse'!S164,"")</f>
        <v/>
      </c>
      <c r="E179" s="399" t="str">
        <f ca="1">IF('TNX File Parse'!T164&lt;&gt;"",'TNX File Parse'!T164,"")</f>
        <v/>
      </c>
      <c r="F179" s="399" t="str">
        <f ca="1">IFERROR(IF(VLOOKUP(TEXT(C179,0),'TNX RTF Parse'!$BB$1:$BE$201,3,0)="","",VLOOKUP(TEXT(C179,0),'TNX RTF Parse'!$BB$1:$BE$201,3,0)),"")</f>
        <v/>
      </c>
      <c r="G179" s="399" t="str">
        <f ca="1">IFERROR(IF(VLOOKUP(TEXT(C179,0),'TNX RTF Parse'!$BB$1:$BE$201,4,0)="","",VLOOKUP(TEXT(C179,0),'TNX RTF Parse'!$BB$1:$BE$201,4,0)),"")</f>
        <v/>
      </c>
      <c r="H179" s="415"/>
      <c r="I179" s="428" t="str">
        <f ca="1">IFERROR(VLOOKUP(REPLACE($C179,1,1,),Database!$CZ$4:$DB$203,3,0),"")</f>
        <v/>
      </c>
    </row>
    <row r="180" spans="3:9" x14ac:dyDescent="0.25">
      <c r="C180" s="399" t="str">
        <f ca="1">IF(D180="","",'TNX RTF Parse'!$BB165)</f>
        <v/>
      </c>
      <c r="D180" s="399" t="str">
        <f ca="1">IF('TNX File Parse'!S165&lt;&gt;"",'TNX File Parse'!S165,"")</f>
        <v/>
      </c>
      <c r="E180" s="399" t="str">
        <f ca="1">IF('TNX File Parse'!T165&lt;&gt;"",'TNX File Parse'!T165,"")</f>
        <v/>
      </c>
      <c r="F180" s="399" t="str">
        <f ca="1">IFERROR(IF(VLOOKUP(TEXT(C180,0),'TNX RTF Parse'!$BB$1:$BE$201,3,0)="","",VLOOKUP(TEXT(C180,0),'TNX RTF Parse'!$BB$1:$BE$201,3,0)),"")</f>
        <v/>
      </c>
      <c r="G180" s="399" t="str">
        <f ca="1">IFERROR(IF(VLOOKUP(TEXT(C180,0),'TNX RTF Parse'!$BB$1:$BE$201,4,0)="","",VLOOKUP(TEXT(C180,0),'TNX RTF Parse'!$BB$1:$BE$201,4,0)),"")</f>
        <v/>
      </c>
      <c r="H180" s="415"/>
      <c r="I180" s="428" t="str">
        <f ca="1">IFERROR(VLOOKUP(REPLACE($C180,1,1,),Database!$CZ$4:$DB$203,3,0),"")</f>
        <v/>
      </c>
    </row>
    <row r="181" spans="3:9" x14ac:dyDescent="0.25">
      <c r="C181" s="399" t="str">
        <f ca="1">IF(D181="","",'TNX RTF Parse'!$BB166)</f>
        <v/>
      </c>
      <c r="D181" s="399" t="str">
        <f ca="1">IF('TNX File Parse'!S166&lt;&gt;"",'TNX File Parse'!S166,"")</f>
        <v/>
      </c>
      <c r="E181" s="399" t="str">
        <f ca="1">IF('TNX File Parse'!T166&lt;&gt;"",'TNX File Parse'!T166,"")</f>
        <v/>
      </c>
      <c r="F181" s="399" t="str">
        <f ca="1">IFERROR(IF(VLOOKUP(TEXT(C181,0),'TNX RTF Parse'!$BB$1:$BE$201,3,0)="","",VLOOKUP(TEXT(C181,0),'TNX RTF Parse'!$BB$1:$BE$201,3,0)),"")</f>
        <v/>
      </c>
      <c r="G181" s="399" t="str">
        <f ca="1">IFERROR(IF(VLOOKUP(TEXT(C181,0),'TNX RTF Parse'!$BB$1:$BE$201,4,0)="","",VLOOKUP(TEXT(C181,0),'TNX RTF Parse'!$BB$1:$BE$201,4,0)),"")</f>
        <v/>
      </c>
      <c r="H181" s="415"/>
      <c r="I181" s="428" t="str">
        <f ca="1">IFERROR(VLOOKUP(REPLACE($C181,1,1,),Database!$CZ$4:$DB$203,3,0),"")</f>
        <v/>
      </c>
    </row>
    <row r="182" spans="3:9" x14ac:dyDescent="0.25">
      <c r="C182" s="399" t="str">
        <f ca="1">IF(D182="","",'TNX RTF Parse'!$BB167)</f>
        <v/>
      </c>
      <c r="D182" s="399" t="str">
        <f ca="1">IF('TNX File Parse'!S167&lt;&gt;"",'TNX File Parse'!S167,"")</f>
        <v/>
      </c>
      <c r="E182" s="399" t="str">
        <f ca="1">IF('TNX File Parse'!T167&lt;&gt;"",'TNX File Parse'!T167,"")</f>
        <v/>
      </c>
      <c r="F182" s="399" t="str">
        <f ca="1">IFERROR(IF(VLOOKUP(TEXT(C182,0),'TNX RTF Parse'!$BB$1:$BE$201,3,0)="","",VLOOKUP(TEXT(C182,0),'TNX RTF Parse'!$BB$1:$BE$201,3,0)),"")</f>
        <v/>
      </c>
      <c r="G182" s="399" t="str">
        <f ca="1">IFERROR(IF(VLOOKUP(TEXT(C182,0),'TNX RTF Parse'!$BB$1:$BE$201,4,0)="","",VLOOKUP(TEXT(C182,0),'TNX RTF Parse'!$BB$1:$BE$201,4,0)),"")</f>
        <v/>
      </c>
      <c r="H182" s="415"/>
      <c r="I182" s="428" t="str">
        <f ca="1">IFERROR(VLOOKUP(REPLACE($C182,1,1,),Database!$CZ$4:$DB$203,3,0),"")</f>
        <v/>
      </c>
    </row>
    <row r="183" spans="3:9" x14ac:dyDescent="0.25">
      <c r="C183" s="399" t="str">
        <f ca="1">IF(D183="","",'TNX RTF Parse'!$BB168)</f>
        <v/>
      </c>
      <c r="D183" s="399" t="str">
        <f ca="1">IF('TNX File Parse'!S168&lt;&gt;"",'TNX File Parse'!S168,"")</f>
        <v/>
      </c>
      <c r="E183" s="399" t="str">
        <f ca="1">IF('TNX File Parse'!T168&lt;&gt;"",'TNX File Parse'!T168,"")</f>
        <v/>
      </c>
      <c r="F183" s="399" t="str">
        <f ca="1">IFERROR(IF(VLOOKUP(TEXT(C183,0),'TNX RTF Parse'!$BB$1:$BE$201,3,0)="","",VLOOKUP(TEXT(C183,0),'TNX RTF Parse'!$BB$1:$BE$201,3,0)),"")</f>
        <v/>
      </c>
      <c r="G183" s="399" t="str">
        <f ca="1">IFERROR(IF(VLOOKUP(TEXT(C183,0),'TNX RTF Parse'!$BB$1:$BE$201,4,0)="","",VLOOKUP(TEXT(C183,0),'TNX RTF Parse'!$BB$1:$BE$201,4,0)),"")</f>
        <v/>
      </c>
      <c r="H183" s="415"/>
      <c r="I183" s="428" t="str">
        <f ca="1">IFERROR(VLOOKUP(REPLACE($C183,1,1,),Database!$CZ$4:$DB$203,3,0),"")</f>
        <v/>
      </c>
    </row>
    <row r="184" spans="3:9" x14ac:dyDescent="0.25">
      <c r="C184" s="399" t="str">
        <f ca="1">IF(D184="","",'TNX RTF Parse'!$BB169)</f>
        <v/>
      </c>
      <c r="D184" s="399" t="str">
        <f ca="1">IF('TNX File Parse'!S169&lt;&gt;"",'TNX File Parse'!S169,"")</f>
        <v/>
      </c>
      <c r="E184" s="399" t="str">
        <f ca="1">IF('TNX File Parse'!T169&lt;&gt;"",'TNX File Parse'!T169,"")</f>
        <v/>
      </c>
      <c r="F184" s="399" t="str">
        <f ca="1">IFERROR(IF(VLOOKUP(TEXT(C184,0),'TNX RTF Parse'!$BB$1:$BE$201,3,0)="","",VLOOKUP(TEXT(C184,0),'TNX RTF Parse'!$BB$1:$BE$201,3,0)),"")</f>
        <v/>
      </c>
      <c r="G184" s="399" t="str">
        <f ca="1">IFERROR(IF(VLOOKUP(TEXT(C184,0),'TNX RTF Parse'!$BB$1:$BE$201,4,0)="","",VLOOKUP(TEXT(C184,0),'TNX RTF Parse'!$BB$1:$BE$201,4,0)),"")</f>
        <v/>
      </c>
      <c r="H184" s="415"/>
      <c r="I184" s="428" t="str">
        <f ca="1">IFERROR(VLOOKUP(REPLACE($C184,1,1,),Database!$CZ$4:$DB$203,3,0),"")</f>
        <v/>
      </c>
    </row>
    <row r="185" spans="3:9" x14ac:dyDescent="0.25">
      <c r="C185" s="399" t="str">
        <f ca="1">IF(D185="","",'TNX RTF Parse'!$BB170)</f>
        <v/>
      </c>
      <c r="D185" s="399" t="str">
        <f ca="1">IF('TNX File Parse'!S170&lt;&gt;"",'TNX File Parse'!S170,"")</f>
        <v/>
      </c>
      <c r="E185" s="399" t="str">
        <f ca="1">IF('TNX File Parse'!T170&lt;&gt;"",'TNX File Parse'!T170,"")</f>
        <v/>
      </c>
      <c r="F185" s="399" t="str">
        <f ca="1">IFERROR(IF(VLOOKUP(TEXT(C185,0),'TNX RTF Parse'!$BB$1:$BE$201,3,0)="","",VLOOKUP(TEXT(C185,0),'TNX RTF Parse'!$BB$1:$BE$201,3,0)),"")</f>
        <v/>
      </c>
      <c r="G185" s="399" t="str">
        <f ca="1">IFERROR(IF(VLOOKUP(TEXT(C185,0),'TNX RTF Parse'!$BB$1:$BE$201,4,0)="","",VLOOKUP(TEXT(C185,0),'TNX RTF Parse'!$BB$1:$BE$201,4,0)),"")</f>
        <v/>
      </c>
      <c r="H185" s="415"/>
      <c r="I185" s="428" t="str">
        <f ca="1">IFERROR(VLOOKUP(REPLACE($C185,1,1,),Database!$CZ$4:$DB$203,3,0),"")</f>
        <v/>
      </c>
    </row>
    <row r="186" spans="3:9" x14ac:dyDescent="0.25">
      <c r="C186" s="399" t="str">
        <f ca="1">IF(D186="","",'TNX RTF Parse'!$BB171)</f>
        <v/>
      </c>
      <c r="D186" s="399" t="str">
        <f ca="1">IF('TNX File Parse'!S171&lt;&gt;"",'TNX File Parse'!S171,"")</f>
        <v/>
      </c>
      <c r="E186" s="399" t="str">
        <f ca="1">IF('TNX File Parse'!T171&lt;&gt;"",'TNX File Parse'!T171,"")</f>
        <v/>
      </c>
      <c r="F186" s="399" t="str">
        <f ca="1">IFERROR(IF(VLOOKUP(TEXT(C186,0),'TNX RTF Parse'!$BB$1:$BE$201,3,0)="","",VLOOKUP(TEXT(C186,0),'TNX RTF Parse'!$BB$1:$BE$201,3,0)),"")</f>
        <v/>
      </c>
      <c r="G186" s="399" t="str">
        <f ca="1">IFERROR(IF(VLOOKUP(TEXT(C186,0),'TNX RTF Parse'!$BB$1:$BE$201,4,0)="","",VLOOKUP(TEXT(C186,0),'TNX RTF Parse'!$BB$1:$BE$201,4,0)),"")</f>
        <v/>
      </c>
      <c r="H186" s="415"/>
      <c r="I186" s="428" t="str">
        <f ca="1">IFERROR(VLOOKUP(REPLACE($C186,1,1,),Database!$CZ$4:$DB$203,3,0),"")</f>
        <v/>
      </c>
    </row>
    <row r="187" spans="3:9" x14ac:dyDescent="0.25">
      <c r="C187" s="399" t="str">
        <f ca="1">IF(D187="","",'TNX RTF Parse'!$BB172)</f>
        <v/>
      </c>
      <c r="D187" s="399" t="str">
        <f ca="1">IF('TNX File Parse'!S172&lt;&gt;"",'TNX File Parse'!S172,"")</f>
        <v/>
      </c>
      <c r="E187" s="399" t="str">
        <f ca="1">IF('TNX File Parse'!T172&lt;&gt;"",'TNX File Parse'!T172,"")</f>
        <v/>
      </c>
      <c r="F187" s="399" t="str">
        <f ca="1">IFERROR(IF(VLOOKUP(TEXT(C187,0),'TNX RTF Parse'!$BB$1:$BE$201,3,0)="","",VLOOKUP(TEXT(C187,0),'TNX RTF Parse'!$BB$1:$BE$201,3,0)),"")</f>
        <v/>
      </c>
      <c r="G187" s="399" t="str">
        <f ca="1">IFERROR(IF(VLOOKUP(TEXT(C187,0),'TNX RTF Parse'!$BB$1:$BE$201,4,0)="","",VLOOKUP(TEXT(C187,0),'TNX RTF Parse'!$BB$1:$BE$201,4,0)),"")</f>
        <v/>
      </c>
      <c r="H187" s="415"/>
      <c r="I187" s="428" t="str">
        <f ca="1">IFERROR(VLOOKUP(REPLACE($C187,1,1,),Database!$CZ$4:$DB$203,3,0),"")</f>
        <v/>
      </c>
    </row>
    <row r="188" spans="3:9" x14ac:dyDescent="0.25">
      <c r="C188" s="399" t="str">
        <f ca="1">IF(D188="","",'TNX RTF Parse'!$BB173)</f>
        <v/>
      </c>
      <c r="D188" s="399" t="str">
        <f ca="1">IF('TNX File Parse'!S173&lt;&gt;"",'TNX File Parse'!S173,"")</f>
        <v/>
      </c>
      <c r="E188" s="399" t="str">
        <f ca="1">IF('TNX File Parse'!T173&lt;&gt;"",'TNX File Parse'!T173,"")</f>
        <v/>
      </c>
      <c r="F188" s="399" t="str">
        <f ca="1">IFERROR(IF(VLOOKUP(TEXT(C188,0),'TNX RTF Parse'!$BB$1:$BE$201,3,0)="","",VLOOKUP(TEXT(C188,0),'TNX RTF Parse'!$BB$1:$BE$201,3,0)),"")</f>
        <v/>
      </c>
      <c r="G188" s="399" t="str">
        <f ca="1">IFERROR(IF(VLOOKUP(TEXT(C188,0),'TNX RTF Parse'!$BB$1:$BE$201,4,0)="","",VLOOKUP(TEXT(C188,0),'TNX RTF Parse'!$BB$1:$BE$201,4,0)),"")</f>
        <v/>
      </c>
      <c r="H188" s="415"/>
      <c r="I188" s="428" t="str">
        <f ca="1">IFERROR(VLOOKUP(REPLACE($C188,1,1,),Database!$CZ$4:$DB$203,3,0),"")</f>
        <v/>
      </c>
    </row>
    <row r="189" spans="3:9" x14ac:dyDescent="0.25">
      <c r="C189" s="399" t="str">
        <f ca="1">IF(D189="","",'TNX RTF Parse'!$BB174)</f>
        <v/>
      </c>
      <c r="D189" s="399" t="str">
        <f ca="1">IF('TNX File Parse'!S174&lt;&gt;"",'TNX File Parse'!S174,"")</f>
        <v/>
      </c>
      <c r="E189" s="399" t="str">
        <f ca="1">IF('TNX File Parse'!T174&lt;&gt;"",'TNX File Parse'!T174,"")</f>
        <v/>
      </c>
      <c r="F189" s="399" t="str">
        <f ca="1">IFERROR(IF(VLOOKUP(TEXT(C189,0),'TNX RTF Parse'!$BB$1:$BE$201,3,0)="","",VLOOKUP(TEXT(C189,0),'TNX RTF Parse'!$BB$1:$BE$201,3,0)),"")</f>
        <v/>
      </c>
      <c r="G189" s="399" t="str">
        <f ca="1">IFERROR(IF(VLOOKUP(TEXT(C189,0),'TNX RTF Parse'!$BB$1:$BE$201,4,0)="","",VLOOKUP(TEXT(C189,0),'TNX RTF Parse'!$BB$1:$BE$201,4,0)),"")</f>
        <v/>
      </c>
      <c r="H189" s="415"/>
      <c r="I189" s="428" t="str">
        <f ca="1">IFERROR(VLOOKUP(REPLACE($C189,1,1,),Database!$CZ$4:$DB$203,3,0),"")</f>
        <v/>
      </c>
    </row>
    <row r="190" spans="3:9" x14ac:dyDescent="0.25">
      <c r="C190" s="399" t="str">
        <f ca="1">IF(D190="","",'TNX RTF Parse'!$BB175)</f>
        <v/>
      </c>
      <c r="D190" s="399" t="str">
        <f ca="1">IF('TNX File Parse'!S175&lt;&gt;"",'TNX File Parse'!S175,"")</f>
        <v/>
      </c>
      <c r="E190" s="399" t="str">
        <f ca="1">IF('TNX File Parse'!T175&lt;&gt;"",'TNX File Parse'!T175,"")</f>
        <v/>
      </c>
      <c r="F190" s="399" t="str">
        <f ca="1">IFERROR(IF(VLOOKUP(TEXT(C190,0),'TNX RTF Parse'!$BB$1:$BE$201,3,0)="","",VLOOKUP(TEXT(C190,0),'TNX RTF Parse'!$BB$1:$BE$201,3,0)),"")</f>
        <v/>
      </c>
      <c r="G190" s="399" t="str">
        <f ca="1">IFERROR(IF(VLOOKUP(TEXT(C190,0),'TNX RTF Parse'!$BB$1:$BE$201,4,0)="","",VLOOKUP(TEXT(C190,0),'TNX RTF Parse'!$BB$1:$BE$201,4,0)),"")</f>
        <v/>
      </c>
      <c r="H190" s="415"/>
      <c r="I190" s="428" t="str">
        <f ca="1">IFERROR(VLOOKUP(REPLACE($C190,1,1,),Database!$CZ$4:$DB$203,3,0),"")</f>
        <v/>
      </c>
    </row>
    <row r="191" spans="3:9" x14ac:dyDescent="0.25">
      <c r="C191" s="399" t="str">
        <f ca="1">IF(D191="","",'TNX RTF Parse'!$BB176)</f>
        <v/>
      </c>
      <c r="D191" s="399" t="str">
        <f ca="1">IF('TNX File Parse'!S176&lt;&gt;"",'TNX File Parse'!S176,"")</f>
        <v/>
      </c>
      <c r="E191" s="399" t="str">
        <f ca="1">IF('TNX File Parse'!T176&lt;&gt;"",'TNX File Parse'!T176,"")</f>
        <v/>
      </c>
      <c r="F191" s="399" t="str">
        <f ca="1">IFERROR(IF(VLOOKUP(TEXT(C191,0),'TNX RTF Parse'!$BB$1:$BE$201,3,0)="","",VLOOKUP(TEXT(C191,0),'TNX RTF Parse'!$BB$1:$BE$201,3,0)),"")</f>
        <v/>
      </c>
      <c r="G191" s="399" t="str">
        <f ca="1">IFERROR(IF(VLOOKUP(TEXT(C191,0),'TNX RTF Parse'!$BB$1:$BE$201,4,0)="","",VLOOKUP(TEXT(C191,0),'TNX RTF Parse'!$BB$1:$BE$201,4,0)),"")</f>
        <v/>
      </c>
      <c r="H191" s="415"/>
      <c r="I191" s="428" t="str">
        <f ca="1">IFERROR(VLOOKUP(REPLACE($C191,1,1,),Database!$CZ$4:$DB$203,3,0),"")</f>
        <v/>
      </c>
    </row>
    <row r="192" spans="3:9" x14ac:dyDescent="0.25">
      <c r="C192" s="399" t="str">
        <f ca="1">IF(D192="","",'TNX RTF Parse'!$BB177)</f>
        <v/>
      </c>
      <c r="D192" s="399" t="str">
        <f ca="1">IF('TNX File Parse'!S177&lt;&gt;"",'TNX File Parse'!S177,"")</f>
        <v/>
      </c>
      <c r="E192" s="399" t="str">
        <f ca="1">IF('TNX File Parse'!T177&lt;&gt;"",'TNX File Parse'!T177,"")</f>
        <v/>
      </c>
      <c r="F192" s="399" t="str">
        <f ca="1">IFERROR(IF(VLOOKUP(TEXT(C192,0),'TNX RTF Parse'!$BB$1:$BE$201,3,0)="","",VLOOKUP(TEXT(C192,0),'TNX RTF Parse'!$BB$1:$BE$201,3,0)),"")</f>
        <v/>
      </c>
      <c r="G192" s="399" t="str">
        <f ca="1">IFERROR(IF(VLOOKUP(TEXT(C192,0),'TNX RTF Parse'!$BB$1:$BE$201,4,0)="","",VLOOKUP(TEXT(C192,0),'TNX RTF Parse'!$BB$1:$BE$201,4,0)),"")</f>
        <v/>
      </c>
      <c r="H192" s="415"/>
      <c r="I192" s="428" t="str">
        <f ca="1">IFERROR(VLOOKUP(REPLACE($C192,1,1,),Database!$CZ$4:$DB$203,3,0),"")</f>
        <v/>
      </c>
    </row>
    <row r="193" spans="3:9" x14ac:dyDescent="0.25">
      <c r="C193" s="399" t="str">
        <f ca="1">IF(D193="","",'TNX RTF Parse'!$BB178)</f>
        <v/>
      </c>
      <c r="D193" s="399" t="str">
        <f ca="1">IF('TNX File Parse'!S178&lt;&gt;"",'TNX File Parse'!S178,"")</f>
        <v/>
      </c>
      <c r="E193" s="399" t="str">
        <f ca="1">IF('TNX File Parse'!T178&lt;&gt;"",'TNX File Parse'!T178,"")</f>
        <v/>
      </c>
      <c r="F193" s="399" t="str">
        <f ca="1">IFERROR(IF(VLOOKUP(TEXT(C193,0),'TNX RTF Parse'!$BB$1:$BE$201,3,0)="","",VLOOKUP(TEXT(C193,0),'TNX RTF Parse'!$BB$1:$BE$201,3,0)),"")</f>
        <v/>
      </c>
      <c r="G193" s="399" t="str">
        <f ca="1">IFERROR(IF(VLOOKUP(TEXT(C193,0),'TNX RTF Parse'!$BB$1:$BE$201,4,0)="","",VLOOKUP(TEXT(C193,0),'TNX RTF Parse'!$BB$1:$BE$201,4,0)),"")</f>
        <v/>
      </c>
      <c r="H193" s="415"/>
      <c r="I193" s="428" t="str">
        <f ca="1">IFERROR(VLOOKUP(REPLACE($C193,1,1,),Database!$CZ$4:$DB$203,3,0),"")</f>
        <v/>
      </c>
    </row>
    <row r="194" spans="3:9" x14ac:dyDescent="0.25">
      <c r="C194" s="399" t="str">
        <f ca="1">IF(D194="","",'TNX RTF Parse'!$BB179)</f>
        <v/>
      </c>
      <c r="D194" s="399" t="str">
        <f ca="1">IF('TNX File Parse'!S179&lt;&gt;"",'TNX File Parse'!S179,"")</f>
        <v/>
      </c>
      <c r="E194" s="399" t="str">
        <f ca="1">IF('TNX File Parse'!T179&lt;&gt;"",'TNX File Parse'!T179,"")</f>
        <v/>
      </c>
      <c r="F194" s="399" t="str">
        <f ca="1">IFERROR(IF(VLOOKUP(TEXT(C194,0),'TNX RTF Parse'!$BB$1:$BE$201,3,0)="","",VLOOKUP(TEXT(C194,0),'TNX RTF Parse'!$BB$1:$BE$201,3,0)),"")</f>
        <v/>
      </c>
      <c r="G194" s="399" t="str">
        <f ca="1">IFERROR(IF(VLOOKUP(TEXT(C194,0),'TNX RTF Parse'!$BB$1:$BE$201,4,0)="","",VLOOKUP(TEXT(C194,0),'TNX RTF Parse'!$BB$1:$BE$201,4,0)),"")</f>
        <v/>
      </c>
      <c r="H194" s="415"/>
      <c r="I194" s="428" t="str">
        <f ca="1">IFERROR(VLOOKUP(REPLACE($C194,1,1,),Database!$CZ$4:$DB$203,3,0),"")</f>
        <v/>
      </c>
    </row>
    <row r="195" spans="3:9" x14ac:dyDescent="0.25">
      <c r="C195" s="399" t="str">
        <f ca="1">IF(D195="","",'TNX RTF Parse'!$BB180)</f>
        <v/>
      </c>
      <c r="D195" s="399" t="str">
        <f ca="1">IF('TNX File Parse'!S180&lt;&gt;"",'TNX File Parse'!S180,"")</f>
        <v/>
      </c>
      <c r="E195" s="399" t="str">
        <f ca="1">IF('TNX File Parse'!T180&lt;&gt;"",'TNX File Parse'!T180,"")</f>
        <v/>
      </c>
      <c r="F195" s="399" t="str">
        <f ca="1">IFERROR(IF(VLOOKUP(TEXT(C195,0),'TNX RTF Parse'!$BB$1:$BE$201,3,0)="","",VLOOKUP(TEXT(C195,0),'TNX RTF Parse'!$BB$1:$BE$201,3,0)),"")</f>
        <v/>
      </c>
      <c r="G195" s="399" t="str">
        <f ca="1">IFERROR(IF(VLOOKUP(TEXT(C195,0),'TNX RTF Parse'!$BB$1:$BE$201,4,0)="","",VLOOKUP(TEXT(C195,0),'TNX RTF Parse'!$BB$1:$BE$201,4,0)),"")</f>
        <v/>
      </c>
      <c r="H195" s="415"/>
      <c r="I195" s="428" t="str">
        <f ca="1">IFERROR(VLOOKUP(REPLACE($C195,1,1,),Database!$CZ$4:$DB$203,3,0),"")</f>
        <v/>
      </c>
    </row>
    <row r="196" spans="3:9" x14ac:dyDescent="0.25">
      <c r="C196" s="399" t="str">
        <f ca="1">IF(D196="","",'TNX RTF Parse'!$BB181)</f>
        <v/>
      </c>
      <c r="D196" s="399" t="str">
        <f ca="1">IF('TNX File Parse'!S181&lt;&gt;"",'TNX File Parse'!S181,"")</f>
        <v/>
      </c>
      <c r="E196" s="399" t="str">
        <f ca="1">IF('TNX File Parse'!T181&lt;&gt;"",'TNX File Parse'!T181,"")</f>
        <v/>
      </c>
      <c r="F196" s="399" t="str">
        <f ca="1">IFERROR(IF(VLOOKUP(TEXT(C196,0),'TNX RTF Parse'!$BB$1:$BE$201,3,0)="","",VLOOKUP(TEXT(C196,0),'TNX RTF Parse'!$BB$1:$BE$201,3,0)),"")</f>
        <v/>
      </c>
      <c r="G196" s="399" t="str">
        <f ca="1">IFERROR(IF(VLOOKUP(TEXT(C196,0),'TNX RTF Parse'!$BB$1:$BE$201,4,0)="","",VLOOKUP(TEXT(C196,0),'TNX RTF Parse'!$BB$1:$BE$201,4,0)),"")</f>
        <v/>
      </c>
      <c r="H196" s="415"/>
      <c r="I196" s="428" t="str">
        <f ca="1">IFERROR(VLOOKUP(REPLACE($C196,1,1,),Database!$CZ$4:$DB$203,3,0),"")</f>
        <v/>
      </c>
    </row>
    <row r="197" spans="3:9" x14ac:dyDescent="0.25">
      <c r="C197" s="399" t="str">
        <f ca="1">IF(D197="","",'TNX RTF Parse'!$BB182)</f>
        <v/>
      </c>
      <c r="D197" s="399" t="str">
        <f ca="1">IF('TNX File Parse'!S182&lt;&gt;"",'TNX File Parse'!S182,"")</f>
        <v/>
      </c>
      <c r="E197" s="399" t="str">
        <f ca="1">IF('TNX File Parse'!T182&lt;&gt;"",'TNX File Parse'!T182,"")</f>
        <v/>
      </c>
      <c r="F197" s="399" t="str">
        <f ca="1">IFERROR(IF(VLOOKUP(TEXT(C197,0),'TNX RTF Parse'!$BB$1:$BE$201,3,0)="","",VLOOKUP(TEXT(C197,0),'TNX RTF Parse'!$BB$1:$BE$201,3,0)),"")</f>
        <v/>
      </c>
      <c r="G197" s="399" t="str">
        <f ca="1">IFERROR(IF(VLOOKUP(TEXT(C197,0),'TNX RTF Parse'!$BB$1:$BE$201,4,0)="","",VLOOKUP(TEXT(C197,0),'TNX RTF Parse'!$BB$1:$BE$201,4,0)),"")</f>
        <v/>
      </c>
      <c r="H197" s="415"/>
      <c r="I197" s="428" t="str">
        <f ca="1">IFERROR(VLOOKUP(REPLACE($C197,1,1,),Database!$CZ$4:$DB$203,3,0),"")</f>
        <v/>
      </c>
    </row>
    <row r="198" spans="3:9" x14ac:dyDescent="0.25">
      <c r="C198" s="399" t="str">
        <f ca="1">IF(D198="","",'TNX RTF Parse'!$BB183)</f>
        <v/>
      </c>
      <c r="D198" s="399" t="str">
        <f ca="1">IF('TNX File Parse'!S183&lt;&gt;"",'TNX File Parse'!S183,"")</f>
        <v/>
      </c>
      <c r="E198" s="399" t="str">
        <f ca="1">IF('TNX File Parse'!T183&lt;&gt;"",'TNX File Parse'!T183,"")</f>
        <v/>
      </c>
      <c r="F198" s="399" t="str">
        <f ca="1">IFERROR(IF(VLOOKUP(TEXT(C198,0),'TNX RTF Parse'!$BB$1:$BE$201,3,0)="","",VLOOKUP(TEXT(C198,0),'TNX RTF Parse'!$BB$1:$BE$201,3,0)),"")</f>
        <v/>
      </c>
      <c r="G198" s="399" t="str">
        <f ca="1">IFERROR(IF(VLOOKUP(TEXT(C198,0),'TNX RTF Parse'!$BB$1:$BE$201,4,0)="","",VLOOKUP(TEXT(C198,0),'TNX RTF Parse'!$BB$1:$BE$201,4,0)),"")</f>
        <v/>
      </c>
      <c r="H198" s="415"/>
      <c r="I198" s="428" t="str">
        <f ca="1">IFERROR(VLOOKUP(REPLACE($C198,1,1,),Database!$CZ$4:$DB$203,3,0),"")</f>
        <v/>
      </c>
    </row>
    <row r="199" spans="3:9" x14ac:dyDescent="0.25">
      <c r="C199" s="399" t="str">
        <f ca="1">IF(D199="","",'TNX RTF Parse'!$BB184)</f>
        <v/>
      </c>
      <c r="D199" s="399" t="str">
        <f ca="1">IF('TNX File Parse'!S184&lt;&gt;"",'TNX File Parse'!S184,"")</f>
        <v/>
      </c>
      <c r="E199" s="399" t="str">
        <f ca="1">IF('TNX File Parse'!T184&lt;&gt;"",'TNX File Parse'!T184,"")</f>
        <v/>
      </c>
      <c r="F199" s="399" t="str">
        <f ca="1">IFERROR(IF(VLOOKUP(TEXT(C199,0),'TNX RTF Parse'!$BB$1:$BE$201,3,0)="","",VLOOKUP(TEXT(C199,0),'TNX RTF Parse'!$BB$1:$BE$201,3,0)),"")</f>
        <v/>
      </c>
      <c r="G199" s="399" t="str">
        <f ca="1">IFERROR(IF(VLOOKUP(TEXT(C199,0),'TNX RTF Parse'!$BB$1:$BE$201,4,0)="","",VLOOKUP(TEXT(C199,0),'TNX RTF Parse'!$BB$1:$BE$201,4,0)),"")</f>
        <v/>
      </c>
      <c r="H199" s="415"/>
      <c r="I199" s="428" t="str">
        <f ca="1">IFERROR(VLOOKUP(REPLACE($C199,1,1,),Database!$CZ$4:$DB$203,3,0),"")</f>
        <v/>
      </c>
    </row>
    <row r="200" spans="3:9" x14ac:dyDescent="0.25">
      <c r="C200" s="399" t="str">
        <f ca="1">IF(D200="","",'TNX RTF Parse'!$BB185)</f>
        <v/>
      </c>
      <c r="D200" s="399" t="str">
        <f ca="1">IF('TNX File Parse'!S185&lt;&gt;"",'TNX File Parse'!S185,"")</f>
        <v/>
      </c>
      <c r="E200" s="399" t="str">
        <f ca="1">IF('TNX File Parse'!T185&lt;&gt;"",'TNX File Parse'!T185,"")</f>
        <v/>
      </c>
      <c r="F200" s="399" t="str">
        <f ca="1">IFERROR(IF(VLOOKUP(TEXT(C200,0),'TNX RTF Parse'!$BB$1:$BE$201,3,0)="","",VLOOKUP(TEXT(C200,0),'TNX RTF Parse'!$BB$1:$BE$201,3,0)),"")</f>
        <v/>
      </c>
      <c r="G200" s="399" t="str">
        <f ca="1">IFERROR(IF(VLOOKUP(TEXT(C200,0),'TNX RTF Parse'!$BB$1:$BE$201,4,0)="","",VLOOKUP(TEXT(C200,0),'TNX RTF Parse'!$BB$1:$BE$201,4,0)),"")</f>
        <v/>
      </c>
      <c r="H200" s="415"/>
      <c r="I200" s="428" t="str">
        <f ca="1">IFERROR(VLOOKUP(REPLACE($C200,1,1,),Database!$CZ$4:$DB$203,3,0),"")</f>
        <v/>
      </c>
    </row>
    <row r="201" spans="3:9" x14ac:dyDescent="0.25">
      <c r="C201" s="399" t="str">
        <f ca="1">IF(D201="","",'TNX RTF Parse'!$BB186)</f>
        <v/>
      </c>
      <c r="D201" s="399" t="str">
        <f ca="1">IF('TNX File Parse'!S186&lt;&gt;"",'TNX File Parse'!S186,"")</f>
        <v/>
      </c>
      <c r="E201" s="399" t="str">
        <f ca="1">IF('TNX File Parse'!T186&lt;&gt;"",'TNX File Parse'!T186,"")</f>
        <v/>
      </c>
      <c r="F201" s="399" t="str">
        <f ca="1">IFERROR(IF(VLOOKUP(TEXT(C201,0),'TNX RTF Parse'!$BB$1:$BE$201,3,0)="","",VLOOKUP(TEXT(C201,0),'TNX RTF Parse'!$BB$1:$BE$201,3,0)),"")</f>
        <v/>
      </c>
      <c r="G201" s="399" t="str">
        <f ca="1">IFERROR(IF(VLOOKUP(TEXT(C201,0),'TNX RTF Parse'!$BB$1:$BE$201,4,0)="","",VLOOKUP(TEXT(C201,0),'TNX RTF Parse'!$BB$1:$BE$201,4,0)),"")</f>
        <v/>
      </c>
      <c r="H201" s="415"/>
      <c r="I201" s="428" t="str">
        <f ca="1">IFERROR(VLOOKUP(REPLACE($C201,1,1,),Database!$CZ$4:$DB$203,3,0),"")</f>
        <v/>
      </c>
    </row>
    <row r="202" spans="3:9" x14ac:dyDescent="0.25">
      <c r="C202" s="399" t="str">
        <f ca="1">IF(D202="","",'TNX RTF Parse'!$BB187)</f>
        <v/>
      </c>
      <c r="D202" s="399" t="str">
        <f ca="1">IF('TNX File Parse'!S187&lt;&gt;"",'TNX File Parse'!S187,"")</f>
        <v/>
      </c>
      <c r="E202" s="399" t="str">
        <f ca="1">IF('TNX File Parse'!T187&lt;&gt;"",'TNX File Parse'!T187,"")</f>
        <v/>
      </c>
      <c r="F202" s="399" t="str">
        <f ca="1">IFERROR(IF(VLOOKUP(TEXT(C202,0),'TNX RTF Parse'!$BB$1:$BE$201,3,0)="","",VLOOKUP(TEXT(C202,0),'TNX RTF Parse'!$BB$1:$BE$201,3,0)),"")</f>
        <v/>
      </c>
      <c r="G202" s="399" t="str">
        <f ca="1">IFERROR(IF(VLOOKUP(TEXT(C202,0),'TNX RTF Parse'!$BB$1:$BE$201,4,0)="","",VLOOKUP(TEXT(C202,0),'TNX RTF Parse'!$BB$1:$BE$201,4,0)),"")</f>
        <v/>
      </c>
      <c r="H202" s="415"/>
      <c r="I202" s="428" t="str">
        <f ca="1">IFERROR(VLOOKUP(REPLACE($C202,1,1,),Database!$CZ$4:$DB$203,3,0),"")</f>
        <v/>
      </c>
    </row>
    <row r="203" spans="3:9" x14ac:dyDescent="0.25">
      <c r="C203" s="399" t="str">
        <f ca="1">IF(D203="","",'TNX RTF Parse'!$BB188)</f>
        <v/>
      </c>
      <c r="D203" s="399" t="str">
        <f ca="1">IF('TNX File Parse'!S188&lt;&gt;"",'TNX File Parse'!S188,"")</f>
        <v/>
      </c>
      <c r="E203" s="399" t="str">
        <f ca="1">IF('TNX File Parse'!T188&lt;&gt;"",'TNX File Parse'!T188,"")</f>
        <v/>
      </c>
      <c r="F203" s="399" t="str">
        <f ca="1">IFERROR(IF(VLOOKUP(TEXT(C203,0),'TNX RTF Parse'!$BB$1:$BE$201,3,0)="","",VLOOKUP(TEXT(C203,0),'TNX RTF Parse'!$BB$1:$BE$201,3,0)),"")</f>
        <v/>
      </c>
      <c r="G203" s="399" t="str">
        <f ca="1">IFERROR(IF(VLOOKUP(TEXT(C203,0),'TNX RTF Parse'!$BB$1:$BE$201,4,0)="","",VLOOKUP(TEXT(C203,0),'TNX RTF Parse'!$BB$1:$BE$201,4,0)),"")</f>
        <v/>
      </c>
      <c r="H203" s="415"/>
      <c r="I203" s="428" t="str">
        <f ca="1">IFERROR(VLOOKUP(REPLACE($C203,1,1,),Database!$CZ$4:$DB$203,3,0),"")</f>
        <v/>
      </c>
    </row>
    <row r="204" spans="3:9" x14ac:dyDescent="0.25">
      <c r="C204" s="399" t="str">
        <f ca="1">IF(D204="","",'TNX RTF Parse'!$BB189)</f>
        <v/>
      </c>
      <c r="D204" s="399" t="str">
        <f ca="1">IF('TNX File Parse'!S189&lt;&gt;"",'TNX File Parse'!S189,"")</f>
        <v/>
      </c>
      <c r="E204" s="399" t="str">
        <f ca="1">IF('TNX File Parse'!T189&lt;&gt;"",'TNX File Parse'!T189,"")</f>
        <v/>
      </c>
      <c r="F204" s="399" t="str">
        <f ca="1">IFERROR(IF(VLOOKUP(TEXT(C204,0),'TNX RTF Parse'!$BB$1:$BE$201,3,0)="","",VLOOKUP(TEXT(C204,0),'TNX RTF Parse'!$BB$1:$BE$201,3,0)),"")</f>
        <v/>
      </c>
      <c r="G204" s="399" t="str">
        <f ca="1">IFERROR(IF(VLOOKUP(TEXT(C204,0),'TNX RTF Parse'!$BB$1:$BE$201,4,0)="","",VLOOKUP(TEXT(C204,0),'TNX RTF Parse'!$BB$1:$BE$201,4,0)),"")</f>
        <v/>
      </c>
      <c r="H204" s="415"/>
      <c r="I204" s="428" t="str">
        <f ca="1">IFERROR(VLOOKUP(REPLACE($C204,1,1,),Database!$CZ$4:$DB$203,3,0),"")</f>
        <v/>
      </c>
    </row>
    <row r="205" spans="3:9" x14ac:dyDescent="0.25">
      <c r="C205" s="399" t="str">
        <f ca="1">IF(D205="","",'TNX RTF Parse'!$BB190)</f>
        <v/>
      </c>
      <c r="D205" s="399" t="str">
        <f ca="1">IF('TNX File Parse'!S190&lt;&gt;"",'TNX File Parse'!S190,"")</f>
        <v/>
      </c>
      <c r="E205" s="399" t="str">
        <f ca="1">IF('TNX File Parse'!T190&lt;&gt;"",'TNX File Parse'!T190,"")</f>
        <v/>
      </c>
      <c r="F205" s="399" t="str">
        <f ca="1">IFERROR(IF(VLOOKUP(TEXT(C205,0),'TNX RTF Parse'!$BB$1:$BE$201,3,0)="","",VLOOKUP(TEXT(C205,0),'TNX RTF Parse'!$BB$1:$BE$201,3,0)),"")</f>
        <v/>
      </c>
      <c r="G205" s="399" t="str">
        <f ca="1">IFERROR(IF(VLOOKUP(TEXT(C205,0),'TNX RTF Parse'!$BB$1:$BE$201,4,0)="","",VLOOKUP(TEXT(C205,0),'TNX RTF Parse'!$BB$1:$BE$201,4,0)),"")</f>
        <v/>
      </c>
      <c r="H205" s="415"/>
      <c r="I205" s="428" t="str">
        <f ca="1">IFERROR(VLOOKUP(REPLACE($C205,1,1,),Database!$CZ$4:$DB$203,3,0),"")</f>
        <v/>
      </c>
    </row>
    <row r="206" spans="3:9" x14ac:dyDescent="0.25">
      <c r="C206" s="399" t="str">
        <f ca="1">IF(D206="","",'TNX RTF Parse'!$BB191)</f>
        <v/>
      </c>
      <c r="D206" s="399" t="str">
        <f ca="1">IF('TNX File Parse'!S191&lt;&gt;"",'TNX File Parse'!S191,"")</f>
        <v/>
      </c>
      <c r="E206" s="399" t="str">
        <f ca="1">IF('TNX File Parse'!T191&lt;&gt;"",'TNX File Parse'!T191,"")</f>
        <v/>
      </c>
      <c r="F206" s="399" t="str">
        <f ca="1">IFERROR(IF(VLOOKUP(TEXT(C206,0),'TNX RTF Parse'!$BB$1:$BE$201,3,0)="","",VLOOKUP(TEXT(C206,0),'TNX RTF Parse'!$BB$1:$BE$201,3,0)),"")</f>
        <v/>
      </c>
      <c r="G206" s="399" t="str">
        <f ca="1">IFERROR(IF(VLOOKUP(TEXT(C206,0),'TNX RTF Parse'!$BB$1:$BE$201,4,0)="","",VLOOKUP(TEXT(C206,0),'TNX RTF Parse'!$BB$1:$BE$201,4,0)),"")</f>
        <v/>
      </c>
      <c r="H206" s="415"/>
      <c r="I206" s="428" t="str">
        <f ca="1">IFERROR(VLOOKUP(REPLACE($C206,1,1,),Database!$CZ$4:$DB$203,3,0),"")</f>
        <v/>
      </c>
    </row>
    <row r="207" spans="3:9" x14ac:dyDescent="0.25">
      <c r="C207" s="399" t="str">
        <f ca="1">IF(D207="","",'TNX RTF Parse'!$BB192)</f>
        <v/>
      </c>
      <c r="D207" s="399" t="str">
        <f ca="1">IF('TNX File Parse'!S192&lt;&gt;"",'TNX File Parse'!S192,"")</f>
        <v/>
      </c>
      <c r="E207" s="399" t="str">
        <f ca="1">IF('TNX File Parse'!T192&lt;&gt;"",'TNX File Parse'!T192,"")</f>
        <v/>
      </c>
      <c r="F207" s="399" t="str">
        <f ca="1">IFERROR(IF(VLOOKUP(TEXT(C207,0),'TNX RTF Parse'!$BB$1:$BE$201,3,0)="","",VLOOKUP(TEXT(C207,0),'TNX RTF Parse'!$BB$1:$BE$201,3,0)),"")</f>
        <v/>
      </c>
      <c r="G207" s="399" t="str">
        <f ca="1">IFERROR(IF(VLOOKUP(TEXT(C207,0),'TNX RTF Parse'!$BB$1:$BE$201,4,0)="","",VLOOKUP(TEXT(C207,0),'TNX RTF Parse'!$BB$1:$BE$201,4,0)),"")</f>
        <v/>
      </c>
      <c r="H207" s="415"/>
      <c r="I207" s="428" t="str">
        <f ca="1">IFERROR(VLOOKUP(REPLACE($C207,1,1,),Database!$CZ$4:$DB$203,3,0),"")</f>
        <v/>
      </c>
    </row>
    <row r="208" spans="3:9" x14ac:dyDescent="0.25">
      <c r="C208" s="399" t="str">
        <f ca="1">IF(D208="","",'TNX RTF Parse'!$BB193)</f>
        <v/>
      </c>
      <c r="D208" s="399" t="str">
        <f ca="1">IF('TNX File Parse'!S193&lt;&gt;"",'TNX File Parse'!S193,"")</f>
        <v/>
      </c>
      <c r="E208" s="399" t="str">
        <f ca="1">IF('TNX File Parse'!T193&lt;&gt;"",'TNX File Parse'!T193,"")</f>
        <v/>
      </c>
      <c r="F208" s="399" t="str">
        <f ca="1">IFERROR(IF(VLOOKUP(TEXT(C208,0),'TNX RTF Parse'!$BB$1:$BE$201,3,0)="","",VLOOKUP(TEXT(C208,0),'TNX RTF Parse'!$BB$1:$BE$201,3,0)),"")</f>
        <v/>
      </c>
      <c r="G208" s="399" t="str">
        <f ca="1">IFERROR(IF(VLOOKUP(TEXT(C208,0),'TNX RTF Parse'!$BB$1:$BE$201,4,0)="","",VLOOKUP(TEXT(C208,0),'TNX RTF Parse'!$BB$1:$BE$201,4,0)),"")</f>
        <v/>
      </c>
      <c r="H208" s="415"/>
      <c r="I208" s="428" t="str">
        <f ca="1">IFERROR(VLOOKUP(REPLACE($C208,1,1,),Database!$CZ$4:$DB$203,3,0),"")</f>
        <v/>
      </c>
    </row>
    <row r="209" spans="2:9" x14ac:dyDescent="0.25">
      <c r="C209" s="399" t="str">
        <f ca="1">IF(D209="","",'TNX RTF Parse'!$BB194)</f>
        <v/>
      </c>
      <c r="D209" s="399" t="str">
        <f ca="1">IF('TNX File Parse'!S194&lt;&gt;"",'TNX File Parse'!S194,"")</f>
        <v/>
      </c>
      <c r="E209" s="399" t="str">
        <f ca="1">IF('TNX File Parse'!T194&lt;&gt;"",'TNX File Parse'!T194,"")</f>
        <v/>
      </c>
      <c r="F209" s="399" t="str">
        <f ca="1">IFERROR(IF(VLOOKUP(TEXT(C209,0),'TNX RTF Parse'!$BB$1:$BE$201,3,0)="","",VLOOKUP(TEXT(C209,0),'TNX RTF Parse'!$BB$1:$BE$201,3,0)),"")</f>
        <v/>
      </c>
      <c r="G209" s="399" t="str">
        <f ca="1">IFERROR(IF(VLOOKUP(TEXT(C209,0),'TNX RTF Parse'!$BB$1:$BE$201,4,0)="","",VLOOKUP(TEXT(C209,0),'TNX RTF Parse'!$BB$1:$BE$201,4,0)),"")</f>
        <v/>
      </c>
      <c r="H209" s="415"/>
      <c r="I209" s="428" t="str">
        <f ca="1">IFERROR(VLOOKUP(REPLACE($C209,1,1,),Database!$CZ$4:$DB$203,3,0),"")</f>
        <v/>
      </c>
    </row>
    <row r="210" spans="2:9" x14ac:dyDescent="0.25">
      <c r="C210" s="399" t="str">
        <f ca="1">IF(D210="","",'TNX RTF Parse'!$BB195)</f>
        <v/>
      </c>
      <c r="D210" s="399" t="str">
        <f ca="1">IF('TNX File Parse'!S195&lt;&gt;"",'TNX File Parse'!S195,"")</f>
        <v/>
      </c>
      <c r="E210" s="399" t="str">
        <f ca="1">IF('TNX File Parse'!T195&lt;&gt;"",'TNX File Parse'!T195,"")</f>
        <v/>
      </c>
      <c r="F210" s="399" t="str">
        <f ca="1">IFERROR(IF(VLOOKUP(TEXT(C210,0),'TNX RTF Parse'!$BB$1:$BE$201,3,0)="","",VLOOKUP(TEXT(C210,0),'TNX RTF Parse'!$BB$1:$BE$201,3,0)),"")</f>
        <v/>
      </c>
      <c r="G210" s="399" t="str">
        <f ca="1">IFERROR(IF(VLOOKUP(TEXT(C210,0),'TNX RTF Parse'!$BB$1:$BE$201,4,0)="","",VLOOKUP(TEXT(C210,0),'TNX RTF Parse'!$BB$1:$BE$201,4,0)),"")</f>
        <v/>
      </c>
      <c r="H210" s="415"/>
      <c r="I210" s="428" t="str">
        <f ca="1">IFERROR(VLOOKUP(REPLACE($C210,1,1,),Database!$CZ$4:$DB$203,3,0),"")</f>
        <v/>
      </c>
    </row>
    <row r="211" spans="2:9" x14ac:dyDescent="0.25">
      <c r="C211" s="399" t="str">
        <f ca="1">IF(D211="","",'TNX RTF Parse'!$BB196)</f>
        <v/>
      </c>
      <c r="D211" s="399" t="str">
        <f ca="1">IF('TNX File Parse'!S196&lt;&gt;"",'TNX File Parse'!S196,"")</f>
        <v/>
      </c>
      <c r="E211" s="399" t="str">
        <f ca="1">IF('TNX File Parse'!T196&lt;&gt;"",'TNX File Parse'!T196,"")</f>
        <v/>
      </c>
      <c r="F211" s="399" t="str">
        <f ca="1">IFERROR(IF(VLOOKUP(TEXT(C211,0),'TNX RTF Parse'!$BB$1:$BE$201,3,0)="","",VLOOKUP(TEXT(C211,0),'TNX RTF Parse'!$BB$1:$BE$201,3,0)),"")</f>
        <v/>
      </c>
      <c r="G211" s="399" t="str">
        <f ca="1">IFERROR(IF(VLOOKUP(TEXT(C211,0),'TNX RTF Parse'!$BB$1:$BE$201,4,0)="","",VLOOKUP(TEXT(C211,0),'TNX RTF Parse'!$BB$1:$BE$201,4,0)),"")</f>
        <v/>
      </c>
      <c r="H211" s="415"/>
      <c r="I211" s="428" t="str">
        <f ca="1">IFERROR(VLOOKUP(REPLACE($C211,1,1,),Database!$CZ$4:$DB$203,3,0),"")</f>
        <v/>
      </c>
    </row>
    <row r="212" spans="2:9" x14ac:dyDescent="0.25">
      <c r="C212" s="399" t="str">
        <f ca="1">IF(D212="","",'TNX RTF Parse'!$BB197)</f>
        <v/>
      </c>
      <c r="D212" s="399" t="str">
        <f ca="1">IF('TNX File Parse'!S197&lt;&gt;"",'TNX File Parse'!S197,"")</f>
        <v/>
      </c>
      <c r="E212" s="399" t="str">
        <f ca="1">IF('TNX File Parse'!T197&lt;&gt;"",'TNX File Parse'!T197,"")</f>
        <v/>
      </c>
      <c r="F212" s="399" t="str">
        <f ca="1">IFERROR(IF(VLOOKUP(TEXT(C212,0),'TNX RTF Parse'!$BB$1:$BE$201,3,0)="","",VLOOKUP(TEXT(C212,0),'TNX RTF Parse'!$BB$1:$BE$201,3,0)),"")</f>
        <v/>
      </c>
      <c r="G212" s="399" t="str">
        <f ca="1">IFERROR(IF(VLOOKUP(TEXT(C212,0),'TNX RTF Parse'!$BB$1:$BE$201,4,0)="","",VLOOKUP(TEXT(C212,0),'TNX RTF Parse'!$BB$1:$BE$201,4,0)),"")</f>
        <v/>
      </c>
      <c r="H212" s="415"/>
      <c r="I212" s="428" t="str">
        <f ca="1">IFERROR(VLOOKUP(REPLACE($C212,1,1,),Database!$CZ$4:$DB$203,3,0),"")</f>
        <v/>
      </c>
    </row>
    <row r="213" spans="2:9" x14ac:dyDescent="0.25">
      <c r="C213" s="399" t="str">
        <f ca="1">IF(D213="","",'TNX RTF Parse'!$BB198)</f>
        <v/>
      </c>
      <c r="D213" s="399" t="str">
        <f ca="1">IF('TNX File Parse'!S198&lt;&gt;"",'TNX File Parse'!S198,"")</f>
        <v/>
      </c>
      <c r="E213" s="399" t="str">
        <f ca="1">IF('TNX File Parse'!T198&lt;&gt;"",'TNX File Parse'!T198,"")</f>
        <v/>
      </c>
      <c r="F213" s="399" t="str">
        <f ca="1">IFERROR(IF(VLOOKUP(TEXT(C213,0),'TNX RTF Parse'!$BB$1:$BE$201,3,0)="","",VLOOKUP(TEXT(C213,0),'TNX RTF Parse'!$BB$1:$BE$201,3,0)),"")</f>
        <v/>
      </c>
      <c r="G213" s="399" t="str">
        <f ca="1">IFERROR(IF(VLOOKUP(TEXT(C213,0),'TNX RTF Parse'!$BB$1:$BE$201,4,0)="","",VLOOKUP(TEXT(C213,0),'TNX RTF Parse'!$BB$1:$BE$201,4,0)),"")</f>
        <v/>
      </c>
      <c r="H213" s="415"/>
      <c r="I213" s="428" t="str">
        <f ca="1">IFERROR(VLOOKUP(REPLACE($C213,1,1,),Database!$CZ$4:$DB$203,3,0),"")</f>
        <v/>
      </c>
    </row>
    <row r="214" spans="2:9" x14ac:dyDescent="0.25">
      <c r="C214" s="399" t="str">
        <f ca="1">IF(D214="","",'TNX RTF Parse'!$BB199)</f>
        <v/>
      </c>
      <c r="D214" s="399" t="str">
        <f ca="1">IF('TNX File Parse'!S199&lt;&gt;"",'TNX File Parse'!S199,"")</f>
        <v/>
      </c>
      <c r="E214" s="399" t="str">
        <f ca="1">IF('TNX File Parse'!T199&lt;&gt;"",'TNX File Parse'!T199,"")</f>
        <v/>
      </c>
      <c r="F214" s="399" t="str">
        <f ca="1">IFERROR(IF(VLOOKUP(TEXT(C214,0),'TNX RTF Parse'!$BB$1:$BE$201,3,0)="","",VLOOKUP(TEXT(C214,0),'TNX RTF Parse'!$BB$1:$BE$201,3,0)),"")</f>
        <v/>
      </c>
      <c r="G214" s="399" t="str">
        <f ca="1">IFERROR(IF(VLOOKUP(TEXT(C214,0),'TNX RTF Parse'!$BB$1:$BE$201,4,0)="","",VLOOKUP(TEXT(C214,0),'TNX RTF Parse'!$BB$1:$BE$201,4,0)),"")</f>
        <v/>
      </c>
      <c r="H214" s="415"/>
      <c r="I214" s="428" t="str">
        <f ca="1">IFERROR(VLOOKUP(REPLACE($C214,1,1,),Database!$CZ$4:$DB$203,3,0),"")</f>
        <v/>
      </c>
    </row>
    <row r="215" spans="2:9" x14ac:dyDescent="0.25">
      <c r="C215" s="399" t="str">
        <f ca="1">IF(D215="","",'TNX RTF Parse'!$BB200)</f>
        <v/>
      </c>
      <c r="D215" s="399" t="str">
        <f ca="1">IF('TNX File Parse'!S200&lt;&gt;"",'TNX File Parse'!S200,"")</f>
        <v/>
      </c>
      <c r="E215" s="399" t="str">
        <f ca="1">IF('TNX File Parse'!T200&lt;&gt;"",'TNX File Parse'!T200,"")</f>
        <v/>
      </c>
      <c r="F215" s="399" t="str">
        <f ca="1">IFERROR(IF(VLOOKUP(TEXT(C215,0),'TNX RTF Parse'!$BB$1:$BE$201,3,0)="","",VLOOKUP(TEXT(C215,0),'TNX RTF Parse'!$BB$1:$BE$201,3,0)),"")</f>
        <v/>
      </c>
      <c r="G215" s="399" t="str">
        <f ca="1">IFERROR(IF(VLOOKUP(TEXT(C215,0),'TNX RTF Parse'!$BB$1:$BE$201,4,0)="","",VLOOKUP(TEXT(C215,0),'TNX RTF Parse'!$BB$1:$BE$201,4,0)),"")</f>
        <v/>
      </c>
      <c r="H215" s="415"/>
      <c r="I215" s="428" t="str">
        <f ca="1">IFERROR(VLOOKUP(REPLACE($C215,1,1,),Database!$CZ$4:$DB$203,3,0),"")</f>
        <v/>
      </c>
    </row>
    <row r="216" spans="2:9" x14ac:dyDescent="0.25">
      <c r="B216" s="414">
        <f>ROW()</f>
        <v>216</v>
      </c>
      <c r="C216" s="399" t="str">
        <f ca="1">IF(D216="","",'TNX RTF Parse'!$BB201)</f>
        <v/>
      </c>
      <c r="D216" s="399" t="str">
        <f ca="1">IF('TNX File Parse'!S201&lt;&gt;"",'TNX File Parse'!S201,"")</f>
        <v/>
      </c>
      <c r="E216" s="399" t="str">
        <f ca="1">IF('TNX File Parse'!T201&lt;&gt;"",'TNX File Parse'!T201,"")</f>
        <v/>
      </c>
      <c r="F216" s="399" t="str">
        <f ca="1">IFERROR(IF(VLOOKUP(TEXT(C216,0),'TNX RTF Parse'!$BB$1:$BE$201,3,0)="","",VLOOKUP(TEXT(C216,0),'TNX RTF Parse'!$BB$1:$BE$201,3,0)),"")</f>
        <v/>
      </c>
      <c r="G216" s="399" t="str">
        <f ca="1">IFERROR(IF(VLOOKUP(TEXT(C216,0),'TNX RTF Parse'!$BB$1:$BE$201,4,0)="","",VLOOKUP(TEXT(C216,0),'TNX RTF Parse'!$BB$1:$BE$201,4,0)),"")</f>
        <v/>
      </c>
      <c r="H216" s="415"/>
      <c r="I216" s="428" t="str">
        <f ca="1">IFERROR(VLOOKUP(REPLACE($C216,1,1,),Database!$CZ$4:$DB$203,3,0),"")</f>
        <v/>
      </c>
    </row>
  </sheetData>
  <sheetProtection sheet="1" objects="1" scenarios="1" selectLockedCells="1"/>
  <mergeCells count="8">
    <mergeCell ref="D8:J8"/>
    <mergeCell ref="D10:J10"/>
    <mergeCell ref="D12:J12"/>
    <mergeCell ref="C2:E2"/>
    <mergeCell ref="D3:E3"/>
    <mergeCell ref="D4:E4"/>
    <mergeCell ref="D5:E5"/>
    <mergeCell ref="D6:E6"/>
  </mergeCells>
  <dataValidations count="2">
    <dataValidation type="list" allowBlank="1" showInputMessage="1" showErrorMessage="1" sqref="H17:H216" xr:uid="{A82EE2F4-F1FD-4E41-8D9E-C9F284732D2C}">
      <formula1>$AA$1:$AA$2</formula1>
    </dataValidation>
    <dataValidation type="list" allowBlank="1" showInputMessage="1" showErrorMessage="1" sqref="D6:E6" xr:uid="{6AEC06FB-92F2-466C-B7D0-50C0F4CB4B4E}">
      <formula1>"H,G,F"</formula1>
    </dataValidation>
  </dataValidations>
  <pageMargins left="0.7" right="0.7" top="0.75" bottom="0.75" header="0.3" footer="0.3"/>
  <pageSetup orientation="portrait" horizontalDpi="90" verticalDpi="90" r:id="rId1"/>
  <drawing r:id="rId2"/>
  <legacyDrawing r:id="rId3"/>
  <mc:AlternateContent xmlns:mc="http://schemas.openxmlformats.org/markup-compatibility/2006">
    <mc:Choice Requires="x14">
      <controls>
        <mc:AlternateContent xmlns:mc="http://schemas.openxmlformats.org/markup-compatibility/2006">
          <mc:Choice Requires="x14">
            <control shapeId="375809" r:id="rId4" name="ERI">
              <controlPr defaultSize="0" autoFill="0" autoLine="0" autoPict="0" macro="[0]!TNX_Geometry_Import">
                <anchor moveWithCells="1" sizeWithCells="1">
                  <from>
                    <xdr:col>10</xdr:col>
                    <xdr:colOff>57150</xdr:colOff>
                    <xdr:row>6</xdr:row>
                    <xdr:rowOff>161925</xdr:rowOff>
                  </from>
                  <to>
                    <xdr:col>12</xdr:col>
                    <xdr:colOff>333375</xdr:colOff>
                    <xdr:row>8</xdr:row>
                    <xdr:rowOff>38100</xdr:rowOff>
                  </to>
                </anchor>
              </controlPr>
            </control>
          </mc:Choice>
        </mc:AlternateContent>
        <mc:AlternateContent xmlns:mc="http://schemas.openxmlformats.org/markup-compatibility/2006">
          <mc:Choice Requires="x14">
            <control shapeId="375810" r:id="rId5" name="RTF_REPORT">
              <controlPr defaultSize="0" autoFill="0" autoLine="0" autoPict="0" macro="[0]!Import_Wind_Loads" altText="Import RTF">
                <anchor moveWithCells="1" sizeWithCells="1">
                  <from>
                    <xdr:col>10</xdr:col>
                    <xdr:colOff>57150</xdr:colOff>
                    <xdr:row>8</xdr:row>
                    <xdr:rowOff>161925</xdr:rowOff>
                  </from>
                  <to>
                    <xdr:col>12</xdr:col>
                    <xdr:colOff>333375</xdr:colOff>
                    <xdr:row>10</xdr:row>
                    <xdr:rowOff>57150</xdr:rowOff>
                  </to>
                </anchor>
              </controlPr>
            </control>
          </mc:Choice>
        </mc:AlternateContent>
        <mc:AlternateContent xmlns:mc="http://schemas.openxmlformats.org/markup-compatibility/2006">
          <mc:Choice Requires="x14">
            <control shapeId="375812" r:id="rId6" name="RTF_Report_Dead">
              <controlPr defaultSize="0" autoFill="0" autoLine="0" autoPict="0" macro="[0]!Import_Dead_Loads">
                <anchor moveWithCells="1" sizeWithCells="1">
                  <from>
                    <xdr:col>10</xdr:col>
                    <xdr:colOff>57150</xdr:colOff>
                    <xdr:row>10</xdr:row>
                    <xdr:rowOff>161925</xdr:rowOff>
                  </from>
                  <to>
                    <xdr:col>12</xdr:col>
                    <xdr:colOff>342900</xdr:colOff>
                    <xdr:row>11</xdr:row>
                    <xdr:rowOff>180975</xdr:rowOff>
                  </to>
                </anchor>
              </controlPr>
            </control>
          </mc:Choice>
        </mc:AlternateContent>
        <mc:AlternateContent xmlns:mc="http://schemas.openxmlformats.org/markup-compatibility/2006">
          <mc:Choice Requires="x14">
            <control shapeId="375815" r:id="rId7" name="Button 7">
              <controlPr defaultSize="0" print="0" autoFill="0" autoPict="0" macro="[0]!Clear_Imported_Data">
                <anchor moveWithCells="1">
                  <from>
                    <xdr:col>14</xdr:col>
                    <xdr:colOff>409575</xdr:colOff>
                    <xdr:row>6</xdr:row>
                    <xdr:rowOff>76200</xdr:rowOff>
                  </from>
                  <to>
                    <xdr:col>18</xdr:col>
                    <xdr:colOff>161925</xdr:colOff>
                    <xdr:row>9</xdr:row>
                    <xdr:rowOff>47625</xdr:rowOff>
                  </to>
                </anchor>
              </controlPr>
            </control>
          </mc:Choice>
        </mc:AlternateContent>
        <mc:AlternateContent xmlns:mc="http://schemas.openxmlformats.org/markup-compatibility/2006">
          <mc:Choice Requires="x14">
            <control shapeId="375817" r:id="rId8" name="Button 9">
              <controlPr defaultSize="0" print="0" autoFill="0" autoPict="0" macro="[0]!Clear_Stored_Database_Values">
                <anchor moveWithCells="1">
                  <from>
                    <xdr:col>14</xdr:col>
                    <xdr:colOff>400050</xdr:colOff>
                    <xdr:row>10</xdr:row>
                    <xdr:rowOff>28575</xdr:rowOff>
                  </from>
                  <to>
                    <xdr:col>18</xdr:col>
                    <xdr:colOff>161925</xdr:colOff>
                    <xdr:row>13</xdr:row>
                    <xdr:rowOff>9525</xdr:rowOff>
                  </to>
                </anchor>
              </controlPr>
            </control>
          </mc:Choice>
        </mc:AlternateContent>
        <mc:AlternateContent xmlns:mc="http://schemas.openxmlformats.org/markup-compatibility/2006">
          <mc:Choice Requires="x14">
            <control shapeId="375845" r:id="rId9" name="Button 37">
              <controlPr locked="0" defaultSize="0" print="0" autoFill="0" autoPict="0" macro="[0]!Import_Previous_Version">
                <anchor moveWithCells="1" sizeWithCells="1">
                  <from>
                    <xdr:col>4</xdr:col>
                    <xdr:colOff>276225</xdr:colOff>
                    <xdr:row>12</xdr:row>
                    <xdr:rowOff>19050</xdr:rowOff>
                  </from>
                  <to>
                    <xdr:col>7</xdr:col>
                    <xdr:colOff>95250</xdr:colOff>
                    <xdr:row>14</xdr:row>
                    <xdr:rowOff>161925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2EF8A7C-B583-48B0-A1FE-893BE3DECB7A}">
  <sheetPr codeName="Sheet17"/>
  <dimension ref="A1:D37"/>
  <sheetViews>
    <sheetView topLeftCell="A7" workbookViewId="0">
      <selection activeCell="G22" sqref="G22"/>
    </sheetView>
  </sheetViews>
  <sheetFormatPr defaultRowHeight="15" x14ac:dyDescent="0.25"/>
  <cols>
    <col min="1" max="1" width="10.28515625" bestFit="1" customWidth="1"/>
  </cols>
  <sheetData>
    <row r="1" spans="1:4" x14ac:dyDescent="0.25">
      <c r="A1" t="s">
        <v>1355</v>
      </c>
      <c r="B1" t="str">
        <f>IFERROR(CONCATENATE(IF(Tleg=0.5*Dleg,"SR ","P "), Dleg, IF(Tleg=0.5*Dleg,"","in x "), IF(Tleg=0.5*Dleg,"",Tleg),"in w/ ",IF(ReinType="Split Pipe",CONCATENATE("1/2HSS ",Diameter,"in x ",Trein,"in"),FormFitReference)),"")</f>
        <v>SR in w/ 1/2HSS in x in</v>
      </c>
    </row>
    <row r="2" spans="1:4" x14ac:dyDescent="0.25">
      <c r="A2" t="s">
        <v>1356</v>
      </c>
      <c r="B2" t="str">
        <f>IF(B1="","",B1)</f>
        <v>SR in w/ 1/2HSS in x in</v>
      </c>
    </row>
    <row r="3" spans="1:4" x14ac:dyDescent="0.25">
      <c r="A3" t="s">
        <v>1338</v>
      </c>
      <c r="B3" t="str">
        <f>IFERROR(($B$10/$B$12) + ($B$10/$B$13),"")</f>
        <v/>
      </c>
      <c r="C3" t="s">
        <v>1</v>
      </c>
    </row>
    <row r="4" spans="1:4" x14ac:dyDescent="0.25">
      <c r="A4" t="s">
        <v>1089</v>
      </c>
      <c r="B4">
        <f>IFERROR(Diameter,"")</f>
        <v>0</v>
      </c>
      <c r="C4" t="s">
        <v>1</v>
      </c>
    </row>
    <row r="5" spans="1:4" x14ac:dyDescent="0.25">
      <c r="A5" t="s">
        <v>1357</v>
      </c>
      <c r="B5">
        <f>IFERROR($B$4,"")</f>
        <v>0</v>
      </c>
    </row>
    <row r="6" spans="1:4" x14ac:dyDescent="0.25">
      <c r="A6" t="s">
        <v>1088</v>
      </c>
      <c r="B6">
        <f>IFERROR(AVERAGE($B$3,$B$4)*PI(),"")</f>
        <v>0</v>
      </c>
      <c r="C6" t="s">
        <v>1</v>
      </c>
      <c r="D6" s="422" t="s">
        <v>1395</v>
      </c>
    </row>
    <row r="7" spans="1:4" x14ac:dyDescent="0.25">
      <c r="A7" t="s">
        <v>1339</v>
      </c>
      <c r="B7">
        <v>29000</v>
      </c>
      <c r="C7" t="s">
        <v>0</v>
      </c>
    </row>
    <row r="8" spans="1:4" x14ac:dyDescent="0.25">
      <c r="A8" t="s">
        <v>1340</v>
      </c>
      <c r="B8">
        <v>490</v>
      </c>
      <c r="C8" t="s">
        <v>1347</v>
      </c>
    </row>
    <row r="9" spans="1:4" x14ac:dyDescent="0.25">
      <c r="A9" t="s">
        <v>1077</v>
      </c>
      <c r="B9" t="str">
        <f>IFERROR(Summary!$G$39,"")</f>
        <v/>
      </c>
    </row>
    <row r="10" spans="1:4" x14ac:dyDescent="0.25">
      <c r="A10" t="s">
        <v>173</v>
      </c>
      <c r="B10" t="str">
        <f>IFERROR(Summary!$G$40,"")</f>
        <v/>
      </c>
    </row>
    <row r="11" spans="1:4" x14ac:dyDescent="0.25">
      <c r="A11" t="s">
        <v>198</v>
      </c>
      <c r="B11" t="str">
        <f>IFERROR(Summary!$P$40,"")</f>
        <v/>
      </c>
    </row>
    <row r="12" spans="1:4" x14ac:dyDescent="0.25">
      <c r="A12" t="s">
        <v>1358</v>
      </c>
      <c r="B12" t="str">
        <f>IFERROR('Rev. F'!$E$51,"")</f>
        <v/>
      </c>
      <c r="C12" t="s">
        <v>1348</v>
      </c>
    </row>
    <row r="13" spans="1:4" x14ac:dyDescent="0.25">
      <c r="A13" t="s">
        <v>1359</v>
      </c>
      <c r="B13" t="str">
        <f>IFERROR('Rev. F'!$E$50,"")</f>
        <v/>
      </c>
      <c r="C13" t="s">
        <v>1348</v>
      </c>
    </row>
    <row r="14" spans="1:4" x14ac:dyDescent="0.25">
      <c r="A14" t="s">
        <v>1360</v>
      </c>
      <c r="B14" t="str">
        <f>IFERROR($B$10/$B$4,"")</f>
        <v/>
      </c>
      <c r="C14" t="s">
        <v>1348</v>
      </c>
    </row>
    <row r="15" spans="1:4" x14ac:dyDescent="0.25">
      <c r="A15" t="s">
        <v>1361</v>
      </c>
      <c r="B15" t="str">
        <f>$B$14</f>
        <v/>
      </c>
      <c r="C15" t="s">
        <v>1348</v>
      </c>
    </row>
    <row r="16" spans="1:4" x14ac:dyDescent="0.25">
      <c r="A16" t="s">
        <v>1344</v>
      </c>
      <c r="B16" t="str">
        <f>IFERROR(SQRT($B$10/$B$9),"")</f>
        <v/>
      </c>
      <c r="C16" t="s">
        <v>1</v>
      </c>
    </row>
    <row r="17" spans="1:3" x14ac:dyDescent="0.25">
      <c r="A17" t="s">
        <v>1345</v>
      </c>
      <c r="B17" t="str">
        <f>IFERROR(SQRT($B$11/$B$9),"")</f>
        <v/>
      </c>
      <c r="C17" t="s">
        <v>1</v>
      </c>
    </row>
    <row r="18" spans="1:3" x14ac:dyDescent="0.25">
      <c r="A18" t="s">
        <v>1362</v>
      </c>
      <c r="B18">
        <v>1</v>
      </c>
    </row>
    <row r="19" spans="1:3" x14ac:dyDescent="0.25">
      <c r="A19" t="s">
        <v>1346</v>
      </c>
      <c r="B19">
        <v>1</v>
      </c>
    </row>
    <row r="20" spans="1:3" x14ac:dyDescent="0.25">
      <c r="A20" t="s">
        <v>1341</v>
      </c>
      <c r="B20">
        <v>1</v>
      </c>
    </row>
    <row r="21" spans="1:3" ht="17.25" x14ac:dyDescent="0.25">
      <c r="A21" t="s">
        <v>1342</v>
      </c>
      <c r="B21">
        <v>0</v>
      </c>
      <c r="C21" t="s">
        <v>1349</v>
      </c>
    </row>
    <row r="22" spans="1:3" ht="17.25" x14ac:dyDescent="0.25">
      <c r="A22" t="s">
        <v>1343</v>
      </c>
      <c r="B22" t="str">
        <f>IFERROR(Summary!$P$39,"")</f>
        <v/>
      </c>
      <c r="C22" t="s">
        <v>1350</v>
      </c>
    </row>
    <row r="23" spans="1:3" x14ac:dyDescent="0.25">
      <c r="A23" t="s">
        <v>1363</v>
      </c>
      <c r="B23" t="str">
        <f>Summary!$P$36</f>
        <v/>
      </c>
    </row>
    <row r="24" spans="1:3" x14ac:dyDescent="0.25">
      <c r="A24" t="s">
        <v>1384</v>
      </c>
      <c r="B24" t="e">
        <f>VLOOKUP(MIN(Gleg,Grein),MaterialGrades,4,0)</f>
        <v>#N/A</v>
      </c>
    </row>
    <row r="25" spans="1:3" x14ac:dyDescent="0.25">
      <c r="A25" t="s">
        <v>1385</v>
      </c>
      <c r="B25" t="e">
        <f>VLOOKUP(MIN(Gleg,Grein),MaterialGrades,2,0)</f>
        <v>#N/A</v>
      </c>
    </row>
    <row r="26" spans="1:3" x14ac:dyDescent="0.25">
      <c r="A26" t="s">
        <v>1386</v>
      </c>
      <c r="B26" t="e">
        <f>VLOOKUP(MIN(Gleg,Grein),MaterialGrades,3,0)</f>
        <v>#N/A</v>
      </c>
    </row>
    <row r="28" spans="1:3" x14ac:dyDescent="0.25">
      <c r="A28" t="s">
        <v>1382</v>
      </c>
    </row>
    <row r="29" spans="1:3" x14ac:dyDescent="0.25">
      <c r="A29" t="s">
        <v>1090</v>
      </c>
    </row>
    <row r="30" spans="1:3" x14ac:dyDescent="0.25">
      <c r="A30" t="str">
        <f>CONCATENATE("USName=",US_Name)</f>
        <v>USName=SR in w/ 1/2HSS in x in</v>
      </c>
    </row>
    <row r="31" spans="1:3" x14ac:dyDescent="0.25">
      <c r="A31" t="str">
        <f>CONCATENATE("SIName=",SI_Name)</f>
        <v>SIName=SR in w/ 1/2HSS in x in</v>
      </c>
    </row>
    <row r="32" spans="1:3" x14ac:dyDescent="0.25">
      <c r="A32" t="str">
        <f>CONCATENATE("Values=",Width," ",Height," ",Area," ",Ix," ",Iy," ","0"," ",Cw," ",J," ",Sx_top," ",Sy_top," ",SFx," ",SFy," ",WindProj.," ",Perimeter," ",IF(ReinType="Split Pipe","1","0")," ",QaQs," ",Modulus*1000," ","1"," ",Sx_bot," ",Sy_bot," ",rx," ",ry," ",Density/(12^3))</f>
        <v>Values=0     0 0    1 1 0 0 1 1 29000000 1     0.283564814814815</v>
      </c>
    </row>
    <row r="34" spans="1:1" x14ac:dyDescent="0.25">
      <c r="A34" t="s">
        <v>1383</v>
      </c>
    </row>
    <row r="35" spans="1:1" x14ac:dyDescent="0.25">
      <c r="A35" t="s">
        <v>1059</v>
      </c>
    </row>
    <row r="36" spans="1:1" x14ac:dyDescent="0.25">
      <c r="A36" t="e">
        <f>CONCATENATE("MatName=",Material)</f>
        <v>#N/A</v>
      </c>
    </row>
    <row r="37" spans="1:1" x14ac:dyDescent="0.25">
      <c r="A37" t="e">
        <f>CONCATENATE("MatValues=",Fy_Material*1000," ", Fu_Material*1000," 29000000 11200000 6.5e-006 0.283565999")</f>
        <v>#N/A</v>
      </c>
    </row>
  </sheetData>
  <pageMargins left="0.7" right="0.7" top="0.75" bottom="0.75" header="0.3" footer="0.3"/>
  <pageSetup orientation="portrait" horizontalDpi="90" verticalDpi="90"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38D9F2E-4CAB-416A-85AE-C9AD4FA5CFC6}">
  <sheetPr codeName="Sheet3"/>
  <dimension ref="A1:DN25965"/>
  <sheetViews>
    <sheetView topLeftCell="A10217" workbookViewId="0">
      <selection sqref="A1:A6953"/>
    </sheetView>
  </sheetViews>
  <sheetFormatPr defaultRowHeight="15" x14ac:dyDescent="0.25"/>
  <cols>
    <col min="1" max="2" width="81.140625" bestFit="1" customWidth="1"/>
    <col min="5" max="5" width="15" bestFit="1" customWidth="1"/>
    <col min="6" max="6" width="9.140625" customWidth="1"/>
    <col min="7" max="7" width="9.140625" style="387" customWidth="1"/>
    <col min="8" max="104" width="9.140625" customWidth="1"/>
    <col min="108" max="108" width="22.28515625" bestFit="1" customWidth="1"/>
    <col min="109" max="109" width="26.7109375" bestFit="1" customWidth="1"/>
  </cols>
  <sheetData>
    <row r="1" spans="5:118" x14ac:dyDescent="0.25">
      <c r="DC1" s="28"/>
      <c r="DD1" s="396"/>
      <c r="DE1" s="396"/>
      <c r="DF1" s="396"/>
    </row>
    <row r="3" spans="5:118" x14ac:dyDescent="0.25">
      <c r="J3" s="389"/>
    </row>
    <row r="4" spans="5:118" x14ac:dyDescent="0.25">
      <c r="J4" s="390"/>
    </row>
    <row r="6" spans="5:118" x14ac:dyDescent="0.25">
      <c r="J6" s="389"/>
    </row>
    <row r="7" spans="5:118" x14ac:dyDescent="0.25">
      <c r="J7" s="389"/>
    </row>
    <row r="8" spans="5:118" x14ac:dyDescent="0.25">
      <c r="J8" s="389"/>
    </row>
    <row r="9" spans="5:118" x14ac:dyDescent="0.25">
      <c r="J9" s="389"/>
    </row>
    <row r="10" spans="5:118" x14ac:dyDescent="0.25">
      <c r="E10" s="392"/>
      <c r="J10" s="389"/>
    </row>
    <row r="11" spans="5:118" x14ac:dyDescent="0.25">
      <c r="J11" s="389"/>
    </row>
    <row r="12" spans="5:118" x14ac:dyDescent="0.25">
      <c r="E12" s="392"/>
      <c r="J12" s="389"/>
    </row>
    <row r="13" spans="5:118" x14ac:dyDescent="0.25">
      <c r="J13" s="389"/>
      <c r="DH13" s="403"/>
      <c r="DI13" s="403"/>
      <c r="DJ13" s="401"/>
      <c r="DK13" s="401"/>
      <c r="DL13" s="401"/>
      <c r="DM13" s="396"/>
      <c r="DN13" s="396"/>
    </row>
    <row r="14" spans="5:118" x14ac:dyDescent="0.25">
      <c r="J14" s="389"/>
    </row>
    <row r="178" spans="3:7" x14ac:dyDescent="0.25">
      <c r="C178" s="389"/>
    </row>
    <row r="186" spans="3:7" x14ac:dyDescent="0.25">
      <c r="G186" s="402"/>
    </row>
    <row r="190" spans="3:7" x14ac:dyDescent="0.25">
      <c r="G190" s="402"/>
    </row>
    <row r="194" spans="7:7" x14ac:dyDescent="0.25">
      <c r="G194" s="402"/>
    </row>
    <row r="198" spans="7:7" x14ac:dyDescent="0.25">
      <c r="G198" s="402"/>
    </row>
    <row r="202" spans="7:7" x14ac:dyDescent="0.25">
      <c r="G202" s="402"/>
    </row>
    <row r="206" spans="7:7" x14ac:dyDescent="0.25">
      <c r="G206" s="402"/>
    </row>
    <row r="210" spans="6:7" x14ac:dyDescent="0.25">
      <c r="G210" s="402"/>
    </row>
    <row r="214" spans="6:7" x14ac:dyDescent="0.25">
      <c r="G214" s="402"/>
    </row>
    <row r="218" spans="6:7" x14ac:dyDescent="0.25">
      <c r="G218" s="402"/>
    </row>
    <row r="223" spans="6:7" x14ac:dyDescent="0.25">
      <c r="F223" s="393"/>
    </row>
    <row r="226" spans="6:7" x14ac:dyDescent="0.25">
      <c r="F226" s="393"/>
    </row>
    <row r="230" spans="6:7" x14ac:dyDescent="0.25">
      <c r="G230" s="402"/>
    </row>
    <row r="258" spans="7:7" x14ac:dyDescent="0.25">
      <c r="G258" s="402"/>
    </row>
    <row r="262" spans="7:7" x14ac:dyDescent="0.25">
      <c r="G262" s="402"/>
    </row>
    <row r="266" spans="7:7" x14ac:dyDescent="0.25">
      <c r="G266" s="402"/>
    </row>
    <row r="274" spans="6:7" x14ac:dyDescent="0.25">
      <c r="G274" s="402"/>
    </row>
    <row r="278" spans="6:7" x14ac:dyDescent="0.25">
      <c r="G278" s="402"/>
    </row>
    <row r="279" spans="6:7" x14ac:dyDescent="0.25">
      <c r="F279" s="393"/>
    </row>
    <row r="282" spans="6:7" x14ac:dyDescent="0.25">
      <c r="F282" s="393"/>
      <c r="G282" s="402"/>
    </row>
    <row r="286" spans="6:7" x14ac:dyDescent="0.25">
      <c r="G286" s="402"/>
    </row>
    <row r="291" spans="5:6" x14ac:dyDescent="0.25">
      <c r="E291" s="394"/>
      <c r="F291" s="393"/>
    </row>
    <row r="294" spans="5:6" x14ac:dyDescent="0.25">
      <c r="F294" s="393"/>
    </row>
    <row r="297" spans="5:6" x14ac:dyDescent="0.25">
      <c r="F297" s="393"/>
    </row>
    <row r="572" spans="4:4" x14ac:dyDescent="0.25">
      <c r="D572" s="397"/>
    </row>
    <row r="640" spans="7:7" x14ac:dyDescent="0.25">
      <c r="G640" s="402"/>
    </row>
    <row r="644" spans="7:7" x14ac:dyDescent="0.25">
      <c r="G644" s="402"/>
    </row>
    <row r="830" spans="7:7" x14ac:dyDescent="0.25">
      <c r="G830" s="402"/>
    </row>
    <row r="834" spans="7:7" x14ac:dyDescent="0.25">
      <c r="G834" s="402"/>
    </row>
    <row r="843" spans="7:7" x14ac:dyDescent="0.25">
      <c r="G843" s="402"/>
    </row>
    <row r="863" spans="3:3" x14ac:dyDescent="0.25">
      <c r="C863" s="389"/>
    </row>
    <row r="864" spans="3:3" x14ac:dyDescent="0.25">
      <c r="C864" s="389"/>
    </row>
    <row r="946" spans="3:3" x14ac:dyDescent="0.25">
      <c r="C946" s="389"/>
    </row>
    <row r="947" spans="3:3" x14ac:dyDescent="0.25">
      <c r="C947" s="389"/>
    </row>
    <row r="1020" spans="7:7" x14ac:dyDescent="0.25">
      <c r="G1020" s="402"/>
    </row>
    <row r="1024" spans="7:7" x14ac:dyDescent="0.25">
      <c r="G1024" s="402"/>
    </row>
    <row r="1029" spans="3:7" x14ac:dyDescent="0.25">
      <c r="C1029" s="389"/>
    </row>
    <row r="1030" spans="3:7" x14ac:dyDescent="0.25">
      <c r="C1030" s="389"/>
    </row>
    <row r="1033" spans="3:7" x14ac:dyDescent="0.25">
      <c r="G1033" s="402"/>
    </row>
    <row r="1210" spans="7:7" x14ac:dyDescent="0.25">
      <c r="G1210" s="402"/>
    </row>
    <row r="1223" spans="7:7" x14ac:dyDescent="0.25">
      <c r="G1223" s="402"/>
    </row>
    <row r="1400" spans="7:7" x14ac:dyDescent="0.25">
      <c r="G1400" s="402"/>
    </row>
    <row r="1413" spans="7:7" x14ac:dyDescent="0.25">
      <c r="G1413" s="402"/>
    </row>
    <row r="1590" spans="7:7" x14ac:dyDescent="0.25">
      <c r="G1590" s="402"/>
    </row>
    <row r="1603" spans="7:7" x14ac:dyDescent="0.25">
      <c r="G1603" s="402"/>
    </row>
    <row r="1780" spans="7:7" x14ac:dyDescent="0.25">
      <c r="G1780" s="402"/>
    </row>
    <row r="1784" spans="7:7" x14ac:dyDescent="0.25">
      <c r="G1784" s="402"/>
    </row>
    <row r="1793" spans="7:7" x14ac:dyDescent="0.25">
      <c r="G1793" s="402"/>
    </row>
    <row r="1970" spans="7:7" x14ac:dyDescent="0.25">
      <c r="G1970" s="402"/>
    </row>
    <row r="2160" spans="7:7" x14ac:dyDescent="0.25">
      <c r="G2160" s="402"/>
    </row>
    <row r="2173" spans="7:7" x14ac:dyDescent="0.25">
      <c r="G2173" s="402"/>
    </row>
    <row r="2350" spans="7:7" x14ac:dyDescent="0.25">
      <c r="G2350" s="402"/>
    </row>
    <row r="2363" spans="7:7" x14ac:dyDescent="0.25">
      <c r="G2363" s="402"/>
    </row>
    <row r="2540" spans="7:7" x14ac:dyDescent="0.25">
      <c r="G2540" s="402"/>
    </row>
    <row r="2553" spans="7:7" x14ac:dyDescent="0.25">
      <c r="G2553" s="402"/>
    </row>
    <row r="2730" spans="7:7" x14ac:dyDescent="0.25">
      <c r="G2730" s="402"/>
    </row>
    <row r="2743" spans="7:7" x14ac:dyDescent="0.25">
      <c r="G2743" s="402"/>
    </row>
    <row r="2772" spans="4:4" x14ac:dyDescent="0.25">
      <c r="D2772" s="389"/>
    </row>
    <row r="2920" spans="7:7" x14ac:dyDescent="0.25">
      <c r="G2920" s="402"/>
    </row>
    <row r="3025" spans="7:7" x14ac:dyDescent="0.25">
      <c r="G3025" s="402"/>
    </row>
    <row r="3110" spans="7:7" x14ac:dyDescent="0.25">
      <c r="G3110" s="402"/>
    </row>
    <row r="3300" spans="7:7" x14ac:dyDescent="0.25">
      <c r="G3300" s="402"/>
    </row>
    <row r="3405" spans="7:7" x14ac:dyDescent="0.25">
      <c r="G3405" s="402"/>
    </row>
    <row r="3490" spans="7:7" x14ac:dyDescent="0.25">
      <c r="G3490" s="402"/>
    </row>
    <row r="3503" spans="7:7" x14ac:dyDescent="0.25">
      <c r="G3503" s="402"/>
    </row>
    <row r="3680" spans="7:7" x14ac:dyDescent="0.25">
      <c r="G3680" s="402"/>
    </row>
    <row r="3870" spans="7:7" x14ac:dyDescent="0.25">
      <c r="G3870" s="402"/>
    </row>
    <row r="4060" spans="7:7" x14ac:dyDescent="0.25">
      <c r="G4060" s="402"/>
    </row>
    <row r="4073" spans="7:7" x14ac:dyDescent="0.25">
      <c r="G4073" s="402"/>
    </row>
    <row r="4250" spans="7:7" x14ac:dyDescent="0.25">
      <c r="G4250" s="402"/>
    </row>
    <row r="4440" spans="7:7" x14ac:dyDescent="0.25">
      <c r="G4440" s="402"/>
    </row>
    <row r="4442" spans="7:7" x14ac:dyDescent="0.25">
      <c r="G4442" s="402"/>
    </row>
    <row r="4451" spans="7:7" x14ac:dyDescent="0.25">
      <c r="G4451" s="402"/>
    </row>
    <row r="4463" spans="7:7" x14ac:dyDescent="0.25">
      <c r="G4463" s="402"/>
    </row>
    <row r="4467" spans="7:7" x14ac:dyDescent="0.25">
      <c r="G4467" s="402"/>
    </row>
    <row r="4502" spans="4:4" x14ac:dyDescent="0.25">
      <c r="D4502" s="389"/>
    </row>
    <row r="4630" spans="7:7" x14ac:dyDescent="0.25">
      <c r="G4630" s="402"/>
    </row>
    <row r="4641" spans="7:7" x14ac:dyDescent="0.25">
      <c r="G4641" s="402"/>
    </row>
    <row r="4653" spans="7:7" x14ac:dyDescent="0.25">
      <c r="G4653" s="402"/>
    </row>
    <row r="4657" spans="7:7" x14ac:dyDescent="0.25">
      <c r="G4657" s="402"/>
    </row>
    <row r="4820" spans="7:7" x14ac:dyDescent="0.25">
      <c r="G4820" s="402"/>
    </row>
    <row r="4822" spans="7:7" x14ac:dyDescent="0.25">
      <c r="G4822" s="402"/>
    </row>
    <row r="4825" spans="7:7" x14ac:dyDescent="0.25">
      <c r="G4825" s="395"/>
    </row>
    <row r="4828" spans="7:7" x14ac:dyDescent="0.25">
      <c r="G4828" s="395"/>
    </row>
    <row r="4831" spans="7:7" x14ac:dyDescent="0.25">
      <c r="G4831" s="402"/>
    </row>
    <row r="4834" spans="7:7" x14ac:dyDescent="0.25">
      <c r="G4834" s="395"/>
    </row>
    <row r="4837" spans="7:7" x14ac:dyDescent="0.25">
      <c r="G4837" s="395"/>
    </row>
    <row r="4840" spans="7:7" x14ac:dyDescent="0.25">
      <c r="G4840" s="395"/>
    </row>
    <row r="4843" spans="7:7" x14ac:dyDescent="0.25">
      <c r="G4843" s="402"/>
    </row>
    <row r="4846" spans="7:7" x14ac:dyDescent="0.25">
      <c r="G4846" s="395"/>
    </row>
    <row r="4847" spans="7:7" x14ac:dyDescent="0.25">
      <c r="G4847" s="402"/>
    </row>
    <row r="4849" spans="7:7" x14ac:dyDescent="0.25">
      <c r="G4849" s="395"/>
    </row>
    <row r="4852" spans="7:7" x14ac:dyDescent="0.25">
      <c r="G4852" s="395"/>
    </row>
    <row r="4855" spans="7:7" x14ac:dyDescent="0.25">
      <c r="G4855" s="395"/>
    </row>
    <row r="4858" spans="7:7" x14ac:dyDescent="0.25">
      <c r="G4858" s="395"/>
    </row>
    <row r="4886" spans="1:2" x14ac:dyDescent="0.25">
      <c r="A4886" s="389"/>
      <c r="B4886" s="389"/>
    </row>
    <row r="4890" spans="1:2" x14ac:dyDescent="0.25">
      <c r="A4890" s="389"/>
      <c r="B4890" s="389"/>
    </row>
    <row r="4894" spans="1:2" x14ac:dyDescent="0.25">
      <c r="A4894" s="390"/>
      <c r="B4894" s="390"/>
    </row>
    <row r="4898" spans="1:2" x14ac:dyDescent="0.25">
      <c r="A4898" s="389"/>
      <c r="B4898" s="389"/>
    </row>
    <row r="4902" spans="1:2" x14ac:dyDescent="0.25">
      <c r="A4902" s="389"/>
      <c r="B4902" s="389"/>
    </row>
    <row r="4906" spans="1:2" x14ac:dyDescent="0.25">
      <c r="A4906" s="389"/>
      <c r="B4906" s="389"/>
    </row>
    <row r="4910" spans="1:2" x14ac:dyDescent="0.25">
      <c r="A4910" s="389"/>
      <c r="B4910" s="389"/>
    </row>
    <row r="4914" spans="1:2" x14ac:dyDescent="0.25">
      <c r="A4914" s="389"/>
      <c r="B4914" s="389"/>
    </row>
    <row r="4918" spans="1:2" x14ac:dyDescent="0.25">
      <c r="A4918" s="389"/>
      <c r="B4918" s="389"/>
    </row>
    <row r="4922" spans="1:2" x14ac:dyDescent="0.25">
      <c r="A4922" s="389"/>
      <c r="B4922" s="389"/>
    </row>
    <row r="4926" spans="1:2" x14ac:dyDescent="0.25">
      <c r="A4926" s="389"/>
      <c r="B4926" s="389"/>
    </row>
    <row r="4944" spans="1:1" x14ac:dyDescent="0.25">
      <c r="A4944" s="389"/>
    </row>
    <row r="4954" spans="1:1" x14ac:dyDescent="0.25">
      <c r="A4954" s="389"/>
    </row>
    <row r="4964" spans="1:1" x14ac:dyDescent="0.25">
      <c r="A4964" s="389"/>
    </row>
    <row r="4974" spans="1:1" x14ac:dyDescent="0.25">
      <c r="A4974" s="389"/>
    </row>
    <row r="4984" spans="1:1" x14ac:dyDescent="0.25">
      <c r="A4984" s="389"/>
    </row>
    <row r="4994" spans="1:1" x14ac:dyDescent="0.25">
      <c r="A4994" s="389"/>
    </row>
    <row r="5004" spans="1:1" x14ac:dyDescent="0.25">
      <c r="A5004" s="389"/>
    </row>
    <row r="5010" spans="1:7" x14ac:dyDescent="0.25">
      <c r="G5010" s="402"/>
    </row>
    <row r="5012" spans="1:7" x14ac:dyDescent="0.25">
      <c r="G5012" s="402"/>
    </row>
    <row r="5014" spans="1:7" x14ac:dyDescent="0.25">
      <c r="A5014" s="389"/>
    </row>
    <row r="5021" spans="1:7" x14ac:dyDescent="0.25">
      <c r="G5021" s="402"/>
    </row>
    <row r="5024" spans="1:7" x14ac:dyDescent="0.25">
      <c r="A5024" s="389"/>
    </row>
    <row r="5033" spans="7:7" x14ac:dyDescent="0.25">
      <c r="G5033" s="402"/>
    </row>
    <row r="5037" spans="7:7" x14ac:dyDescent="0.25">
      <c r="G5037" s="402"/>
    </row>
    <row r="5100" spans="1:2" x14ac:dyDescent="0.25">
      <c r="A5100" s="389"/>
      <c r="B5100" s="389"/>
    </row>
    <row r="5175" spans="1:2" x14ac:dyDescent="0.25">
      <c r="A5175" s="391"/>
      <c r="B5175" s="391"/>
    </row>
    <row r="5178" spans="1:2" x14ac:dyDescent="0.25">
      <c r="A5178" s="391"/>
      <c r="B5178" s="391"/>
    </row>
    <row r="5181" spans="1:2" x14ac:dyDescent="0.25">
      <c r="A5181" s="391"/>
      <c r="B5181" s="391"/>
    </row>
    <row r="5184" spans="1:2" x14ac:dyDescent="0.25">
      <c r="A5184" s="391"/>
      <c r="B5184" s="391"/>
    </row>
    <row r="5187" spans="1:2" x14ac:dyDescent="0.25">
      <c r="A5187" s="391"/>
      <c r="B5187" s="391"/>
    </row>
    <row r="5190" spans="1:2" x14ac:dyDescent="0.25">
      <c r="A5190" s="391"/>
      <c r="B5190" s="391"/>
    </row>
    <row r="5193" spans="1:2" x14ac:dyDescent="0.25">
      <c r="A5193" s="391"/>
      <c r="B5193" s="391"/>
    </row>
    <row r="5196" spans="1:2" x14ac:dyDescent="0.25">
      <c r="A5196" s="391"/>
      <c r="B5196" s="391"/>
    </row>
    <row r="5208" spans="1:2" x14ac:dyDescent="0.25">
      <c r="A5208" s="391"/>
      <c r="B5208" s="391"/>
    </row>
    <row r="5211" spans="1:2" x14ac:dyDescent="0.25">
      <c r="A5211" s="391"/>
      <c r="B5211" s="391"/>
    </row>
    <row r="5214" spans="1:2" x14ac:dyDescent="0.25">
      <c r="A5214" s="391"/>
      <c r="B5214" s="391"/>
    </row>
    <row r="5217" spans="1:2" x14ac:dyDescent="0.25">
      <c r="A5217" s="391"/>
      <c r="B5217" s="391"/>
    </row>
    <row r="5220" spans="1:2" x14ac:dyDescent="0.25">
      <c r="A5220" s="391"/>
      <c r="B5220" s="391"/>
    </row>
    <row r="5223" spans="1:2" x14ac:dyDescent="0.25">
      <c r="A5223" s="391"/>
      <c r="B5223" s="391"/>
    </row>
    <row r="5226" spans="1:2" x14ac:dyDescent="0.25">
      <c r="A5226" s="391"/>
      <c r="B5226" s="391"/>
    </row>
    <row r="5229" spans="1:2" x14ac:dyDescent="0.25">
      <c r="A5229" s="391"/>
      <c r="B5229" s="391"/>
    </row>
    <row r="5232" spans="1:2" x14ac:dyDescent="0.25">
      <c r="A5232" s="389"/>
      <c r="B5232" s="389"/>
    </row>
    <row r="5292" spans="1:2" x14ac:dyDescent="0.25">
      <c r="A5292" s="389"/>
      <c r="B5292" s="389"/>
    </row>
    <row r="5316" spans="1:1" x14ac:dyDescent="0.25">
      <c r="A5316" s="389"/>
    </row>
    <row r="5320" spans="1:1" x14ac:dyDescent="0.25">
      <c r="A5320" s="389"/>
    </row>
    <row r="5324" spans="1:1" x14ac:dyDescent="0.25">
      <c r="A5324" s="390"/>
    </row>
    <row r="5328" spans="1:1" x14ac:dyDescent="0.25">
      <c r="A5328" s="389"/>
    </row>
    <row r="5332" spans="1:1" x14ac:dyDescent="0.25">
      <c r="A5332" s="389"/>
    </row>
    <row r="5336" spans="1:1" x14ac:dyDescent="0.25">
      <c r="A5336" s="389"/>
    </row>
    <row r="5340" spans="1:1" x14ac:dyDescent="0.25">
      <c r="A5340" s="389"/>
    </row>
    <row r="5344" spans="1:1" x14ac:dyDescent="0.25">
      <c r="A5344" s="389"/>
    </row>
    <row r="5348" spans="1:1" x14ac:dyDescent="0.25">
      <c r="A5348" s="389"/>
    </row>
    <row r="5352" spans="1:1" x14ac:dyDescent="0.25">
      <c r="A5352" s="389"/>
    </row>
    <row r="5356" spans="1:1" x14ac:dyDescent="0.25">
      <c r="A5356" s="389"/>
    </row>
    <row r="5367" spans="1:2" x14ac:dyDescent="0.25">
      <c r="A5367" s="391"/>
      <c r="B5367" s="391"/>
    </row>
    <row r="5370" spans="1:2" x14ac:dyDescent="0.25">
      <c r="A5370" s="391"/>
      <c r="B5370" s="391"/>
    </row>
    <row r="5373" spans="1:2" x14ac:dyDescent="0.25">
      <c r="A5373" s="391"/>
      <c r="B5373" s="391"/>
    </row>
    <row r="5374" spans="1:2" x14ac:dyDescent="0.25">
      <c r="A5374" s="389"/>
    </row>
    <row r="5376" spans="1:2" x14ac:dyDescent="0.25">
      <c r="A5376" s="391"/>
      <c r="B5376" s="391"/>
    </row>
    <row r="5379" spans="1:2" x14ac:dyDescent="0.25">
      <c r="A5379" s="391"/>
      <c r="B5379" s="391"/>
    </row>
    <row r="5382" spans="1:2" x14ac:dyDescent="0.25">
      <c r="A5382" s="391"/>
      <c r="B5382" s="391"/>
    </row>
    <row r="5384" spans="1:2" x14ac:dyDescent="0.25">
      <c r="A5384" s="389"/>
    </row>
    <row r="5385" spans="1:2" x14ac:dyDescent="0.25">
      <c r="A5385" s="391"/>
      <c r="B5385" s="391"/>
    </row>
    <row r="5388" spans="1:2" x14ac:dyDescent="0.25">
      <c r="A5388" s="391"/>
      <c r="B5388" s="391"/>
    </row>
    <row r="5394" spans="1:2" x14ac:dyDescent="0.25">
      <c r="A5394" s="389"/>
    </row>
    <row r="5400" spans="1:2" x14ac:dyDescent="0.25">
      <c r="A5400" s="391"/>
      <c r="B5400" s="391"/>
    </row>
    <row r="5403" spans="1:2" x14ac:dyDescent="0.25">
      <c r="A5403" s="391"/>
      <c r="B5403" s="391"/>
    </row>
    <row r="5404" spans="1:2" x14ac:dyDescent="0.25">
      <c r="A5404" s="389"/>
    </row>
    <row r="5406" spans="1:2" x14ac:dyDescent="0.25">
      <c r="A5406" s="391"/>
      <c r="B5406" s="391"/>
    </row>
    <row r="5409" spans="1:2" x14ac:dyDescent="0.25">
      <c r="A5409" s="391"/>
      <c r="B5409" s="391"/>
    </row>
    <row r="5412" spans="1:2" x14ac:dyDescent="0.25">
      <c r="A5412" s="391"/>
      <c r="B5412" s="391"/>
    </row>
    <row r="5414" spans="1:2" x14ac:dyDescent="0.25">
      <c r="A5414" s="389"/>
    </row>
    <row r="5415" spans="1:2" x14ac:dyDescent="0.25">
      <c r="A5415" s="391"/>
      <c r="B5415" s="391"/>
    </row>
    <row r="5418" spans="1:2" x14ac:dyDescent="0.25">
      <c r="A5418" s="391"/>
      <c r="B5418" s="391"/>
    </row>
    <row r="5421" spans="1:2" x14ac:dyDescent="0.25">
      <c r="A5421" s="391"/>
      <c r="B5421" s="391"/>
    </row>
    <row r="5424" spans="1:2" x14ac:dyDescent="0.25">
      <c r="A5424" s="389"/>
      <c r="B5424" s="389"/>
    </row>
    <row r="5434" spans="1:1" x14ac:dyDescent="0.25">
      <c r="A5434" s="389"/>
    </row>
    <row r="5444" spans="1:1" x14ac:dyDescent="0.25">
      <c r="A5444" s="389"/>
    </row>
    <row r="5454" spans="1:1" x14ac:dyDescent="0.25">
      <c r="A5454" s="389"/>
    </row>
    <row r="5490" spans="7:7" x14ac:dyDescent="0.25">
      <c r="G5490" s="395"/>
    </row>
    <row r="5493" spans="7:7" x14ac:dyDescent="0.25">
      <c r="G5493" s="395"/>
    </row>
    <row r="5496" spans="7:7" x14ac:dyDescent="0.25">
      <c r="G5496" s="395"/>
    </row>
    <row r="5499" spans="7:7" x14ac:dyDescent="0.25">
      <c r="G5499" s="395"/>
    </row>
    <row r="5502" spans="7:7" x14ac:dyDescent="0.25">
      <c r="G5502" s="395"/>
    </row>
    <row r="5505" spans="7:7" x14ac:dyDescent="0.25">
      <c r="G5505" s="395"/>
    </row>
    <row r="5508" spans="7:7" x14ac:dyDescent="0.25">
      <c r="G5508" s="395"/>
    </row>
    <row r="5511" spans="7:7" x14ac:dyDescent="0.25">
      <c r="G5511" s="395"/>
    </row>
    <row r="5514" spans="7:7" x14ac:dyDescent="0.25">
      <c r="G5514" s="395"/>
    </row>
    <row r="5517" spans="7:7" x14ac:dyDescent="0.25">
      <c r="G5517" s="395"/>
    </row>
    <row r="5520" spans="7:7" x14ac:dyDescent="0.25">
      <c r="G5520" s="395"/>
    </row>
    <row r="5523" spans="7:7" x14ac:dyDescent="0.25">
      <c r="G5523" s="395"/>
    </row>
    <row r="5940" spans="1:1" x14ac:dyDescent="0.25">
      <c r="A5940" s="398"/>
    </row>
    <row r="6164" spans="1:1" x14ac:dyDescent="0.25">
      <c r="A6164" s="389"/>
    </row>
    <row r="6239" spans="1:1" x14ac:dyDescent="0.25">
      <c r="A6239" s="391"/>
    </row>
    <row r="6242" spans="1:1" x14ac:dyDescent="0.25">
      <c r="A6242" s="391"/>
    </row>
    <row r="6245" spans="1:1" x14ac:dyDescent="0.25">
      <c r="A6245" s="391"/>
    </row>
    <row r="6248" spans="1:1" x14ac:dyDescent="0.25">
      <c r="A6248" s="391"/>
    </row>
    <row r="6251" spans="1:1" x14ac:dyDescent="0.25">
      <c r="A6251" s="391"/>
    </row>
    <row r="6254" spans="1:1" x14ac:dyDescent="0.25">
      <c r="A6254" s="391"/>
    </row>
    <row r="6257" spans="1:1" x14ac:dyDescent="0.25">
      <c r="A6257" s="391"/>
    </row>
    <row r="6260" spans="1:1" x14ac:dyDescent="0.25">
      <c r="A6260" s="391"/>
    </row>
    <row r="6272" spans="1:1" x14ac:dyDescent="0.25">
      <c r="A6272" s="391"/>
    </row>
    <row r="6275" spans="1:1" x14ac:dyDescent="0.25">
      <c r="A6275" s="391"/>
    </row>
    <row r="6278" spans="1:1" x14ac:dyDescent="0.25">
      <c r="A6278" s="391"/>
    </row>
    <row r="6281" spans="1:1" x14ac:dyDescent="0.25">
      <c r="A6281" s="391"/>
    </row>
    <row r="6284" spans="1:1" x14ac:dyDescent="0.25">
      <c r="A6284" s="391"/>
    </row>
    <row r="6287" spans="1:1" x14ac:dyDescent="0.25">
      <c r="A6287" s="391"/>
    </row>
    <row r="6290" spans="1:1" x14ac:dyDescent="0.25">
      <c r="A6290" s="391"/>
    </row>
    <row r="6293" spans="1:1" x14ac:dyDescent="0.25">
      <c r="A6293" s="391"/>
    </row>
    <row r="6296" spans="1:1" x14ac:dyDescent="0.25">
      <c r="A6296" s="389"/>
    </row>
    <row r="6356" spans="1:1" x14ac:dyDescent="0.25">
      <c r="A6356" s="389"/>
    </row>
    <row r="6431" spans="1:1" x14ac:dyDescent="0.25">
      <c r="A6431" s="391"/>
    </row>
    <row r="6434" spans="1:1" x14ac:dyDescent="0.25">
      <c r="A6434" s="391"/>
    </row>
    <row r="6437" spans="1:1" x14ac:dyDescent="0.25">
      <c r="A6437" s="391"/>
    </row>
    <row r="6440" spans="1:1" x14ac:dyDescent="0.25">
      <c r="A6440" s="391"/>
    </row>
    <row r="6443" spans="1:1" x14ac:dyDescent="0.25">
      <c r="A6443" s="391"/>
    </row>
    <row r="6446" spans="1:1" x14ac:dyDescent="0.25">
      <c r="A6446" s="391"/>
    </row>
    <row r="6449" spans="1:1" x14ac:dyDescent="0.25">
      <c r="A6449" s="391"/>
    </row>
    <row r="6452" spans="1:1" x14ac:dyDescent="0.25">
      <c r="A6452" s="391"/>
    </row>
    <row r="6460" spans="1:1" x14ac:dyDescent="0.25">
      <c r="A6460" s="398"/>
    </row>
    <row r="6464" spans="1:1" x14ac:dyDescent="0.25">
      <c r="A6464" s="391"/>
    </row>
    <row r="6467" spans="1:1" x14ac:dyDescent="0.25">
      <c r="A6467" s="391"/>
    </row>
    <row r="6470" spans="1:1" x14ac:dyDescent="0.25">
      <c r="A6470" s="391"/>
    </row>
    <row r="6473" spans="1:1" x14ac:dyDescent="0.25">
      <c r="A6473" s="391"/>
    </row>
    <row r="6476" spans="1:1" x14ac:dyDescent="0.25">
      <c r="A6476" s="391"/>
    </row>
    <row r="6479" spans="1:1" x14ac:dyDescent="0.25">
      <c r="A6479" s="391"/>
    </row>
    <row r="6482" spans="1:1" x14ac:dyDescent="0.25">
      <c r="A6482" s="391"/>
    </row>
    <row r="6485" spans="1:1" x14ac:dyDescent="0.25">
      <c r="A6485" s="391"/>
    </row>
    <row r="6488" spans="1:1" x14ac:dyDescent="0.25">
      <c r="A6488" s="389"/>
    </row>
    <row r="6554" spans="7:7" x14ac:dyDescent="0.25">
      <c r="G6554" s="395"/>
    </row>
    <row r="6557" spans="7:7" x14ac:dyDescent="0.25">
      <c r="G6557" s="395"/>
    </row>
    <row r="6560" spans="7:7" x14ac:dyDescent="0.25">
      <c r="G6560" s="395"/>
    </row>
    <row r="6563" spans="7:7" x14ac:dyDescent="0.25">
      <c r="G6563" s="395"/>
    </row>
    <row r="6566" spans="7:7" x14ac:dyDescent="0.25">
      <c r="G6566" s="395"/>
    </row>
    <row r="6569" spans="7:7" x14ac:dyDescent="0.25">
      <c r="G6569" s="395"/>
    </row>
    <row r="6572" spans="7:7" x14ac:dyDescent="0.25">
      <c r="G6572" s="395"/>
    </row>
    <row r="6575" spans="7:7" x14ac:dyDescent="0.25">
      <c r="G6575" s="395"/>
    </row>
    <row r="6578" spans="7:7" x14ac:dyDescent="0.25">
      <c r="G6578" s="395"/>
    </row>
    <row r="6581" spans="7:7" x14ac:dyDescent="0.25">
      <c r="G6581" s="395"/>
    </row>
    <row r="6584" spans="7:7" x14ac:dyDescent="0.25">
      <c r="G6584" s="395"/>
    </row>
    <row r="6587" spans="7:7" x14ac:dyDescent="0.25">
      <c r="G6587" s="395"/>
    </row>
    <row r="6689" spans="1:1" x14ac:dyDescent="0.25">
      <c r="A6689" s="389"/>
    </row>
    <row r="6770" spans="1:1" x14ac:dyDescent="0.25">
      <c r="A6770" s="391"/>
    </row>
    <row r="6773" spans="1:1" x14ac:dyDescent="0.25">
      <c r="A6773" s="391"/>
    </row>
    <row r="6776" spans="1:1" x14ac:dyDescent="0.25">
      <c r="A6776" s="391"/>
    </row>
    <row r="6779" spans="1:1" x14ac:dyDescent="0.25">
      <c r="A6779" s="391"/>
    </row>
    <row r="6782" spans="1:1" x14ac:dyDescent="0.25">
      <c r="A6782" s="391"/>
    </row>
    <row r="6785" spans="1:1" x14ac:dyDescent="0.25">
      <c r="A6785" s="391"/>
    </row>
    <row r="6788" spans="1:1" x14ac:dyDescent="0.25">
      <c r="A6788" s="391"/>
    </row>
    <row r="6791" spans="1:1" x14ac:dyDescent="0.25">
      <c r="A6791" s="391"/>
    </row>
    <row r="6794" spans="1:1" x14ac:dyDescent="0.25">
      <c r="A6794" s="391"/>
    </row>
    <row r="6806" spans="1:1" x14ac:dyDescent="0.25">
      <c r="A6806" s="391"/>
    </row>
    <row r="6809" spans="1:1" x14ac:dyDescent="0.25">
      <c r="A6809" s="391"/>
    </row>
    <row r="6812" spans="1:1" x14ac:dyDescent="0.25">
      <c r="A6812" s="391"/>
    </row>
    <row r="6815" spans="1:1" x14ac:dyDescent="0.25">
      <c r="A6815" s="391"/>
    </row>
    <row r="6818" spans="1:1" x14ac:dyDescent="0.25">
      <c r="A6818" s="391"/>
    </row>
    <row r="6821" spans="1:1" x14ac:dyDescent="0.25">
      <c r="A6821" s="391"/>
    </row>
    <row r="6824" spans="1:1" x14ac:dyDescent="0.25">
      <c r="A6824" s="391"/>
    </row>
    <row r="6827" spans="1:1" x14ac:dyDescent="0.25">
      <c r="A6827" s="391"/>
    </row>
    <row r="6830" spans="1:1" x14ac:dyDescent="0.25">
      <c r="A6830" s="391"/>
    </row>
    <row r="6833" spans="1:1" x14ac:dyDescent="0.25">
      <c r="A6833" s="389"/>
    </row>
    <row r="6896" spans="1:1" x14ac:dyDescent="0.25">
      <c r="A6896" s="389"/>
    </row>
    <row r="6977" spans="1:1" x14ac:dyDescent="0.25">
      <c r="A6977" s="391"/>
    </row>
    <row r="6980" spans="1:1" x14ac:dyDescent="0.25">
      <c r="A6980" s="391"/>
    </row>
    <row r="6983" spans="1:1" x14ac:dyDescent="0.25">
      <c r="A6983" s="391"/>
    </row>
    <row r="6986" spans="1:1" x14ac:dyDescent="0.25">
      <c r="A6986" s="391"/>
    </row>
    <row r="6989" spans="1:1" x14ac:dyDescent="0.25">
      <c r="A6989" s="391"/>
    </row>
    <row r="6992" spans="1:1" x14ac:dyDescent="0.25">
      <c r="A6992" s="391"/>
    </row>
    <row r="6995" spans="1:1" x14ac:dyDescent="0.25">
      <c r="A6995" s="391"/>
    </row>
    <row r="6998" spans="1:1" x14ac:dyDescent="0.25">
      <c r="A6998" s="391"/>
    </row>
    <row r="7001" spans="1:1" x14ac:dyDescent="0.25">
      <c r="A7001" s="391"/>
    </row>
    <row r="7013" spans="1:1" x14ac:dyDescent="0.25">
      <c r="A7013" s="391"/>
    </row>
    <row r="7016" spans="1:1" x14ac:dyDescent="0.25">
      <c r="A7016" s="391"/>
    </row>
    <row r="7019" spans="1:1" x14ac:dyDescent="0.25">
      <c r="A7019" s="391"/>
    </row>
    <row r="7022" spans="1:1" x14ac:dyDescent="0.25">
      <c r="A7022" s="391"/>
    </row>
    <row r="7025" spans="1:1" x14ac:dyDescent="0.25">
      <c r="A7025" s="391"/>
    </row>
    <row r="7028" spans="1:1" x14ac:dyDescent="0.25">
      <c r="A7028" s="391"/>
    </row>
    <row r="7031" spans="1:1" x14ac:dyDescent="0.25">
      <c r="A7031" s="391"/>
    </row>
    <row r="7034" spans="1:1" x14ac:dyDescent="0.25">
      <c r="A7034" s="391"/>
    </row>
    <row r="7037" spans="1:1" x14ac:dyDescent="0.25">
      <c r="A7037" s="391"/>
    </row>
    <row r="7040" spans="1:1" x14ac:dyDescent="0.25">
      <c r="A7040" s="389"/>
    </row>
    <row r="7280" spans="4:4" x14ac:dyDescent="0.25">
      <c r="D7280" s="389"/>
    </row>
    <row r="8815" spans="7:7" x14ac:dyDescent="0.25">
      <c r="G8815" s="395"/>
    </row>
    <row r="8818" spans="7:7" x14ac:dyDescent="0.25">
      <c r="G8818" s="395"/>
    </row>
    <row r="8910" spans="7:7" x14ac:dyDescent="0.25">
      <c r="G8910" s="402"/>
    </row>
    <row r="9281" spans="1:1" x14ac:dyDescent="0.25">
      <c r="A9281" s="389"/>
    </row>
    <row r="9338" spans="1:1" x14ac:dyDescent="0.25">
      <c r="A9338" s="389"/>
    </row>
    <row r="9374" spans="1:1" x14ac:dyDescent="0.25">
      <c r="A9374" s="391"/>
    </row>
    <row r="9380" spans="1:1" x14ac:dyDescent="0.25">
      <c r="A9380" s="391"/>
    </row>
    <row r="9386" spans="1:1" x14ac:dyDescent="0.25">
      <c r="A9386" s="391"/>
    </row>
    <row r="9392" spans="1:1" x14ac:dyDescent="0.25">
      <c r="A9392" s="391"/>
    </row>
    <row r="9395" spans="1:1" x14ac:dyDescent="0.25">
      <c r="A9395" s="391"/>
    </row>
    <row r="9398" spans="1:1" x14ac:dyDescent="0.25">
      <c r="A9398" s="391"/>
    </row>
    <row r="9401" spans="1:1" x14ac:dyDescent="0.25">
      <c r="A9401" s="391"/>
    </row>
    <row r="9404" spans="1:1" x14ac:dyDescent="0.25">
      <c r="A9404" s="391"/>
    </row>
    <row r="9407" spans="1:1" x14ac:dyDescent="0.25">
      <c r="A9407" s="389"/>
    </row>
    <row r="9410" spans="1:1" x14ac:dyDescent="0.25">
      <c r="A9410" s="391"/>
    </row>
    <row r="9413" spans="1:1" x14ac:dyDescent="0.25">
      <c r="A9413" s="391"/>
    </row>
    <row r="9416" spans="1:1" x14ac:dyDescent="0.25">
      <c r="A9416" s="391"/>
    </row>
    <row r="9419" spans="1:1" x14ac:dyDescent="0.25">
      <c r="A9419" s="391"/>
    </row>
    <row r="9422" spans="1:1" x14ac:dyDescent="0.25">
      <c r="A9422" s="391"/>
    </row>
    <row r="9425" spans="1:1" x14ac:dyDescent="0.25">
      <c r="A9425" s="391"/>
    </row>
    <row r="9428" spans="1:1" x14ac:dyDescent="0.25">
      <c r="A9428" s="391"/>
    </row>
    <row r="9431" spans="1:1" x14ac:dyDescent="0.25">
      <c r="A9431" s="391"/>
    </row>
    <row r="9446" spans="1:1" x14ac:dyDescent="0.25">
      <c r="A9446" s="389"/>
    </row>
    <row r="9503" spans="1:1" x14ac:dyDescent="0.25">
      <c r="A9503" s="389"/>
    </row>
    <row r="9539" spans="1:1" x14ac:dyDescent="0.25">
      <c r="A9539" s="391"/>
    </row>
    <row r="9545" spans="1:1" x14ac:dyDescent="0.25">
      <c r="A9545" s="391"/>
    </row>
    <row r="9551" spans="1:1" x14ac:dyDescent="0.25">
      <c r="A9551" s="391"/>
    </row>
    <row r="9557" spans="1:1" x14ac:dyDescent="0.25">
      <c r="A9557" s="391"/>
    </row>
    <row r="9560" spans="1:1" x14ac:dyDescent="0.25">
      <c r="A9560" s="391"/>
    </row>
    <row r="9563" spans="1:1" x14ac:dyDescent="0.25">
      <c r="A9563" s="391"/>
    </row>
    <row r="9566" spans="1:1" x14ac:dyDescent="0.25">
      <c r="A9566" s="391"/>
    </row>
    <row r="9569" spans="1:1" x14ac:dyDescent="0.25">
      <c r="A9569" s="391"/>
    </row>
    <row r="9572" spans="1:1" x14ac:dyDescent="0.25">
      <c r="A9572" s="389"/>
    </row>
    <row r="9575" spans="1:1" x14ac:dyDescent="0.25">
      <c r="A9575" s="391"/>
    </row>
    <row r="9578" spans="1:1" x14ac:dyDescent="0.25">
      <c r="A9578" s="391"/>
    </row>
    <row r="9581" spans="1:1" x14ac:dyDescent="0.25">
      <c r="A9581" s="391"/>
    </row>
    <row r="9584" spans="1:1" x14ac:dyDescent="0.25">
      <c r="A9584" s="391"/>
    </row>
    <row r="9587" spans="1:1" x14ac:dyDescent="0.25">
      <c r="A9587" s="391"/>
    </row>
    <row r="9590" spans="1:1" x14ac:dyDescent="0.25">
      <c r="A9590" s="391"/>
    </row>
    <row r="9593" spans="1:1" x14ac:dyDescent="0.25">
      <c r="A9593" s="391"/>
    </row>
    <row r="9596" spans="1:1" x14ac:dyDescent="0.25">
      <c r="A9596" s="391"/>
    </row>
    <row r="9617" spans="7:7" x14ac:dyDescent="0.25">
      <c r="G9617" s="395"/>
    </row>
    <row r="9620" spans="7:7" x14ac:dyDescent="0.25">
      <c r="G9620" s="395"/>
    </row>
    <row r="9659" spans="1:1" x14ac:dyDescent="0.25">
      <c r="A9659" s="389"/>
    </row>
    <row r="9667" spans="1:1" x14ac:dyDescent="0.25">
      <c r="A9667" s="389"/>
    </row>
    <row r="9753" spans="1:1" x14ac:dyDescent="0.25">
      <c r="A9753" s="389"/>
    </row>
    <row r="9763" spans="1:1" x14ac:dyDescent="0.25">
      <c r="A9763" s="389"/>
    </row>
    <row r="9773" spans="1:1" x14ac:dyDescent="0.25">
      <c r="A9773" s="389"/>
    </row>
    <row r="9783" spans="1:1" x14ac:dyDescent="0.25">
      <c r="A9783" s="389"/>
    </row>
    <row r="9793" spans="1:1" x14ac:dyDescent="0.25">
      <c r="A9793" s="389"/>
    </row>
    <row r="9803" spans="1:1" x14ac:dyDescent="0.25">
      <c r="A9803" s="389"/>
    </row>
    <row r="9813" spans="1:1" x14ac:dyDescent="0.25">
      <c r="A9813" s="389"/>
    </row>
    <row r="9823" spans="1:1" x14ac:dyDescent="0.25">
      <c r="A9823" s="389"/>
    </row>
    <row r="9833" spans="1:1" x14ac:dyDescent="0.25">
      <c r="A9833" s="389"/>
    </row>
    <row r="9843" spans="1:1" x14ac:dyDescent="0.25">
      <c r="A9843" s="389"/>
    </row>
    <row r="9853" spans="1:1" x14ac:dyDescent="0.25">
      <c r="A9853" s="389"/>
    </row>
    <row r="9863" spans="1:1" x14ac:dyDescent="0.25">
      <c r="A9863" s="389"/>
    </row>
    <row r="9873" spans="1:1" x14ac:dyDescent="0.25">
      <c r="A9873" s="389"/>
    </row>
    <row r="9883" spans="1:1" x14ac:dyDescent="0.25">
      <c r="A9883" s="389"/>
    </row>
    <row r="9893" spans="1:1" x14ac:dyDescent="0.25">
      <c r="A9893" s="389"/>
    </row>
    <row r="9903" spans="1:1" x14ac:dyDescent="0.25">
      <c r="A9903" s="389"/>
    </row>
    <row r="9913" spans="1:1" x14ac:dyDescent="0.25">
      <c r="A9913" s="389"/>
    </row>
    <row r="9923" spans="1:1" x14ac:dyDescent="0.25">
      <c r="A9923" s="389"/>
    </row>
    <row r="9933" spans="1:1" x14ac:dyDescent="0.25">
      <c r="A9933" s="389"/>
    </row>
    <row r="9943" spans="1:1" x14ac:dyDescent="0.25">
      <c r="A9943" s="389"/>
    </row>
    <row r="9953" spans="1:1" x14ac:dyDescent="0.25">
      <c r="A9953" s="389"/>
    </row>
    <row r="9963" spans="1:1" x14ac:dyDescent="0.25">
      <c r="A9963" s="389"/>
    </row>
    <row r="9973" spans="1:1" x14ac:dyDescent="0.25">
      <c r="A9973" s="389"/>
    </row>
    <row r="9983" spans="1:1" x14ac:dyDescent="0.25">
      <c r="A9983" s="389"/>
    </row>
    <row r="9993" spans="1:1" x14ac:dyDescent="0.25">
      <c r="A9993" s="389"/>
    </row>
    <row r="10003" spans="1:1" x14ac:dyDescent="0.25">
      <c r="A10003" s="389"/>
    </row>
    <row r="10013" spans="1:1" x14ac:dyDescent="0.25">
      <c r="A10013" s="389"/>
    </row>
    <row r="10023" spans="1:1" x14ac:dyDescent="0.25">
      <c r="A10023" s="389"/>
    </row>
    <row r="10033" spans="1:1" x14ac:dyDescent="0.25">
      <c r="A10033" s="389"/>
    </row>
    <row r="10043" spans="1:1" x14ac:dyDescent="0.25">
      <c r="A10043" s="389"/>
    </row>
    <row r="10053" spans="1:1" x14ac:dyDescent="0.25">
      <c r="A10053" s="389"/>
    </row>
    <row r="10063" spans="1:1" x14ac:dyDescent="0.25">
      <c r="A10063" s="389"/>
    </row>
    <row r="10073" spans="1:1" x14ac:dyDescent="0.25">
      <c r="A10073" s="389"/>
    </row>
    <row r="10083" spans="1:1" x14ac:dyDescent="0.25">
      <c r="A10083" s="389"/>
    </row>
    <row r="10093" spans="1:1" x14ac:dyDescent="0.25">
      <c r="A10093" s="389"/>
    </row>
    <row r="10103" spans="1:1" x14ac:dyDescent="0.25">
      <c r="A10103" s="389"/>
    </row>
    <row r="10113" spans="1:1" x14ac:dyDescent="0.25">
      <c r="A10113" s="389"/>
    </row>
    <row r="10123" spans="1:1" x14ac:dyDescent="0.25">
      <c r="A10123" s="389"/>
    </row>
    <row r="10582" spans="5:5" x14ac:dyDescent="0.25">
      <c r="E10582" s="393"/>
    </row>
    <row r="10583" spans="5:5" x14ac:dyDescent="0.25">
      <c r="E10583" s="393"/>
    </row>
    <row r="10584" spans="5:5" x14ac:dyDescent="0.25">
      <c r="E10584" s="393"/>
    </row>
    <row r="10610" spans="5:5" x14ac:dyDescent="0.25">
      <c r="E10610" s="393"/>
    </row>
    <row r="10611" spans="5:5" x14ac:dyDescent="0.25">
      <c r="E10611" s="393"/>
    </row>
    <row r="10612" spans="5:5" x14ac:dyDescent="0.25">
      <c r="E10612" s="393"/>
    </row>
    <row r="11386" spans="1:1" x14ac:dyDescent="0.25">
      <c r="A11386" s="389"/>
    </row>
    <row r="11458" spans="1:1" x14ac:dyDescent="0.25">
      <c r="A11458" s="391"/>
    </row>
    <row r="11461" spans="1:1" x14ac:dyDescent="0.25">
      <c r="A11461" s="391"/>
    </row>
    <row r="11473" spans="1:1" x14ac:dyDescent="0.25">
      <c r="A11473" s="391"/>
    </row>
    <row r="11476" spans="1:1" x14ac:dyDescent="0.25">
      <c r="A11476" s="391"/>
    </row>
    <row r="11479" spans="1:1" x14ac:dyDescent="0.25">
      <c r="A11479" s="391"/>
    </row>
    <row r="11482" spans="1:1" x14ac:dyDescent="0.25">
      <c r="A11482" s="391"/>
    </row>
    <row r="11485" spans="1:1" x14ac:dyDescent="0.25">
      <c r="A11485" s="391"/>
    </row>
    <row r="11488" spans="1:1" x14ac:dyDescent="0.25">
      <c r="A11488" s="391"/>
    </row>
    <row r="11491" spans="1:1" x14ac:dyDescent="0.25">
      <c r="A11491" s="391"/>
    </row>
    <row r="11494" spans="1:1" x14ac:dyDescent="0.25">
      <c r="A11494" s="391"/>
    </row>
    <row r="11497" spans="1:1" x14ac:dyDescent="0.25">
      <c r="A11497" s="391"/>
    </row>
    <row r="11500" spans="1:1" x14ac:dyDescent="0.25">
      <c r="A11500" s="391"/>
    </row>
    <row r="11503" spans="1:1" x14ac:dyDescent="0.25">
      <c r="A11503" s="389"/>
    </row>
    <row r="11506" spans="1:1" x14ac:dyDescent="0.25">
      <c r="A11506" s="391"/>
    </row>
    <row r="11509" spans="1:1" x14ac:dyDescent="0.25">
      <c r="A11509" s="391"/>
    </row>
    <row r="11512" spans="1:1" x14ac:dyDescent="0.25">
      <c r="A11512" s="391"/>
    </row>
    <row r="11515" spans="1:1" x14ac:dyDescent="0.25">
      <c r="A11515" s="391"/>
    </row>
    <row r="11518" spans="1:1" x14ac:dyDescent="0.25">
      <c r="A11518" s="391"/>
    </row>
    <row r="11521" spans="1:1" x14ac:dyDescent="0.25">
      <c r="A11521" s="391"/>
    </row>
    <row r="11524" spans="1:1" x14ac:dyDescent="0.25">
      <c r="A11524" s="391"/>
    </row>
    <row r="11527" spans="1:1" x14ac:dyDescent="0.25">
      <c r="A11527" s="391"/>
    </row>
    <row r="11569" spans="1:1" x14ac:dyDescent="0.25">
      <c r="A11569" s="389"/>
    </row>
    <row r="11641" spans="1:1" x14ac:dyDescent="0.25">
      <c r="A11641" s="391"/>
    </row>
    <row r="11644" spans="1:1" x14ac:dyDescent="0.25">
      <c r="A11644" s="391"/>
    </row>
    <row r="11656" spans="1:1" x14ac:dyDescent="0.25">
      <c r="A11656" s="391"/>
    </row>
    <row r="11659" spans="1:1" x14ac:dyDescent="0.25">
      <c r="A11659" s="391"/>
    </row>
    <row r="11662" spans="1:1" x14ac:dyDescent="0.25">
      <c r="A11662" s="391"/>
    </row>
    <row r="11665" spans="1:1" x14ac:dyDescent="0.25">
      <c r="A11665" s="391"/>
    </row>
    <row r="11668" spans="1:1" x14ac:dyDescent="0.25">
      <c r="A11668" s="391"/>
    </row>
    <row r="11671" spans="1:1" x14ac:dyDescent="0.25">
      <c r="A11671" s="391"/>
    </row>
    <row r="11674" spans="1:1" x14ac:dyDescent="0.25">
      <c r="A11674" s="391"/>
    </row>
    <row r="11677" spans="1:1" x14ac:dyDescent="0.25">
      <c r="A11677" s="391"/>
    </row>
    <row r="11680" spans="1:1" x14ac:dyDescent="0.25">
      <c r="A11680" s="391"/>
    </row>
    <row r="11683" spans="1:1" x14ac:dyDescent="0.25">
      <c r="A11683" s="391"/>
    </row>
    <row r="11686" spans="1:1" x14ac:dyDescent="0.25">
      <c r="A11686" s="389"/>
    </row>
    <row r="11689" spans="1:1" x14ac:dyDescent="0.25">
      <c r="A11689" s="391"/>
    </row>
    <row r="11692" spans="1:1" x14ac:dyDescent="0.25">
      <c r="A11692" s="391"/>
    </row>
    <row r="11695" spans="1:1" x14ac:dyDescent="0.25">
      <c r="A11695" s="391"/>
    </row>
    <row r="11698" spans="1:1" x14ac:dyDescent="0.25">
      <c r="A11698" s="391"/>
    </row>
    <row r="11701" spans="1:1" x14ac:dyDescent="0.25">
      <c r="A11701" s="391"/>
    </row>
    <row r="11704" spans="1:1" x14ac:dyDescent="0.25">
      <c r="A11704" s="391"/>
    </row>
    <row r="11707" spans="1:1" x14ac:dyDescent="0.25">
      <c r="A11707" s="391"/>
    </row>
    <row r="11710" spans="1:1" x14ac:dyDescent="0.25">
      <c r="A11710" s="391"/>
    </row>
    <row r="11812" spans="1:1" x14ac:dyDescent="0.25">
      <c r="A11812" s="389"/>
    </row>
    <row r="11822" spans="1:1" x14ac:dyDescent="0.25">
      <c r="A11822" s="389"/>
    </row>
    <row r="11832" spans="1:1" x14ac:dyDescent="0.25">
      <c r="A11832" s="389"/>
    </row>
    <row r="11842" spans="1:1" x14ac:dyDescent="0.25">
      <c r="A11842" s="389"/>
    </row>
    <row r="11852" spans="1:1" x14ac:dyDescent="0.25">
      <c r="A11852" s="389"/>
    </row>
    <row r="11862" spans="1:1" x14ac:dyDescent="0.25">
      <c r="A11862" s="389"/>
    </row>
    <row r="11872" spans="1:1" x14ac:dyDescent="0.25">
      <c r="A11872" s="389"/>
    </row>
    <row r="11882" spans="1:1" x14ac:dyDescent="0.25">
      <c r="A11882" s="389"/>
    </row>
    <row r="11892" spans="1:1" x14ac:dyDescent="0.25">
      <c r="A11892" s="389"/>
    </row>
    <row r="11902" spans="1:1" x14ac:dyDescent="0.25">
      <c r="A11902" s="389"/>
    </row>
    <row r="11912" spans="1:1" x14ac:dyDescent="0.25">
      <c r="A11912" s="389"/>
    </row>
    <row r="11922" spans="1:1" x14ac:dyDescent="0.25">
      <c r="A11922" s="389"/>
    </row>
    <row r="11932" spans="1:1" x14ac:dyDescent="0.25">
      <c r="A11932" s="389"/>
    </row>
    <row r="11942" spans="1:1" x14ac:dyDescent="0.25">
      <c r="A11942" s="389"/>
    </row>
    <row r="11952" spans="1:1" x14ac:dyDescent="0.25">
      <c r="A11952" s="389"/>
    </row>
    <row r="11962" spans="1:1" x14ac:dyDescent="0.25">
      <c r="A11962" s="389"/>
    </row>
    <row r="11972" spans="1:1" x14ac:dyDescent="0.25">
      <c r="A11972" s="389"/>
    </row>
    <row r="11982" spans="1:1" x14ac:dyDescent="0.25">
      <c r="A11982" s="389"/>
    </row>
    <row r="11992" spans="1:1" x14ac:dyDescent="0.25">
      <c r="A11992" s="389"/>
    </row>
    <row r="12002" spans="1:1" x14ac:dyDescent="0.25">
      <c r="A12002" s="389"/>
    </row>
    <row r="12012" spans="1:1" x14ac:dyDescent="0.25">
      <c r="A12012" s="389"/>
    </row>
    <row r="12022" spans="1:4" x14ac:dyDescent="0.25">
      <c r="A12022" s="389"/>
    </row>
    <row r="12025" spans="1:4" x14ac:dyDescent="0.25">
      <c r="D12025" s="389"/>
    </row>
    <row r="12032" spans="1:4" x14ac:dyDescent="0.25">
      <c r="A12032" s="389"/>
    </row>
    <row r="12042" spans="1:1" x14ac:dyDescent="0.25">
      <c r="A12042" s="389"/>
    </row>
    <row r="12052" spans="1:4" x14ac:dyDescent="0.25">
      <c r="A12052" s="389"/>
    </row>
    <row r="12053" spans="1:4" x14ac:dyDescent="0.25">
      <c r="D12053" s="389"/>
    </row>
    <row r="12062" spans="1:4" x14ac:dyDescent="0.25">
      <c r="A12062" s="389"/>
    </row>
    <row r="12072" spans="1:1" x14ac:dyDescent="0.25">
      <c r="A12072" s="389"/>
    </row>
    <row r="12082" spans="1:1" x14ac:dyDescent="0.25">
      <c r="A12082" s="389"/>
    </row>
    <row r="12092" spans="1:1" x14ac:dyDescent="0.25">
      <c r="A12092" s="389"/>
    </row>
    <row r="12102" spans="1:1" x14ac:dyDescent="0.25">
      <c r="A12102" s="389"/>
    </row>
    <row r="12112" spans="1:1" x14ac:dyDescent="0.25">
      <c r="A12112" s="389"/>
    </row>
    <row r="12122" spans="1:1" x14ac:dyDescent="0.25">
      <c r="A12122" s="389"/>
    </row>
    <row r="12132" spans="1:1" x14ac:dyDescent="0.25">
      <c r="A12132" s="389"/>
    </row>
    <row r="12142" spans="1:1" x14ac:dyDescent="0.25">
      <c r="A12142" s="389"/>
    </row>
    <row r="12152" spans="1:1" x14ac:dyDescent="0.25">
      <c r="A12152" s="389"/>
    </row>
    <row r="12162" spans="1:1" x14ac:dyDescent="0.25">
      <c r="A12162" s="389"/>
    </row>
    <row r="12172" spans="1:1" x14ac:dyDescent="0.25">
      <c r="A12172" s="389"/>
    </row>
    <row r="12182" spans="1:1" x14ac:dyDescent="0.25">
      <c r="A12182" s="389"/>
    </row>
    <row r="12913" spans="1:1" x14ac:dyDescent="0.25">
      <c r="A12913" s="389"/>
    </row>
    <row r="12923" spans="1:1" x14ac:dyDescent="0.25">
      <c r="A12923" s="389"/>
    </row>
    <row r="12933" spans="1:1" x14ac:dyDescent="0.25">
      <c r="A12933" s="389"/>
    </row>
    <row r="12943" spans="1:1" x14ac:dyDescent="0.25">
      <c r="A12943" s="389"/>
    </row>
    <row r="12953" spans="1:1" x14ac:dyDescent="0.25">
      <c r="A12953" s="389"/>
    </row>
    <row r="12963" spans="1:1" x14ac:dyDescent="0.25">
      <c r="A12963" s="389"/>
    </row>
    <row r="12973" spans="1:1" x14ac:dyDescent="0.25">
      <c r="A12973" s="389"/>
    </row>
    <row r="12983" spans="1:1" x14ac:dyDescent="0.25">
      <c r="A12983" s="389"/>
    </row>
    <row r="12993" spans="1:1" x14ac:dyDescent="0.25">
      <c r="A12993" s="389"/>
    </row>
    <row r="13003" spans="1:1" x14ac:dyDescent="0.25">
      <c r="A13003" s="389"/>
    </row>
    <row r="13013" spans="1:1" x14ac:dyDescent="0.25">
      <c r="A13013" s="389"/>
    </row>
    <row r="13023" spans="1:1" x14ac:dyDescent="0.25">
      <c r="A13023" s="389"/>
    </row>
    <row r="13033" spans="1:1" x14ac:dyDescent="0.25">
      <c r="A13033" s="389"/>
    </row>
    <row r="13043" spans="1:1" x14ac:dyDescent="0.25">
      <c r="A13043" s="389"/>
    </row>
    <row r="13053" spans="1:1" x14ac:dyDescent="0.25">
      <c r="A13053" s="389"/>
    </row>
    <row r="13063" spans="1:1" x14ac:dyDescent="0.25">
      <c r="A13063" s="389"/>
    </row>
    <row r="13073" spans="1:1" x14ac:dyDescent="0.25">
      <c r="A13073" s="389"/>
    </row>
    <row r="13083" spans="1:1" x14ac:dyDescent="0.25">
      <c r="A13083" s="389"/>
    </row>
    <row r="13093" spans="1:1" x14ac:dyDescent="0.25">
      <c r="A13093" s="389"/>
    </row>
    <row r="13103" spans="1:1" x14ac:dyDescent="0.25">
      <c r="A13103" s="389"/>
    </row>
    <row r="13113" spans="1:1" x14ac:dyDescent="0.25">
      <c r="A13113" s="389"/>
    </row>
    <row r="13123" spans="1:1" x14ac:dyDescent="0.25">
      <c r="A13123" s="389"/>
    </row>
    <row r="13133" spans="1:1" x14ac:dyDescent="0.25">
      <c r="A13133" s="389"/>
    </row>
    <row r="13143" spans="1:1" x14ac:dyDescent="0.25">
      <c r="A13143" s="389"/>
    </row>
    <row r="13153" spans="1:1" x14ac:dyDescent="0.25">
      <c r="A13153" s="389"/>
    </row>
    <row r="13163" spans="1:1" x14ac:dyDescent="0.25">
      <c r="A13163" s="389"/>
    </row>
    <row r="13173" spans="1:1" x14ac:dyDescent="0.25">
      <c r="A13173" s="389"/>
    </row>
    <row r="13183" spans="1:1" x14ac:dyDescent="0.25">
      <c r="A13183" s="389"/>
    </row>
    <row r="13193" spans="1:1" x14ac:dyDescent="0.25">
      <c r="A13193" s="389"/>
    </row>
    <row r="13203" spans="1:1" x14ac:dyDescent="0.25">
      <c r="A13203" s="389"/>
    </row>
    <row r="13213" spans="1:1" x14ac:dyDescent="0.25">
      <c r="A13213" s="389"/>
    </row>
    <row r="13223" spans="1:1" x14ac:dyDescent="0.25">
      <c r="A13223" s="389"/>
    </row>
    <row r="13233" spans="1:1" x14ac:dyDescent="0.25">
      <c r="A13233" s="389"/>
    </row>
    <row r="13243" spans="1:1" x14ac:dyDescent="0.25">
      <c r="A13243" s="389"/>
    </row>
    <row r="13253" spans="1:1" x14ac:dyDescent="0.25">
      <c r="A13253" s="389"/>
    </row>
    <row r="13263" spans="1:1" x14ac:dyDescent="0.25">
      <c r="A13263" s="389"/>
    </row>
    <row r="13273" spans="1:1" x14ac:dyDescent="0.25">
      <c r="A13273" s="389"/>
    </row>
    <row r="13283" spans="1:1" x14ac:dyDescent="0.25">
      <c r="A13283" s="389"/>
    </row>
    <row r="13293" spans="1:1" x14ac:dyDescent="0.25">
      <c r="A13293" s="389"/>
    </row>
    <row r="13303" spans="1:1" x14ac:dyDescent="0.25">
      <c r="A13303" s="389"/>
    </row>
    <row r="13313" spans="1:1" x14ac:dyDescent="0.25">
      <c r="A13313" s="389"/>
    </row>
    <row r="13323" spans="1:1" x14ac:dyDescent="0.25">
      <c r="A13323" s="389"/>
    </row>
    <row r="13333" spans="1:1" x14ac:dyDescent="0.25">
      <c r="A13333" s="389"/>
    </row>
    <row r="13343" spans="1:1" x14ac:dyDescent="0.25">
      <c r="A13343" s="389"/>
    </row>
    <row r="13353" spans="1:1" x14ac:dyDescent="0.25">
      <c r="A13353" s="389"/>
    </row>
    <row r="13363" spans="1:1" x14ac:dyDescent="0.25">
      <c r="A13363" s="389"/>
    </row>
    <row r="13373" spans="1:1" x14ac:dyDescent="0.25">
      <c r="A13373" s="389"/>
    </row>
    <row r="13383" spans="1:1" x14ac:dyDescent="0.25">
      <c r="A13383" s="389"/>
    </row>
    <row r="13393" spans="1:1" x14ac:dyDescent="0.25">
      <c r="A13393" s="389"/>
    </row>
    <row r="13403" spans="1:1" x14ac:dyDescent="0.25">
      <c r="A13403" s="389"/>
    </row>
    <row r="13413" spans="1:1" x14ac:dyDescent="0.25">
      <c r="A13413" s="389"/>
    </row>
    <row r="13423" spans="1:1" x14ac:dyDescent="0.25">
      <c r="A13423" s="389"/>
    </row>
    <row r="13433" spans="1:1" x14ac:dyDescent="0.25">
      <c r="A13433" s="389"/>
    </row>
    <row r="13443" spans="1:1" x14ac:dyDescent="0.25">
      <c r="A13443" s="389"/>
    </row>
    <row r="13453" spans="1:1" x14ac:dyDescent="0.25">
      <c r="A13453" s="389"/>
    </row>
    <row r="13463" spans="1:1" x14ac:dyDescent="0.25">
      <c r="A13463" s="389"/>
    </row>
    <row r="13473" spans="1:1" x14ac:dyDescent="0.25">
      <c r="A13473" s="389"/>
    </row>
    <row r="13483" spans="1:1" x14ac:dyDescent="0.25">
      <c r="A13483" s="389"/>
    </row>
    <row r="13493" spans="1:1" x14ac:dyDescent="0.25">
      <c r="A13493" s="389"/>
    </row>
    <row r="13503" spans="1:1" x14ac:dyDescent="0.25">
      <c r="A13503" s="389"/>
    </row>
    <row r="13513" spans="1:1" x14ac:dyDescent="0.25">
      <c r="A13513" s="389"/>
    </row>
    <row r="13523" spans="1:1" x14ac:dyDescent="0.25">
      <c r="A13523" s="389"/>
    </row>
    <row r="14319" spans="1:1" x14ac:dyDescent="0.25">
      <c r="A14319" s="398"/>
    </row>
    <row r="14614" spans="7:7" x14ac:dyDescent="0.25">
      <c r="G14614" s="395"/>
    </row>
    <row r="14617" spans="7:7" x14ac:dyDescent="0.25">
      <c r="G14617" s="395"/>
    </row>
    <row r="14620" spans="7:7" x14ac:dyDescent="0.25">
      <c r="G14620" s="395"/>
    </row>
    <row r="14640" spans="7:7" x14ac:dyDescent="0.25">
      <c r="G14640" s="402"/>
    </row>
    <row r="14642" spans="7:7" x14ac:dyDescent="0.25">
      <c r="G14642" s="395"/>
    </row>
    <row r="14645" spans="7:7" x14ac:dyDescent="0.25">
      <c r="G14645" s="395"/>
    </row>
    <row r="14648" spans="7:7" x14ac:dyDescent="0.25">
      <c r="G14648" s="395"/>
    </row>
    <row r="14656" spans="7:7" x14ac:dyDescent="0.25">
      <c r="G14656" s="402"/>
    </row>
    <row r="14668" spans="7:7" x14ac:dyDescent="0.25">
      <c r="G14668" s="402"/>
    </row>
    <row r="14672" spans="7:7" x14ac:dyDescent="0.25">
      <c r="G14672" s="402"/>
    </row>
    <row r="14676" spans="7:7" x14ac:dyDescent="0.25">
      <c r="G14676" s="402"/>
    </row>
    <row r="14680" spans="7:7" x14ac:dyDescent="0.25">
      <c r="G14680" s="402"/>
    </row>
    <row r="14684" spans="7:7" x14ac:dyDescent="0.25">
      <c r="G14684" s="402"/>
    </row>
    <row r="14692" spans="7:7" x14ac:dyDescent="0.25">
      <c r="G14692" s="402"/>
    </row>
    <row r="14700" spans="7:7" x14ac:dyDescent="0.25">
      <c r="G14700" s="402"/>
    </row>
    <row r="14704" spans="7:7" x14ac:dyDescent="0.25">
      <c r="G14704" s="402"/>
    </row>
    <row r="14708" spans="7:7" x14ac:dyDescent="0.25">
      <c r="G14708" s="402"/>
    </row>
    <row r="14712" spans="7:7" x14ac:dyDescent="0.25">
      <c r="G14712" s="402"/>
    </row>
    <row r="14720" spans="7:7" x14ac:dyDescent="0.25">
      <c r="G14720" s="402"/>
    </row>
    <row r="14728" spans="7:7" x14ac:dyDescent="0.25">
      <c r="G14728" s="402"/>
    </row>
    <row r="14732" spans="7:7" x14ac:dyDescent="0.25">
      <c r="G14732" s="402"/>
    </row>
    <row r="14736" spans="7:7" x14ac:dyDescent="0.25">
      <c r="G14736" s="402"/>
    </row>
    <row r="14740" spans="7:7" x14ac:dyDescent="0.25">
      <c r="G14740" s="402"/>
    </row>
    <row r="14748" spans="7:7" x14ac:dyDescent="0.25">
      <c r="G14748" s="402"/>
    </row>
    <row r="14752" spans="7:7" x14ac:dyDescent="0.25">
      <c r="G14752" s="402"/>
    </row>
    <row r="14756" spans="7:7" x14ac:dyDescent="0.25">
      <c r="G14756" s="402"/>
    </row>
    <row r="14760" spans="7:7" x14ac:dyDescent="0.25">
      <c r="G14760" s="402"/>
    </row>
    <row r="14764" spans="7:7" x14ac:dyDescent="0.25">
      <c r="G14764" s="402"/>
    </row>
    <row r="14768" spans="7:7" x14ac:dyDescent="0.25">
      <c r="G14768" s="402"/>
    </row>
    <row r="14770" spans="1:7" x14ac:dyDescent="0.25">
      <c r="A14770" s="389"/>
    </row>
    <row r="14780" spans="1:7" x14ac:dyDescent="0.25">
      <c r="A14780" s="389"/>
      <c r="G14780" s="402"/>
    </row>
    <row r="14784" spans="1:7" x14ac:dyDescent="0.25">
      <c r="G14784" s="402"/>
    </row>
    <row r="14790" spans="1:1" x14ac:dyDescent="0.25">
      <c r="A14790" s="389"/>
    </row>
    <row r="14796" spans="1:1" x14ac:dyDescent="0.25">
      <c r="A14796" s="389"/>
    </row>
    <row r="14798" spans="1:1" x14ac:dyDescent="0.25">
      <c r="A14798" s="389"/>
    </row>
    <row r="14800" spans="1:1" x14ac:dyDescent="0.25">
      <c r="A14800" s="389"/>
    </row>
    <row r="14806" spans="1:1" x14ac:dyDescent="0.25">
      <c r="A14806" s="389"/>
    </row>
    <row r="14808" spans="1:1" x14ac:dyDescent="0.25">
      <c r="A14808" s="389"/>
    </row>
    <row r="14810" spans="1:1" x14ac:dyDescent="0.25">
      <c r="A14810" s="389"/>
    </row>
    <row r="14816" spans="1:1" x14ac:dyDescent="0.25">
      <c r="A14816" s="389"/>
    </row>
    <row r="14818" spans="1:1" x14ac:dyDescent="0.25">
      <c r="A14818" s="389"/>
    </row>
    <row r="14820" spans="1:1" x14ac:dyDescent="0.25">
      <c r="A14820" s="389"/>
    </row>
    <row r="14826" spans="1:1" x14ac:dyDescent="0.25">
      <c r="A14826" s="389"/>
    </row>
    <row r="14828" spans="1:1" x14ac:dyDescent="0.25">
      <c r="A14828" s="389"/>
    </row>
    <row r="14830" spans="1:1" x14ac:dyDescent="0.25">
      <c r="A14830" s="389"/>
    </row>
    <row r="14836" spans="1:1" x14ac:dyDescent="0.25">
      <c r="A14836" s="389"/>
    </row>
    <row r="14838" spans="1:1" x14ac:dyDescent="0.25">
      <c r="A14838" s="389"/>
    </row>
    <row r="14839" spans="1:1" x14ac:dyDescent="0.25">
      <c r="A14839" s="389"/>
    </row>
    <row r="14840" spans="1:1" x14ac:dyDescent="0.25">
      <c r="A14840" s="389"/>
    </row>
    <row r="14846" spans="1:1" x14ac:dyDescent="0.25">
      <c r="A14846" s="389"/>
    </row>
    <row r="14848" spans="1:1" x14ac:dyDescent="0.25">
      <c r="A14848" s="389"/>
    </row>
    <row r="14850" spans="1:1" x14ac:dyDescent="0.25">
      <c r="A14850" s="389"/>
    </row>
    <row r="14856" spans="1:1" x14ac:dyDescent="0.25">
      <c r="A14856" s="389"/>
    </row>
    <row r="14858" spans="1:1" x14ac:dyDescent="0.25">
      <c r="A14858" s="389"/>
    </row>
    <row r="14859" spans="1:1" x14ac:dyDescent="0.25">
      <c r="A14859" s="389"/>
    </row>
    <row r="14860" spans="1:1" x14ac:dyDescent="0.25">
      <c r="A14860" s="389"/>
    </row>
    <row r="14866" spans="1:1" x14ac:dyDescent="0.25">
      <c r="A14866" s="389"/>
    </row>
    <row r="14868" spans="1:1" x14ac:dyDescent="0.25">
      <c r="A14868" s="389"/>
    </row>
    <row r="14870" spans="1:1" x14ac:dyDescent="0.25">
      <c r="A14870" s="389"/>
    </row>
    <row r="14876" spans="1:1" x14ac:dyDescent="0.25">
      <c r="A14876" s="389"/>
    </row>
    <row r="14878" spans="1:1" x14ac:dyDescent="0.25">
      <c r="A14878" s="389"/>
    </row>
    <row r="14880" spans="1:1" x14ac:dyDescent="0.25">
      <c r="A14880" s="389"/>
    </row>
    <row r="14886" spans="1:1" x14ac:dyDescent="0.25">
      <c r="A14886" s="389"/>
    </row>
    <row r="14888" spans="1:1" x14ac:dyDescent="0.25">
      <c r="A14888" s="389"/>
    </row>
    <row r="14890" spans="1:1" x14ac:dyDescent="0.25">
      <c r="A14890" s="389"/>
    </row>
    <row r="14896" spans="1:1" x14ac:dyDescent="0.25">
      <c r="A14896" s="389"/>
    </row>
    <row r="14898" spans="1:1" x14ac:dyDescent="0.25">
      <c r="A14898" s="389"/>
    </row>
    <row r="14900" spans="1:1" x14ac:dyDescent="0.25">
      <c r="A14900" s="389"/>
    </row>
    <row r="14906" spans="1:1" x14ac:dyDescent="0.25">
      <c r="A14906" s="389"/>
    </row>
    <row r="14908" spans="1:1" x14ac:dyDescent="0.25">
      <c r="A14908" s="389"/>
    </row>
    <row r="14910" spans="1:1" x14ac:dyDescent="0.25">
      <c r="A14910" s="389"/>
    </row>
    <row r="14916" spans="1:1" x14ac:dyDescent="0.25">
      <c r="A14916" s="389"/>
    </row>
    <row r="14918" spans="1:1" x14ac:dyDescent="0.25">
      <c r="A14918" s="389"/>
    </row>
    <row r="14920" spans="1:1" x14ac:dyDescent="0.25">
      <c r="A14920" s="389"/>
    </row>
    <row r="14926" spans="1:1" x14ac:dyDescent="0.25">
      <c r="A14926" s="389"/>
    </row>
    <row r="14928" spans="1:1" x14ac:dyDescent="0.25">
      <c r="A14928" s="389"/>
    </row>
    <row r="14930" spans="1:1" x14ac:dyDescent="0.25">
      <c r="A14930" s="389"/>
    </row>
    <row r="14931" spans="1:1" x14ac:dyDescent="0.25">
      <c r="A14931" s="389"/>
    </row>
    <row r="14932" spans="1:1" x14ac:dyDescent="0.25">
      <c r="A14932" s="389"/>
    </row>
    <row r="14936" spans="1:1" x14ac:dyDescent="0.25">
      <c r="A14936" s="389"/>
    </row>
    <row r="14938" spans="1:1" x14ac:dyDescent="0.25">
      <c r="A14938" s="389"/>
    </row>
    <row r="14940" spans="1:1" x14ac:dyDescent="0.25">
      <c r="A14940" s="389"/>
    </row>
    <row r="14944" spans="1:1" x14ac:dyDescent="0.25">
      <c r="A14944" s="389"/>
    </row>
    <row r="14946" spans="1:1" x14ac:dyDescent="0.25">
      <c r="A14946" s="389"/>
    </row>
    <row r="14948" spans="1:1" x14ac:dyDescent="0.25">
      <c r="A14948" s="389"/>
    </row>
    <row r="14950" spans="1:1" x14ac:dyDescent="0.25">
      <c r="A14950" s="389"/>
    </row>
    <row r="14956" spans="1:1" x14ac:dyDescent="0.25">
      <c r="A14956" s="389"/>
    </row>
    <row r="14958" spans="1:1" x14ac:dyDescent="0.25">
      <c r="A14958" s="389"/>
    </row>
    <row r="14960" spans="1:1" x14ac:dyDescent="0.25">
      <c r="A14960" s="389"/>
    </row>
    <row r="14964" spans="1:1" x14ac:dyDescent="0.25">
      <c r="A14964" s="389"/>
    </row>
    <row r="14966" spans="1:1" x14ac:dyDescent="0.25">
      <c r="A14966" s="389"/>
    </row>
    <row r="14968" spans="1:1" x14ac:dyDescent="0.25">
      <c r="A14968" s="389"/>
    </row>
    <row r="14970" spans="1:1" x14ac:dyDescent="0.25">
      <c r="A14970" s="389"/>
    </row>
    <row r="14976" spans="1:1" x14ac:dyDescent="0.25">
      <c r="A14976" s="389"/>
    </row>
    <row r="14978" spans="1:1" x14ac:dyDescent="0.25">
      <c r="A14978" s="389"/>
    </row>
    <row r="14980" spans="1:1" x14ac:dyDescent="0.25">
      <c r="A14980" s="389"/>
    </row>
    <row r="14986" spans="1:1" x14ac:dyDescent="0.25">
      <c r="A14986" s="389"/>
    </row>
    <row r="14988" spans="1:1" x14ac:dyDescent="0.25">
      <c r="A14988" s="389"/>
    </row>
    <row r="14990" spans="1:1" x14ac:dyDescent="0.25">
      <c r="A14990" s="389"/>
    </row>
    <row r="14991" spans="1:1" x14ac:dyDescent="0.25">
      <c r="A14991" s="391"/>
    </row>
    <row r="14994" spans="1:1" x14ac:dyDescent="0.25">
      <c r="A14994" s="391"/>
    </row>
    <row r="14996" spans="1:1" x14ac:dyDescent="0.25">
      <c r="A14996" s="389"/>
    </row>
    <row r="14997" spans="1:1" x14ac:dyDescent="0.25">
      <c r="A14997" s="391"/>
    </row>
    <row r="14998" spans="1:1" x14ac:dyDescent="0.25">
      <c r="A14998" s="389"/>
    </row>
    <row r="15000" spans="1:1" x14ac:dyDescent="0.25">
      <c r="A15000" s="389"/>
    </row>
    <row r="15003" spans="1:1" x14ac:dyDescent="0.25">
      <c r="A15003" s="391"/>
    </row>
    <row r="15006" spans="1:1" x14ac:dyDescent="0.25">
      <c r="A15006" s="391"/>
    </row>
    <row r="15008" spans="1:1" x14ac:dyDescent="0.25">
      <c r="A15008" s="389"/>
    </row>
    <row r="15009" spans="1:1" x14ac:dyDescent="0.25">
      <c r="A15009" s="391"/>
    </row>
    <row r="15010" spans="1:1" x14ac:dyDescent="0.25">
      <c r="A15010" s="389"/>
    </row>
    <row r="15012" spans="1:1" x14ac:dyDescent="0.25">
      <c r="A15012" s="391"/>
    </row>
    <row r="15016" spans="1:1" x14ac:dyDescent="0.25">
      <c r="A15016" s="389"/>
    </row>
    <row r="15018" spans="1:1" x14ac:dyDescent="0.25">
      <c r="A15018" s="389"/>
    </row>
    <row r="15020" spans="1:1" x14ac:dyDescent="0.25">
      <c r="A15020" s="389"/>
    </row>
    <row r="15026" spans="1:1" x14ac:dyDescent="0.25">
      <c r="A15026" s="389"/>
    </row>
    <row r="15028" spans="1:1" x14ac:dyDescent="0.25">
      <c r="A15028" s="389"/>
    </row>
    <row r="15030" spans="1:1" x14ac:dyDescent="0.25">
      <c r="A15030" s="389"/>
    </row>
    <row r="15036" spans="1:1" x14ac:dyDescent="0.25">
      <c r="A15036" s="389"/>
    </row>
    <row r="15037" spans="1:1" x14ac:dyDescent="0.25">
      <c r="A15037" s="389"/>
    </row>
    <row r="15038" spans="1:1" x14ac:dyDescent="0.25">
      <c r="A15038" s="389"/>
    </row>
    <row r="15040" spans="1:1" x14ac:dyDescent="0.25">
      <c r="A15040" s="389"/>
    </row>
    <row r="15043" spans="1:1" x14ac:dyDescent="0.25">
      <c r="A15043" s="389"/>
    </row>
    <row r="15046" spans="1:1" x14ac:dyDescent="0.25">
      <c r="A15046" s="389"/>
    </row>
    <row r="15048" spans="1:1" x14ac:dyDescent="0.25">
      <c r="A15048" s="389"/>
    </row>
    <row r="15050" spans="1:1" x14ac:dyDescent="0.25">
      <c r="A15050" s="389"/>
    </row>
    <row r="15051" spans="1:1" x14ac:dyDescent="0.25">
      <c r="A15051" s="389"/>
    </row>
    <row r="15056" spans="1:1" x14ac:dyDescent="0.25">
      <c r="A15056" s="389"/>
    </row>
    <row r="15058" spans="1:1" x14ac:dyDescent="0.25">
      <c r="A15058" s="389"/>
    </row>
    <row r="15060" spans="1:1" x14ac:dyDescent="0.25">
      <c r="A15060" s="389"/>
    </row>
    <row r="15063" spans="1:1" x14ac:dyDescent="0.25">
      <c r="A15063" s="391"/>
    </row>
    <row r="15066" spans="1:1" x14ac:dyDescent="0.25">
      <c r="A15066" s="391"/>
    </row>
    <row r="15068" spans="1:1" x14ac:dyDescent="0.25">
      <c r="A15068" s="389"/>
    </row>
    <row r="15069" spans="1:1" x14ac:dyDescent="0.25">
      <c r="A15069" s="391"/>
    </row>
    <row r="15070" spans="1:1" x14ac:dyDescent="0.25">
      <c r="A15070" s="389"/>
    </row>
    <row r="15072" spans="1:1" x14ac:dyDescent="0.25">
      <c r="A15072" s="391"/>
    </row>
    <row r="15075" spans="1:1" x14ac:dyDescent="0.25">
      <c r="A15075" s="391"/>
    </row>
    <row r="15076" spans="1:1" x14ac:dyDescent="0.25">
      <c r="A15076" s="389"/>
    </row>
    <row r="15078" spans="1:1" x14ac:dyDescent="0.25">
      <c r="A15078" s="389"/>
    </row>
    <row r="15080" spans="1:1" x14ac:dyDescent="0.25">
      <c r="A15080" s="389"/>
    </row>
    <row r="15081" spans="1:1" x14ac:dyDescent="0.25">
      <c r="A15081" s="391"/>
    </row>
    <row r="15084" spans="1:1" x14ac:dyDescent="0.25">
      <c r="A15084" s="391"/>
    </row>
    <row r="15086" spans="1:1" x14ac:dyDescent="0.25">
      <c r="A15086" s="389"/>
    </row>
    <row r="15088" spans="1:1" x14ac:dyDescent="0.25">
      <c r="A15088" s="389"/>
    </row>
    <row r="15090" spans="1:1" x14ac:dyDescent="0.25">
      <c r="A15090" s="389"/>
    </row>
    <row r="15096" spans="1:1" x14ac:dyDescent="0.25">
      <c r="A15096" s="389"/>
    </row>
    <row r="15098" spans="1:1" x14ac:dyDescent="0.25">
      <c r="A15098" s="389"/>
    </row>
    <row r="15099" spans="1:1" x14ac:dyDescent="0.25">
      <c r="A15099" s="389"/>
    </row>
    <row r="15100" spans="1:1" x14ac:dyDescent="0.25">
      <c r="A15100" s="389"/>
    </row>
    <row r="15106" spans="1:1" x14ac:dyDescent="0.25">
      <c r="A15106" s="389"/>
    </row>
    <row r="15108" spans="1:1" x14ac:dyDescent="0.25">
      <c r="A15108" s="389"/>
    </row>
    <row r="15110" spans="1:1" x14ac:dyDescent="0.25">
      <c r="A15110" s="389"/>
    </row>
    <row r="15116" spans="1:1" x14ac:dyDescent="0.25">
      <c r="A15116" s="389"/>
    </row>
    <row r="15118" spans="1:1" x14ac:dyDescent="0.25">
      <c r="A15118" s="389"/>
    </row>
    <row r="15120" spans="1:1" x14ac:dyDescent="0.25">
      <c r="A15120" s="389"/>
    </row>
    <row r="15126" spans="1:1" x14ac:dyDescent="0.25">
      <c r="A15126" s="389"/>
    </row>
    <row r="15128" spans="1:1" x14ac:dyDescent="0.25">
      <c r="A15128" s="389"/>
    </row>
    <row r="15130" spans="1:1" x14ac:dyDescent="0.25">
      <c r="A15130" s="389"/>
    </row>
    <row r="15136" spans="1:1" x14ac:dyDescent="0.25">
      <c r="A15136" s="389"/>
    </row>
    <row r="15138" spans="1:1" x14ac:dyDescent="0.25">
      <c r="A15138" s="389"/>
    </row>
    <row r="15140" spans="1:1" x14ac:dyDescent="0.25">
      <c r="A15140" s="389"/>
    </row>
    <row r="15146" spans="1:1" x14ac:dyDescent="0.25">
      <c r="A15146" s="389"/>
    </row>
    <row r="15148" spans="1:1" x14ac:dyDescent="0.25">
      <c r="A15148" s="389"/>
    </row>
    <row r="15150" spans="1:1" x14ac:dyDescent="0.25">
      <c r="A15150" s="389"/>
    </row>
    <row r="15153" spans="1:1" x14ac:dyDescent="0.25">
      <c r="A15153" s="389"/>
    </row>
    <row r="15156" spans="1:1" x14ac:dyDescent="0.25">
      <c r="A15156" s="389"/>
    </row>
    <row r="15158" spans="1:1" x14ac:dyDescent="0.25">
      <c r="A15158" s="389"/>
    </row>
    <row r="15160" spans="1:1" x14ac:dyDescent="0.25">
      <c r="A15160" s="389"/>
    </row>
    <row r="15166" spans="1:1" x14ac:dyDescent="0.25">
      <c r="A15166" s="389"/>
    </row>
    <row r="15168" spans="1:1" x14ac:dyDescent="0.25">
      <c r="A15168" s="389"/>
    </row>
    <row r="15170" spans="1:1" x14ac:dyDescent="0.25">
      <c r="A15170" s="389"/>
    </row>
    <row r="15171" spans="1:1" x14ac:dyDescent="0.25">
      <c r="A15171" s="389"/>
    </row>
    <row r="15176" spans="1:1" x14ac:dyDescent="0.25">
      <c r="A15176" s="389"/>
    </row>
    <row r="15178" spans="1:1" x14ac:dyDescent="0.25">
      <c r="A15178" s="389"/>
    </row>
    <row r="15180" spans="1:1" x14ac:dyDescent="0.25">
      <c r="A15180" s="389"/>
    </row>
    <row r="15186" spans="1:1" x14ac:dyDescent="0.25">
      <c r="A15186" s="389"/>
    </row>
    <row r="15188" spans="1:1" x14ac:dyDescent="0.25">
      <c r="A15188" s="389"/>
    </row>
    <row r="15190" spans="1:1" x14ac:dyDescent="0.25">
      <c r="A15190" s="389"/>
    </row>
    <row r="15196" spans="1:1" x14ac:dyDescent="0.25">
      <c r="A15196" s="389"/>
    </row>
    <row r="15198" spans="1:1" x14ac:dyDescent="0.25">
      <c r="A15198" s="389"/>
    </row>
    <row r="15200" spans="1:1" x14ac:dyDescent="0.25">
      <c r="A15200" s="389"/>
    </row>
    <row r="15206" spans="1:1" x14ac:dyDescent="0.25">
      <c r="A15206" s="389"/>
    </row>
    <row r="15208" spans="1:1" x14ac:dyDescent="0.25">
      <c r="A15208" s="389"/>
    </row>
    <row r="15210" spans="1:1" x14ac:dyDescent="0.25">
      <c r="A15210" s="389"/>
    </row>
    <row r="15216" spans="1:1" x14ac:dyDescent="0.25">
      <c r="A15216" s="389"/>
    </row>
    <row r="15218" spans="1:1" x14ac:dyDescent="0.25">
      <c r="A15218" s="389"/>
    </row>
    <row r="15220" spans="1:1" x14ac:dyDescent="0.25">
      <c r="A15220" s="389"/>
    </row>
    <row r="15225" spans="1:1" x14ac:dyDescent="0.25">
      <c r="A15225" s="389"/>
    </row>
    <row r="15226" spans="1:1" x14ac:dyDescent="0.25">
      <c r="A15226" s="389"/>
    </row>
    <row r="15228" spans="1:1" x14ac:dyDescent="0.25">
      <c r="A15228" s="389"/>
    </row>
    <row r="15230" spans="1:1" x14ac:dyDescent="0.25">
      <c r="A15230" s="389"/>
    </row>
    <row r="15231" spans="1:1" x14ac:dyDescent="0.25">
      <c r="A15231" s="391"/>
    </row>
    <row r="15234" spans="1:1" x14ac:dyDescent="0.25">
      <c r="A15234" s="391"/>
    </row>
    <row r="15236" spans="1:1" x14ac:dyDescent="0.25">
      <c r="A15236" s="389"/>
    </row>
    <row r="15237" spans="1:1" x14ac:dyDescent="0.25">
      <c r="A15237" s="391"/>
    </row>
    <row r="15238" spans="1:1" x14ac:dyDescent="0.25">
      <c r="A15238" s="389"/>
    </row>
    <row r="15240" spans="1:1" x14ac:dyDescent="0.25">
      <c r="A15240" s="389"/>
    </row>
    <row r="15243" spans="1:1" x14ac:dyDescent="0.25">
      <c r="A15243" s="391"/>
    </row>
    <row r="15246" spans="1:1" x14ac:dyDescent="0.25">
      <c r="A15246" s="391"/>
    </row>
    <row r="15248" spans="1:1" x14ac:dyDescent="0.25">
      <c r="A15248" s="389"/>
    </row>
    <row r="15249" spans="1:1" x14ac:dyDescent="0.25">
      <c r="A15249" s="391"/>
    </row>
    <row r="15250" spans="1:1" x14ac:dyDescent="0.25">
      <c r="A15250" s="389"/>
    </row>
    <row r="15252" spans="1:1" x14ac:dyDescent="0.25">
      <c r="A15252" s="391"/>
    </row>
    <row r="15256" spans="1:1" x14ac:dyDescent="0.25">
      <c r="A15256" s="389"/>
    </row>
    <row r="15258" spans="1:1" x14ac:dyDescent="0.25">
      <c r="A15258" s="389"/>
    </row>
    <row r="15260" spans="1:1" x14ac:dyDescent="0.25">
      <c r="A15260" s="389"/>
    </row>
    <row r="15266" spans="1:1" x14ac:dyDescent="0.25">
      <c r="A15266" s="389"/>
    </row>
    <row r="15268" spans="1:1" x14ac:dyDescent="0.25">
      <c r="A15268" s="389"/>
    </row>
    <row r="15270" spans="1:1" x14ac:dyDescent="0.25">
      <c r="A15270" s="389"/>
    </row>
    <row r="15276" spans="1:1" x14ac:dyDescent="0.25">
      <c r="A15276" s="389"/>
    </row>
    <row r="15278" spans="1:1" x14ac:dyDescent="0.25">
      <c r="A15278" s="389"/>
    </row>
    <row r="15280" spans="1:1" x14ac:dyDescent="0.25">
      <c r="A15280" s="389"/>
    </row>
    <row r="15285" spans="1:1" x14ac:dyDescent="0.25">
      <c r="A15285" s="391"/>
    </row>
    <row r="15286" spans="1:1" x14ac:dyDescent="0.25">
      <c r="A15286" s="389"/>
    </row>
    <row r="15288" spans="1:1" x14ac:dyDescent="0.25">
      <c r="A15288" s="389"/>
    </row>
    <row r="15290" spans="1:1" x14ac:dyDescent="0.25">
      <c r="A15290" s="389"/>
    </row>
    <row r="15291" spans="1:1" x14ac:dyDescent="0.25">
      <c r="A15291" s="391"/>
    </row>
    <row r="15294" spans="1:1" x14ac:dyDescent="0.25">
      <c r="A15294" s="391"/>
    </row>
    <row r="15296" spans="1:1" x14ac:dyDescent="0.25">
      <c r="A15296" s="389"/>
    </row>
    <row r="15297" spans="1:1" x14ac:dyDescent="0.25">
      <c r="A15297" s="391"/>
    </row>
    <row r="15298" spans="1:1" x14ac:dyDescent="0.25">
      <c r="A15298" s="389"/>
    </row>
    <row r="15300" spans="1:1" x14ac:dyDescent="0.25">
      <c r="A15300" s="389"/>
    </row>
    <row r="15303" spans="1:1" x14ac:dyDescent="0.25">
      <c r="A15303" s="391"/>
    </row>
    <row r="15306" spans="1:1" x14ac:dyDescent="0.25">
      <c r="A15306" s="391"/>
    </row>
    <row r="15308" spans="1:1" x14ac:dyDescent="0.25">
      <c r="A15308" s="389"/>
    </row>
    <row r="15309" spans="1:1" x14ac:dyDescent="0.25">
      <c r="A15309" s="391"/>
    </row>
    <row r="15310" spans="1:1" x14ac:dyDescent="0.25">
      <c r="A15310" s="389"/>
    </row>
    <row r="15312" spans="1:1" x14ac:dyDescent="0.25">
      <c r="A15312" s="391"/>
    </row>
    <row r="15315" spans="1:1" x14ac:dyDescent="0.25">
      <c r="A15315" s="391"/>
    </row>
    <row r="15316" spans="1:1" x14ac:dyDescent="0.25">
      <c r="A15316" s="389"/>
    </row>
    <row r="15318" spans="1:1" x14ac:dyDescent="0.25">
      <c r="A15318" s="389"/>
    </row>
    <row r="15320" spans="1:1" x14ac:dyDescent="0.25">
      <c r="A15320" s="389"/>
    </row>
    <row r="15321" spans="1:1" x14ac:dyDescent="0.25">
      <c r="A15321" s="391"/>
    </row>
    <row r="15324" spans="1:1" x14ac:dyDescent="0.25">
      <c r="A15324" s="391"/>
    </row>
    <row r="15326" spans="1:1" x14ac:dyDescent="0.25">
      <c r="A15326" s="389"/>
    </row>
    <row r="15328" spans="1:1" x14ac:dyDescent="0.25">
      <c r="A15328" s="389"/>
    </row>
    <row r="15330" spans="1:1" x14ac:dyDescent="0.25">
      <c r="A15330" s="389"/>
    </row>
    <row r="15336" spans="1:1" x14ac:dyDescent="0.25">
      <c r="A15336" s="389"/>
    </row>
    <row r="15338" spans="1:1" x14ac:dyDescent="0.25">
      <c r="A15338" s="389"/>
    </row>
    <row r="15340" spans="1:1" x14ac:dyDescent="0.25">
      <c r="A15340" s="389"/>
    </row>
    <row r="15345" spans="1:1" x14ac:dyDescent="0.25">
      <c r="A15345" s="389"/>
    </row>
    <row r="15346" spans="1:1" x14ac:dyDescent="0.25">
      <c r="A15346" s="389"/>
    </row>
    <row r="15348" spans="1:1" x14ac:dyDescent="0.25">
      <c r="A15348" s="389"/>
    </row>
    <row r="15350" spans="1:1" x14ac:dyDescent="0.25">
      <c r="A15350" s="389"/>
    </row>
    <row r="15356" spans="1:1" x14ac:dyDescent="0.25">
      <c r="A15356" s="389"/>
    </row>
    <row r="15357" spans="1:1" x14ac:dyDescent="0.25">
      <c r="A15357" s="391"/>
    </row>
    <row r="15358" spans="1:1" x14ac:dyDescent="0.25">
      <c r="A15358" s="389"/>
    </row>
    <row r="15360" spans="1:1" x14ac:dyDescent="0.25">
      <c r="A15360" s="389"/>
    </row>
    <row r="15363" spans="1:1" x14ac:dyDescent="0.25">
      <c r="A15363" s="391"/>
    </row>
    <row r="15366" spans="1:1" x14ac:dyDescent="0.25">
      <c r="A15366" s="391"/>
    </row>
    <row r="15368" spans="1:1" x14ac:dyDescent="0.25">
      <c r="A15368" s="389"/>
    </row>
    <row r="15369" spans="1:1" x14ac:dyDescent="0.25">
      <c r="A15369" s="391"/>
    </row>
    <row r="15370" spans="1:1" x14ac:dyDescent="0.25">
      <c r="A15370" s="389"/>
    </row>
    <row r="15372" spans="1:1" x14ac:dyDescent="0.25">
      <c r="A15372" s="391"/>
    </row>
    <row r="15375" spans="1:1" x14ac:dyDescent="0.25">
      <c r="A15375" s="391"/>
    </row>
    <row r="15376" spans="1:1" x14ac:dyDescent="0.25">
      <c r="A15376" s="389"/>
    </row>
    <row r="15378" spans="1:1" x14ac:dyDescent="0.25">
      <c r="A15378" s="389"/>
    </row>
    <row r="15380" spans="1:1" x14ac:dyDescent="0.25">
      <c r="A15380" s="389"/>
    </row>
    <row r="15386" spans="1:1" x14ac:dyDescent="0.25">
      <c r="A15386" s="389"/>
    </row>
    <row r="15388" spans="1:1" x14ac:dyDescent="0.25">
      <c r="A15388" s="389"/>
    </row>
    <row r="15393" spans="1:1" x14ac:dyDescent="0.25">
      <c r="A15393" s="389"/>
    </row>
    <row r="15396" spans="1:1" x14ac:dyDescent="0.25">
      <c r="A15396" s="389"/>
    </row>
    <row r="15398" spans="1:1" x14ac:dyDescent="0.25">
      <c r="A15398" s="389"/>
    </row>
    <row r="15406" spans="1:1" x14ac:dyDescent="0.25">
      <c r="A15406" s="389"/>
    </row>
    <row r="15408" spans="1:1" x14ac:dyDescent="0.25">
      <c r="A15408" s="389"/>
    </row>
    <row r="15419" spans="1:1" x14ac:dyDescent="0.25">
      <c r="A15419" s="389"/>
    </row>
    <row r="15465" spans="1:1" x14ac:dyDescent="0.25">
      <c r="A15465" s="389"/>
    </row>
    <row r="15491" spans="1:1" x14ac:dyDescent="0.25">
      <c r="A15491" s="389"/>
    </row>
    <row r="15525" spans="1:1" x14ac:dyDescent="0.25">
      <c r="A15525" s="391"/>
    </row>
    <row r="15528" spans="1:1" x14ac:dyDescent="0.25">
      <c r="A15528" s="391"/>
    </row>
    <row r="15531" spans="1:1" x14ac:dyDescent="0.25">
      <c r="A15531" s="391"/>
    </row>
    <row r="15534" spans="1:1" x14ac:dyDescent="0.25">
      <c r="A15534" s="391"/>
    </row>
    <row r="15537" spans="1:2" x14ac:dyDescent="0.25">
      <c r="A15537" s="391"/>
    </row>
    <row r="15540" spans="1:2" x14ac:dyDescent="0.25">
      <c r="A15540" s="391"/>
    </row>
    <row r="15543" spans="1:2" x14ac:dyDescent="0.25">
      <c r="A15543" s="391"/>
    </row>
    <row r="15546" spans="1:2" x14ac:dyDescent="0.25">
      <c r="A15546" s="391"/>
    </row>
    <row r="15551" spans="1:2" x14ac:dyDescent="0.25">
      <c r="A15551" s="391"/>
      <c r="B15551" s="393"/>
    </row>
    <row r="15554" spans="1:2" x14ac:dyDescent="0.25">
      <c r="A15554" s="391"/>
      <c r="B15554" s="393"/>
    </row>
    <row r="15557" spans="1:2" x14ac:dyDescent="0.25">
      <c r="A15557" s="391"/>
    </row>
    <row r="15560" spans="1:2" x14ac:dyDescent="0.25">
      <c r="A15560" s="391"/>
    </row>
    <row r="15563" spans="1:2" x14ac:dyDescent="0.25">
      <c r="A15563" s="391"/>
    </row>
    <row r="15566" spans="1:2" x14ac:dyDescent="0.25">
      <c r="A15566" s="391"/>
    </row>
    <row r="15569" spans="1:1" x14ac:dyDescent="0.25">
      <c r="A15569" s="391"/>
    </row>
    <row r="15572" spans="1:1" x14ac:dyDescent="0.25">
      <c r="A15572" s="391"/>
    </row>
    <row r="15585" spans="1:1" x14ac:dyDescent="0.25">
      <c r="A15585" s="389"/>
    </row>
    <row r="15597" spans="1:1" x14ac:dyDescent="0.25">
      <c r="A15597" s="391"/>
    </row>
    <row r="15600" spans="1:1" x14ac:dyDescent="0.25">
      <c r="A15600" s="391"/>
    </row>
    <row r="15603" spans="1:1" x14ac:dyDescent="0.25">
      <c r="A15603" s="391"/>
    </row>
    <row r="15606" spans="1:1" x14ac:dyDescent="0.25">
      <c r="A15606" s="391"/>
    </row>
    <row r="15609" spans="1:1" x14ac:dyDescent="0.25">
      <c r="A15609" s="391"/>
    </row>
    <row r="15611" spans="1:1" x14ac:dyDescent="0.25">
      <c r="A15611" s="389"/>
    </row>
    <row r="15612" spans="1:1" x14ac:dyDescent="0.25">
      <c r="A15612" s="391"/>
    </row>
    <row r="15615" spans="1:1" x14ac:dyDescent="0.25">
      <c r="A15615" s="391"/>
    </row>
    <row r="15618" spans="1:2" x14ac:dyDescent="0.25">
      <c r="A15618" s="391"/>
    </row>
    <row r="15623" spans="1:2" x14ac:dyDescent="0.25">
      <c r="A15623" s="391"/>
      <c r="B15623" s="393"/>
    </row>
    <row r="15626" spans="1:2" x14ac:dyDescent="0.25">
      <c r="A15626" s="391"/>
      <c r="B15626" s="393"/>
    </row>
    <row r="15629" spans="1:2" x14ac:dyDescent="0.25">
      <c r="A15629" s="391"/>
    </row>
    <row r="15632" spans="1:2" x14ac:dyDescent="0.25">
      <c r="A15632" s="391"/>
    </row>
    <row r="15635" spans="1:2" x14ac:dyDescent="0.25">
      <c r="A15635" s="391"/>
      <c r="B15635" s="393"/>
    </row>
    <row r="15638" spans="1:2" x14ac:dyDescent="0.25">
      <c r="A15638" s="391"/>
      <c r="B15638" s="393"/>
    </row>
    <row r="15641" spans="1:2" x14ac:dyDescent="0.25">
      <c r="A15641" s="391"/>
    </row>
    <row r="15644" spans="1:2" x14ac:dyDescent="0.25">
      <c r="A15644" s="391"/>
    </row>
    <row r="15659" spans="1:1" x14ac:dyDescent="0.25">
      <c r="A15659" s="389"/>
    </row>
    <row r="15731" spans="1:1" x14ac:dyDescent="0.25">
      <c r="A15731" s="389"/>
    </row>
    <row r="15791" spans="1:2" x14ac:dyDescent="0.25">
      <c r="A15791" s="391"/>
      <c r="B15791" s="393"/>
    </row>
    <row r="15794" spans="1:2" x14ac:dyDescent="0.25">
      <c r="A15794" s="391"/>
      <c r="B15794" s="393"/>
    </row>
    <row r="15797" spans="1:2" x14ac:dyDescent="0.25">
      <c r="A15797" s="391"/>
    </row>
    <row r="15800" spans="1:2" x14ac:dyDescent="0.25">
      <c r="A15800" s="391"/>
    </row>
    <row r="15803" spans="1:2" x14ac:dyDescent="0.25">
      <c r="A15803" s="391"/>
    </row>
    <row r="15806" spans="1:2" x14ac:dyDescent="0.25">
      <c r="A15806" s="391"/>
    </row>
    <row r="15809" spans="1:1" x14ac:dyDescent="0.25">
      <c r="A15809" s="391"/>
    </row>
    <row r="15812" spans="1:1" x14ac:dyDescent="0.25">
      <c r="A15812" s="391"/>
    </row>
    <row r="15851" spans="1:1" x14ac:dyDescent="0.25">
      <c r="A15851" s="389"/>
    </row>
    <row r="15863" spans="1:2" x14ac:dyDescent="0.25">
      <c r="A15863" s="391"/>
      <c r="B15863" s="393"/>
    </row>
    <row r="15866" spans="1:2" x14ac:dyDescent="0.25">
      <c r="A15866" s="391"/>
      <c r="B15866" s="393"/>
    </row>
    <row r="15869" spans="1:2" x14ac:dyDescent="0.25">
      <c r="A15869" s="391"/>
    </row>
    <row r="15872" spans="1:2" x14ac:dyDescent="0.25">
      <c r="A15872" s="391"/>
    </row>
    <row r="15875" spans="1:2" x14ac:dyDescent="0.25">
      <c r="A15875" s="391"/>
      <c r="B15875" s="393"/>
    </row>
    <row r="15878" spans="1:2" x14ac:dyDescent="0.25">
      <c r="A15878" s="391"/>
      <c r="B15878" s="393"/>
    </row>
    <row r="15881" spans="1:2" x14ac:dyDescent="0.25">
      <c r="A15881" s="391"/>
    </row>
    <row r="15884" spans="1:2" x14ac:dyDescent="0.25">
      <c r="A15884" s="391"/>
    </row>
    <row r="15905" spans="7:7" x14ac:dyDescent="0.25">
      <c r="G15905" s="395"/>
    </row>
    <row r="15908" spans="7:7" x14ac:dyDescent="0.25">
      <c r="G15908" s="395"/>
    </row>
    <row r="15911" spans="7:7" x14ac:dyDescent="0.25">
      <c r="G15911" s="395"/>
    </row>
    <row r="17208" spans="1:1" x14ac:dyDescent="0.25">
      <c r="A17208" s="389"/>
    </row>
    <row r="17247" spans="1:1" x14ac:dyDescent="0.25">
      <c r="A17247" s="398"/>
    </row>
    <row r="17292" spans="1:1" x14ac:dyDescent="0.25">
      <c r="A17292" s="389"/>
    </row>
    <row r="17331" spans="1:1" x14ac:dyDescent="0.25">
      <c r="A17331" s="389"/>
    </row>
    <row r="17436" spans="1:1" x14ac:dyDescent="0.25">
      <c r="A17436" s="389"/>
    </row>
    <row r="17475" spans="1:1" x14ac:dyDescent="0.25">
      <c r="A17475" s="398"/>
    </row>
    <row r="17520" spans="1:1" x14ac:dyDescent="0.25">
      <c r="A17520" s="389"/>
    </row>
    <row r="17559" spans="1:1" x14ac:dyDescent="0.25">
      <c r="A17559" s="389"/>
    </row>
    <row r="21289" spans="1:1" x14ac:dyDescent="0.25">
      <c r="A21289" s="389"/>
    </row>
    <row r="22001" spans="1:1" x14ac:dyDescent="0.25">
      <c r="A22001" s="389"/>
    </row>
    <row r="22043" spans="1:1" x14ac:dyDescent="0.25">
      <c r="A22043" s="389"/>
    </row>
    <row r="22082" spans="1:1" x14ac:dyDescent="0.25">
      <c r="A22082" s="391"/>
    </row>
    <row r="22085" spans="1:1" x14ac:dyDescent="0.25">
      <c r="A22085" s="391"/>
    </row>
    <row r="22097" spans="1:1" x14ac:dyDescent="0.25">
      <c r="A22097" s="389"/>
    </row>
    <row r="22112" spans="1:1" x14ac:dyDescent="0.25">
      <c r="A22112" s="391"/>
    </row>
    <row r="22115" spans="1:1" x14ac:dyDescent="0.25">
      <c r="A22115" s="391"/>
    </row>
    <row r="22118" spans="1:1" x14ac:dyDescent="0.25">
      <c r="A22118" s="391"/>
    </row>
    <row r="22121" spans="1:1" x14ac:dyDescent="0.25">
      <c r="A22121" s="391"/>
    </row>
    <row r="22127" spans="1:1" x14ac:dyDescent="0.25">
      <c r="A22127" s="389"/>
    </row>
    <row r="22169" spans="1:1" x14ac:dyDescent="0.25">
      <c r="A22169" s="389"/>
    </row>
    <row r="22208" spans="1:1" x14ac:dyDescent="0.25">
      <c r="A22208" s="391"/>
    </row>
    <row r="22211" spans="1:1" x14ac:dyDescent="0.25">
      <c r="A22211" s="391"/>
    </row>
    <row r="22223" spans="1:1" x14ac:dyDescent="0.25">
      <c r="A22223" s="389"/>
    </row>
    <row r="22238" spans="1:1" x14ac:dyDescent="0.25">
      <c r="A22238" s="391"/>
    </row>
    <row r="22241" spans="1:1" x14ac:dyDescent="0.25">
      <c r="A22241" s="391"/>
    </row>
    <row r="22244" spans="1:1" x14ac:dyDescent="0.25">
      <c r="A22244" s="391"/>
    </row>
    <row r="22247" spans="1:1" x14ac:dyDescent="0.25">
      <c r="A22247" s="391"/>
    </row>
    <row r="24696" spans="1:1" x14ac:dyDescent="0.25">
      <c r="A24696" s="389"/>
    </row>
    <row r="24722" spans="1:1" x14ac:dyDescent="0.25">
      <c r="A24722" s="389"/>
    </row>
    <row r="24724" spans="1:1" x14ac:dyDescent="0.25">
      <c r="A24724" s="389"/>
    </row>
    <row r="25445" spans="1:1" x14ac:dyDescent="0.25">
      <c r="A25445" s="389"/>
    </row>
    <row r="25471" spans="1:1" x14ac:dyDescent="0.25">
      <c r="A25471" s="389"/>
    </row>
    <row r="25473" spans="1:1" x14ac:dyDescent="0.25">
      <c r="A25473" s="389"/>
    </row>
    <row r="25517" spans="1:1" x14ac:dyDescent="0.25">
      <c r="A25517" s="389"/>
    </row>
    <row r="25543" spans="1:1" x14ac:dyDescent="0.25">
      <c r="A25543" s="389"/>
    </row>
    <row r="25545" spans="1:1" x14ac:dyDescent="0.25">
      <c r="A25545" s="389"/>
    </row>
    <row r="25577" spans="1:2" x14ac:dyDescent="0.25">
      <c r="A25577" s="391"/>
      <c r="B25577" s="393"/>
    </row>
    <row r="25580" spans="1:2" x14ac:dyDescent="0.25">
      <c r="A25580" s="391"/>
      <c r="B25580" s="393"/>
    </row>
    <row r="25583" spans="1:2" x14ac:dyDescent="0.25">
      <c r="A25583" s="391"/>
    </row>
    <row r="25586" spans="1:1" x14ac:dyDescent="0.25">
      <c r="A25586" s="391"/>
    </row>
    <row r="25589" spans="1:1" x14ac:dyDescent="0.25">
      <c r="A25589" s="391"/>
    </row>
    <row r="25592" spans="1:1" x14ac:dyDescent="0.25">
      <c r="A25592" s="391"/>
    </row>
    <row r="25595" spans="1:1" x14ac:dyDescent="0.25">
      <c r="A25595" s="391"/>
    </row>
    <row r="25598" spans="1:1" x14ac:dyDescent="0.25">
      <c r="A25598" s="391"/>
    </row>
    <row r="25603" spans="1:2" x14ac:dyDescent="0.25">
      <c r="A25603" s="391"/>
    </row>
    <row r="25605" spans="1:2" x14ac:dyDescent="0.25">
      <c r="A25605" s="391"/>
      <c r="B25605" s="393"/>
    </row>
    <row r="25606" spans="1:2" x14ac:dyDescent="0.25">
      <c r="A25606" s="391"/>
    </row>
    <row r="25608" spans="1:2" x14ac:dyDescent="0.25">
      <c r="A25608" s="391"/>
      <c r="B25608" s="393"/>
    </row>
    <row r="25609" spans="1:2" x14ac:dyDescent="0.25">
      <c r="A25609" s="391"/>
    </row>
    <row r="25611" spans="1:2" x14ac:dyDescent="0.25">
      <c r="A25611" s="391"/>
    </row>
    <row r="25612" spans="1:2" x14ac:dyDescent="0.25">
      <c r="A25612" s="391"/>
    </row>
    <row r="25614" spans="1:2" x14ac:dyDescent="0.25">
      <c r="A25614" s="391"/>
    </row>
    <row r="25615" spans="1:2" x14ac:dyDescent="0.25">
      <c r="A25615" s="391"/>
    </row>
    <row r="25617" spans="1:1" x14ac:dyDescent="0.25">
      <c r="A25617" s="391"/>
    </row>
    <row r="25618" spans="1:1" x14ac:dyDescent="0.25">
      <c r="A25618" s="391"/>
    </row>
    <row r="25620" spans="1:1" x14ac:dyDescent="0.25">
      <c r="A25620" s="391"/>
    </row>
    <row r="25621" spans="1:1" x14ac:dyDescent="0.25">
      <c r="A25621" s="391"/>
    </row>
    <row r="25623" spans="1:1" x14ac:dyDescent="0.25">
      <c r="A25623" s="391"/>
    </row>
    <row r="25624" spans="1:1" x14ac:dyDescent="0.25">
      <c r="A25624" s="391"/>
    </row>
    <row r="25626" spans="1:1" x14ac:dyDescent="0.25">
      <c r="A25626" s="391"/>
    </row>
    <row r="25637" spans="1:1" x14ac:dyDescent="0.25">
      <c r="A25637" s="389"/>
    </row>
    <row r="25649" spans="1:2" x14ac:dyDescent="0.25">
      <c r="A25649" s="391"/>
      <c r="B25649" s="393"/>
    </row>
    <row r="25652" spans="1:2" x14ac:dyDescent="0.25">
      <c r="A25652" s="391"/>
      <c r="B25652" s="393"/>
    </row>
    <row r="25655" spans="1:2" x14ac:dyDescent="0.25">
      <c r="A25655" s="391"/>
    </row>
    <row r="25658" spans="1:2" x14ac:dyDescent="0.25">
      <c r="A25658" s="391"/>
    </row>
    <row r="25661" spans="1:2" x14ac:dyDescent="0.25">
      <c r="A25661" s="391"/>
      <c r="B25661" s="393"/>
    </row>
    <row r="25663" spans="1:2" x14ac:dyDescent="0.25">
      <c r="A25663" s="389"/>
    </row>
    <row r="25664" spans="1:2" x14ac:dyDescent="0.25">
      <c r="A25664" s="391"/>
      <c r="B25664" s="393"/>
    </row>
    <row r="25665" spans="1:2" x14ac:dyDescent="0.25">
      <c r="A25665" s="389"/>
    </row>
    <row r="25667" spans="1:2" x14ac:dyDescent="0.25">
      <c r="A25667" s="391"/>
    </row>
    <row r="25670" spans="1:2" x14ac:dyDescent="0.25">
      <c r="A25670" s="391"/>
    </row>
    <row r="25675" spans="1:2" x14ac:dyDescent="0.25">
      <c r="A25675" s="391"/>
    </row>
    <row r="25677" spans="1:2" x14ac:dyDescent="0.25">
      <c r="A25677" s="391"/>
      <c r="B25677" s="393"/>
    </row>
    <row r="25678" spans="1:2" x14ac:dyDescent="0.25">
      <c r="A25678" s="391"/>
    </row>
    <row r="25680" spans="1:2" x14ac:dyDescent="0.25">
      <c r="A25680" s="391"/>
      <c r="B25680" s="393"/>
    </row>
    <row r="25681" spans="1:2" x14ac:dyDescent="0.25">
      <c r="A25681" s="391"/>
    </row>
    <row r="25683" spans="1:2" x14ac:dyDescent="0.25">
      <c r="A25683" s="391"/>
    </row>
    <row r="25684" spans="1:2" x14ac:dyDescent="0.25">
      <c r="A25684" s="391"/>
    </row>
    <row r="25685" spans="1:2" x14ac:dyDescent="0.25">
      <c r="A25685" s="389"/>
    </row>
    <row r="25686" spans="1:2" x14ac:dyDescent="0.25">
      <c r="A25686" s="391"/>
    </row>
    <row r="25687" spans="1:2" x14ac:dyDescent="0.25">
      <c r="A25687" s="391"/>
    </row>
    <row r="25689" spans="1:2" x14ac:dyDescent="0.25">
      <c r="A25689" s="391"/>
      <c r="B25689" s="393"/>
    </row>
    <row r="25690" spans="1:2" x14ac:dyDescent="0.25">
      <c r="A25690" s="391"/>
    </row>
    <row r="25692" spans="1:2" x14ac:dyDescent="0.25">
      <c r="A25692" s="391"/>
      <c r="B25692" s="393"/>
    </row>
    <row r="25693" spans="1:2" x14ac:dyDescent="0.25">
      <c r="A25693" s="391"/>
    </row>
    <row r="25695" spans="1:2" x14ac:dyDescent="0.25">
      <c r="A25695" s="391"/>
    </row>
    <row r="25696" spans="1:2" x14ac:dyDescent="0.25">
      <c r="A25696" s="391"/>
    </row>
    <row r="25698" spans="1:1" x14ac:dyDescent="0.25">
      <c r="A25698" s="391"/>
    </row>
    <row r="25711" spans="1:1" x14ac:dyDescent="0.25">
      <c r="A25711" s="389"/>
    </row>
    <row r="25713" spans="1:1" x14ac:dyDescent="0.25">
      <c r="A25713" s="389"/>
    </row>
    <row r="25757" spans="1:1" x14ac:dyDescent="0.25">
      <c r="A25757" s="389"/>
    </row>
    <row r="25783" spans="1:1" x14ac:dyDescent="0.25">
      <c r="A25783" s="389"/>
    </row>
    <row r="25785" spans="1:1" x14ac:dyDescent="0.25">
      <c r="A25785" s="389"/>
    </row>
    <row r="25817" spans="1:2" x14ac:dyDescent="0.25">
      <c r="A25817" s="391"/>
      <c r="B25817" s="393"/>
    </row>
    <row r="25820" spans="1:2" x14ac:dyDescent="0.25">
      <c r="A25820" s="391"/>
      <c r="B25820" s="393"/>
    </row>
    <row r="25823" spans="1:2" x14ac:dyDescent="0.25">
      <c r="A25823" s="391"/>
    </row>
    <row r="25826" spans="1:1" x14ac:dyDescent="0.25">
      <c r="A25826" s="391"/>
    </row>
    <row r="25829" spans="1:1" x14ac:dyDescent="0.25">
      <c r="A25829" s="391"/>
    </row>
    <row r="25832" spans="1:1" x14ac:dyDescent="0.25">
      <c r="A25832" s="391"/>
    </row>
    <row r="25835" spans="1:1" x14ac:dyDescent="0.25">
      <c r="A25835" s="391"/>
    </row>
    <row r="25838" spans="1:1" x14ac:dyDescent="0.25">
      <c r="A25838" s="391"/>
    </row>
    <row r="25843" spans="1:2" x14ac:dyDescent="0.25">
      <c r="A25843" s="391"/>
    </row>
    <row r="25845" spans="1:2" x14ac:dyDescent="0.25">
      <c r="A25845" s="391"/>
      <c r="B25845" s="393"/>
    </row>
    <row r="25846" spans="1:2" x14ac:dyDescent="0.25">
      <c r="A25846" s="391"/>
    </row>
    <row r="25848" spans="1:2" x14ac:dyDescent="0.25">
      <c r="A25848" s="391"/>
      <c r="B25848" s="393"/>
    </row>
    <row r="25849" spans="1:2" x14ac:dyDescent="0.25">
      <c r="A25849" s="391"/>
    </row>
    <row r="25851" spans="1:2" x14ac:dyDescent="0.25">
      <c r="A25851" s="391"/>
    </row>
    <row r="25852" spans="1:2" x14ac:dyDescent="0.25">
      <c r="A25852" s="391"/>
    </row>
    <row r="25854" spans="1:2" x14ac:dyDescent="0.25">
      <c r="A25854" s="391"/>
    </row>
    <row r="25855" spans="1:2" x14ac:dyDescent="0.25">
      <c r="A25855" s="391"/>
    </row>
    <row r="25857" spans="1:1" x14ac:dyDescent="0.25">
      <c r="A25857" s="391"/>
    </row>
    <row r="25858" spans="1:1" x14ac:dyDescent="0.25">
      <c r="A25858" s="391"/>
    </row>
    <row r="25860" spans="1:1" x14ac:dyDescent="0.25">
      <c r="A25860" s="391"/>
    </row>
    <row r="25861" spans="1:1" x14ac:dyDescent="0.25">
      <c r="A25861" s="391"/>
    </row>
    <row r="25863" spans="1:1" x14ac:dyDescent="0.25">
      <c r="A25863" s="391"/>
    </row>
    <row r="25864" spans="1:1" x14ac:dyDescent="0.25">
      <c r="A25864" s="391"/>
    </row>
    <row r="25866" spans="1:1" x14ac:dyDescent="0.25">
      <c r="A25866" s="391"/>
    </row>
    <row r="25877" spans="1:1" x14ac:dyDescent="0.25">
      <c r="A25877" s="389"/>
    </row>
    <row r="25889" spans="1:2" x14ac:dyDescent="0.25">
      <c r="A25889" s="391"/>
      <c r="B25889" s="393"/>
    </row>
    <row r="25892" spans="1:2" x14ac:dyDescent="0.25">
      <c r="A25892" s="391"/>
      <c r="B25892" s="393"/>
    </row>
    <row r="25895" spans="1:2" x14ac:dyDescent="0.25">
      <c r="A25895" s="391"/>
    </row>
    <row r="25898" spans="1:2" x14ac:dyDescent="0.25">
      <c r="A25898" s="391"/>
    </row>
    <row r="25901" spans="1:2" x14ac:dyDescent="0.25">
      <c r="A25901" s="391"/>
      <c r="B25901" s="393"/>
    </row>
    <row r="25903" spans="1:2" x14ac:dyDescent="0.25">
      <c r="A25903" s="389"/>
    </row>
    <row r="25904" spans="1:2" x14ac:dyDescent="0.25">
      <c r="A25904" s="391"/>
      <c r="B25904" s="393"/>
    </row>
    <row r="25905" spans="1:2" x14ac:dyDescent="0.25">
      <c r="A25905" s="389"/>
    </row>
    <row r="25907" spans="1:2" x14ac:dyDescent="0.25">
      <c r="A25907" s="391"/>
    </row>
    <row r="25910" spans="1:2" x14ac:dyDescent="0.25">
      <c r="A25910" s="391"/>
    </row>
    <row r="25915" spans="1:2" x14ac:dyDescent="0.25">
      <c r="A25915" s="391"/>
    </row>
    <row r="25917" spans="1:2" x14ac:dyDescent="0.25">
      <c r="A25917" s="391"/>
      <c r="B25917" s="393"/>
    </row>
    <row r="25918" spans="1:2" x14ac:dyDescent="0.25">
      <c r="A25918" s="391"/>
    </row>
    <row r="25920" spans="1:2" x14ac:dyDescent="0.25">
      <c r="A25920" s="391"/>
      <c r="B25920" s="393"/>
    </row>
    <row r="25921" spans="1:7" x14ac:dyDescent="0.25">
      <c r="A25921" s="391"/>
    </row>
    <row r="25923" spans="1:7" x14ac:dyDescent="0.25">
      <c r="A25923" s="391"/>
    </row>
    <row r="25924" spans="1:7" x14ac:dyDescent="0.25">
      <c r="A25924" s="391"/>
    </row>
    <row r="25926" spans="1:7" x14ac:dyDescent="0.25">
      <c r="A25926" s="391"/>
    </row>
    <row r="25927" spans="1:7" x14ac:dyDescent="0.25">
      <c r="A25927" s="391"/>
    </row>
    <row r="25929" spans="1:7" x14ac:dyDescent="0.25">
      <c r="A25929" s="391"/>
      <c r="B25929" s="393"/>
    </row>
    <row r="25930" spans="1:7" x14ac:dyDescent="0.25">
      <c r="A25930" s="391"/>
    </row>
    <row r="25931" spans="1:7" x14ac:dyDescent="0.25">
      <c r="G25931" s="395"/>
    </row>
    <row r="25932" spans="1:7" x14ac:dyDescent="0.25">
      <c r="A25932" s="391"/>
      <c r="B25932" s="393"/>
    </row>
    <row r="25933" spans="1:7" x14ac:dyDescent="0.25">
      <c r="A25933" s="391"/>
    </row>
    <row r="25934" spans="1:7" x14ac:dyDescent="0.25">
      <c r="G25934" s="395"/>
    </row>
    <row r="25935" spans="1:7" x14ac:dyDescent="0.25">
      <c r="A25935" s="391"/>
    </row>
    <row r="25936" spans="1:7" x14ac:dyDescent="0.25">
      <c r="A25936" s="391"/>
    </row>
    <row r="25937" spans="1:7" x14ac:dyDescent="0.25">
      <c r="G25937" s="395"/>
    </row>
    <row r="25938" spans="1:7" x14ac:dyDescent="0.25">
      <c r="A25938" s="391"/>
    </row>
    <row r="25959" spans="7:7" x14ac:dyDescent="0.25">
      <c r="G25959" s="395"/>
    </row>
    <row r="25962" spans="7:7" x14ac:dyDescent="0.25">
      <c r="G25962" s="395"/>
    </row>
    <row r="25965" spans="7:7" x14ac:dyDescent="0.25">
      <c r="G25965" s="395"/>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58407DB-C702-4E46-A6A3-8B3EB1702F1E}">
  <sheetPr codeName="Sheet12"/>
  <dimension ref="E1:T201"/>
  <sheetViews>
    <sheetView workbookViewId="0">
      <selection activeCell="H2" sqref="H2"/>
    </sheetView>
  </sheetViews>
  <sheetFormatPr defaultRowHeight="15" x14ac:dyDescent="0.25"/>
  <cols>
    <col min="5" max="5" width="30.28515625" bestFit="1" customWidth="1"/>
    <col min="6" max="6" width="11.28515625" bestFit="1" customWidth="1"/>
    <col min="8" max="8" width="14.85546875" bestFit="1" customWidth="1"/>
    <col min="9" max="9" width="13.85546875" bestFit="1" customWidth="1"/>
    <col min="10" max="10" width="11.7109375" bestFit="1" customWidth="1"/>
    <col min="11" max="11" width="13.5703125" bestFit="1" customWidth="1"/>
    <col min="13" max="13" width="23.42578125" bestFit="1" customWidth="1"/>
    <col min="14" max="14" width="27.42578125" bestFit="1" customWidth="1"/>
    <col min="15" max="15" width="20.42578125" bestFit="1" customWidth="1"/>
    <col min="17" max="17" width="29.28515625" bestFit="1" customWidth="1"/>
    <col min="18" max="18" width="27.42578125" bestFit="1" customWidth="1"/>
    <col min="19" max="19" width="16.42578125" bestFit="1" customWidth="1"/>
    <col min="20" max="20" width="19.85546875" bestFit="1" customWidth="1"/>
  </cols>
  <sheetData>
    <row r="1" spans="5:20" x14ac:dyDescent="0.25">
      <c r="E1" s="409" t="s">
        <v>1282</v>
      </c>
      <c r="G1" s="468" t="s">
        <v>1074</v>
      </c>
      <c r="H1" s="468" t="s">
        <v>1416</v>
      </c>
      <c r="I1" s="468" t="s">
        <v>1414</v>
      </c>
      <c r="J1" s="468" t="s">
        <v>1413</v>
      </c>
      <c r="K1" s="468" t="s">
        <v>1414</v>
      </c>
      <c r="L1" s="468" t="s">
        <v>1413</v>
      </c>
      <c r="M1" s="468" t="s">
        <v>1420</v>
      </c>
      <c r="N1" s="468" t="s">
        <v>1421</v>
      </c>
      <c r="O1" s="468" t="s">
        <v>1414</v>
      </c>
      <c r="P1" s="468" t="s">
        <v>1413</v>
      </c>
      <c r="Q1" s="468" t="s">
        <v>1420</v>
      </c>
      <c r="R1" s="468" t="s">
        <v>1421</v>
      </c>
      <c r="S1" s="468" t="s">
        <v>1418</v>
      </c>
      <c r="T1" s="468" t="s">
        <v>1419</v>
      </c>
    </row>
    <row r="2" spans="5:20" x14ac:dyDescent="0.25">
      <c r="E2" s="84" t="str">
        <f>IF(ISNUMBER(SEARCH("Guyed",E3))=TRUE,"Guyed","Self Support")</f>
        <v>Self Support</v>
      </c>
      <c r="G2" s="399">
        <v>1</v>
      </c>
      <c r="H2" s="399" t="e">
        <f>ROW(INDEX('TNX File'!A:A,MATCH(LOOKUP(2,1/('TNX File'!A:A&lt;&gt;""),'TNX File'!A:A),'TNX File'!A:A,0)))</f>
        <v>#N/A</v>
      </c>
      <c r="I2" s="399" t="str">
        <f>CONCATENATE("TowerRec=",G2)</f>
        <v>TowerRec=1</v>
      </c>
      <c r="J2" s="406" t="str">
        <f ca="1">IFERROR(ROW(INDEX(INDIRECT("'TNX File'!A$1:A" &amp; $H$2),MATCH('TNX File Parse'!I2,'TNX File'!A:A,0))),"")</f>
        <v/>
      </c>
      <c r="K2" s="399" t="s">
        <v>1415</v>
      </c>
      <c r="L2" s="399" t="str">
        <f ca="1">IFERROR(ROW(INDEX(INDIRECT("'TNX File'!A" &amp; $J2 &amp; ":A" &amp; $H$2),MATCH('TNX File Parse'!K2 &amp; "*",INDIRECT("'TNX File'!A" &amp; $J2 &amp; ":A" &amp; $H$2),0))),"")</f>
        <v/>
      </c>
      <c r="M2" s="399" t="str">
        <f ca="1">IFERROR(INDEX('TNX File'!A:A,L2,1),"")</f>
        <v/>
      </c>
      <c r="N2" s="399" t="str">
        <f ca="1">IFERROR(FIND("=",M2,1),"")</f>
        <v/>
      </c>
      <c r="O2" s="399" t="s">
        <v>1417</v>
      </c>
      <c r="P2" s="399" t="str">
        <f ca="1">IFERROR(ROW(INDEX(INDIRECT("'TNX File'!A" &amp; $J2 &amp; ":A" &amp; $H$2),MATCH('TNX File Parse'!O2 &amp; "*",INDIRECT("'TNX File'!A" &amp; $J2 &amp; ":A" &amp; $H$2),0))),"")</f>
        <v/>
      </c>
      <c r="Q2" s="399" t="str">
        <f ca="1">IFERROR(INDEX('TNX File'!A:A,P2,1),"")</f>
        <v/>
      </c>
      <c r="R2" s="399" t="str">
        <f ca="1">IFERROR(FIND("=",Q2,1),"")</f>
        <v/>
      </c>
      <c r="S2" s="399" t="str">
        <f ca="1">IFERROR(VALUE(RIGHT(M2,LEN(M2)-N2)),"")</f>
        <v/>
      </c>
      <c r="T2" s="399" t="str">
        <f ca="1">IFERROR(S2-VALUE(RIGHT(Q2,LEN(Q2)-R2)),"")</f>
        <v/>
      </c>
    </row>
    <row r="3" spans="5:20" x14ac:dyDescent="0.25">
      <c r="E3" s="399" t="e">
        <f>VLOOKUP("TowerType=" &amp; "*",'TNX File'!A:A,1,0)</f>
        <v>#N/A</v>
      </c>
      <c r="G3" s="399">
        <v>2</v>
      </c>
      <c r="H3" s="399"/>
      <c r="I3" s="399" t="str">
        <f t="shared" ref="I3:I66" si="0">CONCATENATE("TowerRec=",G3)</f>
        <v>TowerRec=2</v>
      </c>
      <c r="J3" s="406" t="str">
        <f ca="1">IFERROR(ROW(INDEX(INDIRECT("'TNX File'!A$1:A" &amp; $H$2),MATCH('TNX File Parse'!I3,'TNX File'!A:A,0))),"")</f>
        <v/>
      </c>
      <c r="K3" s="399" t="s">
        <v>1415</v>
      </c>
      <c r="L3" s="399" t="str">
        <f ca="1">IFERROR(ROW(INDEX(INDIRECT("'TNX File'!A" &amp; $J3 &amp; ":A" &amp; $H$2),MATCH('TNX File Parse'!K3 &amp; "*",INDIRECT("'TNX File'!A" &amp; $J3 &amp; ":A" &amp; $H$2),0))),"")</f>
        <v/>
      </c>
      <c r="M3" s="399" t="str">
        <f ca="1">IFERROR(INDEX('TNX File'!A:A,L3,1),"")</f>
        <v/>
      </c>
      <c r="N3" s="399" t="str">
        <f t="shared" ref="N3:N66" ca="1" si="1">IFERROR(FIND("=",M3,1),"")</f>
        <v/>
      </c>
      <c r="O3" s="399" t="s">
        <v>1417</v>
      </c>
      <c r="P3" s="399" t="str">
        <f ca="1">IFERROR(ROW(INDEX(INDIRECT("'TNX File'!A" &amp; $J3 &amp; ":A" &amp; $H$2),MATCH('TNX File Parse'!O3 &amp; "*",INDIRECT("'TNX File'!A" &amp; $J3 &amp; ":A" &amp; $H$2),0))),"")</f>
        <v/>
      </c>
      <c r="Q3" s="399" t="str">
        <f ca="1">IFERROR(INDEX('TNX File'!A:A,P3,1),"")</f>
        <v/>
      </c>
      <c r="R3" s="399" t="str">
        <f t="shared" ref="R3:R66" ca="1" si="2">IFERROR(FIND("=",Q3,1),"")</f>
        <v/>
      </c>
      <c r="S3" s="399" t="str">
        <f t="shared" ref="S3:S66" ca="1" si="3">IFERROR(VALUE(RIGHT(M3,LEN(M3)-N3)),"")</f>
        <v/>
      </c>
      <c r="T3" s="399" t="str">
        <f t="shared" ref="T3:T66" ca="1" si="4">IFERROR(S3-VALUE(RIGHT(Q3,LEN(Q3)-R3)),"")</f>
        <v/>
      </c>
    </row>
    <row r="4" spans="5:20" x14ac:dyDescent="0.25">
      <c r="G4" s="399">
        <v>3</v>
      </c>
      <c r="H4" s="399"/>
      <c r="I4" s="399" t="str">
        <f t="shared" si="0"/>
        <v>TowerRec=3</v>
      </c>
      <c r="J4" s="406" t="str">
        <f ca="1">IFERROR(ROW(INDEX(INDIRECT("'TNX File'!A$1:A" &amp; $H$2),MATCH('TNX File Parse'!I4,'TNX File'!A:A,0))),"")</f>
        <v/>
      </c>
      <c r="K4" s="399" t="s">
        <v>1415</v>
      </c>
      <c r="L4" s="399" t="str">
        <f ca="1">IFERROR(ROW(INDEX(INDIRECT("'TNX File'!A" &amp; $J4 &amp; ":A" &amp; $H$2),MATCH('TNX File Parse'!K4 &amp; "*",INDIRECT("'TNX File'!A" &amp; $J4 &amp; ":A" &amp; $H$2),0))),"")</f>
        <v/>
      </c>
      <c r="M4" s="399" t="str">
        <f ca="1">IFERROR(INDEX('TNX File'!A:A,L4,1),"")</f>
        <v/>
      </c>
      <c r="N4" s="399" t="str">
        <f t="shared" ca="1" si="1"/>
        <v/>
      </c>
      <c r="O4" s="399" t="s">
        <v>1417</v>
      </c>
      <c r="P4" s="399" t="str">
        <f ca="1">IFERROR(ROW(INDEX(INDIRECT("'TNX File'!A" &amp; $J4 &amp; ":A" &amp; $H$2),MATCH('TNX File Parse'!O4 &amp; "*",INDIRECT("'TNX File'!A" &amp; $J4 &amp; ":A" &amp; $H$2),0))),"")</f>
        <v/>
      </c>
      <c r="Q4" s="399" t="str">
        <f ca="1">IFERROR(INDEX('TNX File'!A:A,P4,1),"")</f>
        <v/>
      </c>
      <c r="R4" s="399" t="str">
        <f t="shared" ca="1" si="2"/>
        <v/>
      </c>
      <c r="S4" s="399" t="str">
        <f t="shared" ca="1" si="3"/>
        <v/>
      </c>
      <c r="T4" s="399" t="str">
        <f t="shared" ca="1" si="4"/>
        <v/>
      </c>
    </row>
    <row r="5" spans="5:20" x14ac:dyDescent="0.25">
      <c r="E5" s="418" t="s">
        <v>1288</v>
      </c>
      <c r="G5" s="399">
        <v>4</v>
      </c>
      <c r="H5" s="399"/>
      <c r="I5" s="399" t="str">
        <f t="shared" si="0"/>
        <v>TowerRec=4</v>
      </c>
      <c r="J5" s="406" t="str">
        <f ca="1">IFERROR(ROW(INDEX(INDIRECT("'TNX File'!A$1:A" &amp; $H$2),MATCH('TNX File Parse'!I5,'TNX File'!A:A,0))),"")</f>
        <v/>
      </c>
      <c r="K5" s="399" t="s">
        <v>1415</v>
      </c>
      <c r="L5" s="399" t="str">
        <f ca="1">IFERROR(ROW(INDEX(INDIRECT("'TNX File'!A" &amp; $J5 &amp; ":A" &amp; $H$2),MATCH('TNX File Parse'!K5 &amp; "*",INDIRECT("'TNX File'!A" &amp; $J5 &amp; ":A" &amp; $H$2),0))),"")</f>
        <v/>
      </c>
      <c r="M5" s="399" t="str">
        <f ca="1">IFERROR(INDEX('TNX File'!A:A,L5,1),"")</f>
        <v/>
      </c>
      <c r="N5" s="399" t="str">
        <f t="shared" ca="1" si="1"/>
        <v/>
      </c>
      <c r="O5" s="399" t="s">
        <v>1417</v>
      </c>
      <c r="P5" s="399" t="str">
        <f ca="1">IFERROR(ROW(INDEX(INDIRECT("'TNX File'!A" &amp; $J5 &amp; ":A" &amp; $H$2),MATCH('TNX File Parse'!O5 &amp; "*",INDIRECT("'TNX File'!A" &amp; $J5 &amp; ":A" &amp; $H$2),0))),"")</f>
        <v/>
      </c>
      <c r="Q5" s="399" t="str">
        <f ca="1">IFERROR(INDEX('TNX File'!A:A,P5,1),"")</f>
        <v/>
      </c>
      <c r="R5" s="399" t="str">
        <f t="shared" ca="1" si="2"/>
        <v/>
      </c>
      <c r="S5" s="399" t="str">
        <f t="shared" ca="1" si="3"/>
        <v/>
      </c>
      <c r="T5" s="399" t="str">
        <f t="shared" ca="1" si="4"/>
        <v/>
      </c>
    </row>
    <row r="6" spans="5:20" x14ac:dyDescent="0.25">
      <c r="E6" s="84" t="str">
        <f>IF(ISNUMBER(SEARCH("TIA-222-H",E7))=TRUE,"H",IF(ISNUMBER(SEARCH("TIA-222-G",E7))=TRUE,"G",IF(ISNUMBER(SEARCH("TIA/EIA-222-F",E7))=TRUE,"F","")))</f>
        <v/>
      </c>
      <c r="G6" s="399">
        <v>5</v>
      </c>
      <c r="H6" s="399"/>
      <c r="I6" s="399" t="str">
        <f t="shared" si="0"/>
        <v>TowerRec=5</v>
      </c>
      <c r="J6" s="406" t="str">
        <f ca="1">IFERROR(ROW(INDEX(INDIRECT("'TNX File'!A$1:A" &amp; $H$2),MATCH('TNX File Parse'!I6,'TNX File'!A:A,0))),"")</f>
        <v/>
      </c>
      <c r="K6" s="399" t="s">
        <v>1415</v>
      </c>
      <c r="L6" s="399" t="str">
        <f ca="1">IFERROR(ROW(INDEX(INDIRECT("'TNX File'!A" &amp; $J6 &amp; ":A" &amp; $H$2),MATCH('TNX File Parse'!K6 &amp; "*",INDIRECT("'TNX File'!A" &amp; $J6 &amp; ":A" &amp; $H$2),0))),"")</f>
        <v/>
      </c>
      <c r="M6" s="399" t="str">
        <f ca="1">IFERROR(INDEX('TNX File'!A:A,L6,1),"")</f>
        <v/>
      </c>
      <c r="N6" s="399" t="str">
        <f t="shared" ca="1" si="1"/>
        <v/>
      </c>
      <c r="O6" s="399" t="s">
        <v>1417</v>
      </c>
      <c r="P6" s="399" t="str">
        <f ca="1">IFERROR(ROW(INDEX(INDIRECT("'TNX File'!A" &amp; $J6 &amp; ":A" &amp; $H$2),MATCH('TNX File Parse'!O6 &amp; "*",INDIRECT("'TNX File'!A" &amp; $J6 &amp; ":A" &amp; $H$2),0))),"")</f>
        <v/>
      </c>
      <c r="Q6" s="399" t="str">
        <f ca="1">IFERROR(INDEX('TNX File'!A:A,P6,1),"")</f>
        <v/>
      </c>
      <c r="R6" s="399" t="str">
        <f t="shared" ca="1" si="2"/>
        <v/>
      </c>
      <c r="S6" s="399" t="str">
        <f t="shared" ca="1" si="3"/>
        <v/>
      </c>
      <c r="T6" s="399" t="str">
        <f t="shared" ca="1" si="4"/>
        <v/>
      </c>
    </row>
    <row r="7" spans="5:20" x14ac:dyDescent="0.25">
      <c r="E7" s="84" t="e">
        <f>VLOOKUP("*" &amp; "TIA" &amp; "*" &amp; "222" &amp; "*",'TNX File'!A:A,1,0)</f>
        <v>#N/A</v>
      </c>
      <c r="G7" s="399">
        <v>6</v>
      </c>
      <c r="H7" s="399"/>
      <c r="I7" s="399" t="str">
        <f t="shared" si="0"/>
        <v>TowerRec=6</v>
      </c>
      <c r="J7" s="406" t="str">
        <f ca="1">IFERROR(ROW(INDEX(INDIRECT("'TNX File'!A$1:A" &amp; $H$2),MATCH('TNX File Parse'!I7,'TNX File'!A:A,0))),"")</f>
        <v/>
      </c>
      <c r="K7" s="399" t="s">
        <v>1415</v>
      </c>
      <c r="L7" s="399" t="str">
        <f ca="1">IFERROR(ROW(INDEX(INDIRECT("'TNX File'!A" &amp; $J7 &amp; ":A" &amp; $H$2),MATCH('TNX File Parse'!K7 &amp; "*",INDIRECT("'TNX File'!A" &amp; $J7 &amp; ":A" &amp; $H$2),0))),"")</f>
        <v/>
      </c>
      <c r="M7" s="399" t="str">
        <f ca="1">IFERROR(INDEX('TNX File'!A:A,L7,1),"")</f>
        <v/>
      </c>
      <c r="N7" s="399" t="str">
        <f t="shared" ca="1" si="1"/>
        <v/>
      </c>
      <c r="O7" s="399" t="s">
        <v>1417</v>
      </c>
      <c r="P7" s="399" t="str">
        <f ca="1">IFERROR(ROW(INDEX(INDIRECT("'TNX File'!A" &amp; $J7 &amp; ":A" &amp; $H$2),MATCH('TNX File Parse'!O7 &amp; "*",INDIRECT("'TNX File'!A" &amp; $J7 &amp; ":A" &amp; $H$2),0))),"")</f>
        <v/>
      </c>
      <c r="Q7" s="399" t="str">
        <f ca="1">IFERROR(INDEX('TNX File'!A:A,P7,1),"")</f>
        <v/>
      </c>
      <c r="R7" s="399" t="str">
        <f t="shared" ca="1" si="2"/>
        <v/>
      </c>
      <c r="S7" s="399" t="str">
        <f t="shared" ca="1" si="3"/>
        <v/>
      </c>
      <c r="T7" s="399" t="str">
        <f t="shared" ca="1" si="4"/>
        <v/>
      </c>
    </row>
    <row r="8" spans="5:20" x14ac:dyDescent="0.25">
      <c r="G8" s="399">
        <v>7</v>
      </c>
      <c r="H8" s="399"/>
      <c r="I8" s="399" t="str">
        <f t="shared" si="0"/>
        <v>TowerRec=7</v>
      </c>
      <c r="J8" s="406" t="str">
        <f ca="1">IFERROR(ROW(INDEX(INDIRECT("'TNX File'!A$1:A" &amp; $H$2),MATCH('TNX File Parse'!I8,'TNX File'!A:A,0))),"")</f>
        <v/>
      </c>
      <c r="K8" s="399" t="s">
        <v>1415</v>
      </c>
      <c r="L8" s="399" t="str">
        <f ca="1">IFERROR(ROW(INDEX(INDIRECT("'TNX File'!A" &amp; $J8 &amp; ":A" &amp; $H$2),MATCH('TNX File Parse'!K8 &amp; "*",INDIRECT("'TNX File'!A" &amp; $J8 &amp; ":A" &amp; $H$2),0))),"")</f>
        <v/>
      </c>
      <c r="M8" s="399" t="str">
        <f ca="1">IFERROR(INDEX('TNX File'!A:A,L8,1),"")</f>
        <v/>
      </c>
      <c r="N8" s="399" t="str">
        <f t="shared" ca="1" si="1"/>
        <v/>
      </c>
      <c r="O8" s="399" t="s">
        <v>1417</v>
      </c>
      <c r="P8" s="399" t="str">
        <f ca="1">IFERROR(ROW(INDEX(INDIRECT("'TNX File'!A" &amp; $J8 &amp; ":A" &amp; $H$2),MATCH('TNX File Parse'!O8 &amp; "*",INDIRECT("'TNX File'!A" &amp; $J8 &amp; ":A" &amp; $H$2),0))),"")</f>
        <v/>
      </c>
      <c r="Q8" s="399" t="str">
        <f ca="1">IFERROR(INDEX('TNX File'!A:A,P8,1),"")</f>
        <v/>
      </c>
      <c r="R8" s="399" t="str">
        <f t="shared" ca="1" si="2"/>
        <v/>
      </c>
      <c r="S8" s="399" t="str">
        <f t="shared" ca="1" si="3"/>
        <v/>
      </c>
      <c r="T8" s="399" t="str">
        <f t="shared" ca="1" si="4"/>
        <v/>
      </c>
    </row>
    <row r="9" spans="5:20" x14ac:dyDescent="0.25">
      <c r="G9" s="399">
        <v>8</v>
      </c>
      <c r="H9" s="399"/>
      <c r="I9" s="399" t="str">
        <f t="shared" si="0"/>
        <v>TowerRec=8</v>
      </c>
      <c r="J9" s="406" t="str">
        <f ca="1">IFERROR(ROW(INDEX(INDIRECT("'TNX File'!A$1:A" &amp; $H$2),MATCH('TNX File Parse'!I9,'TNX File'!A:A,0))),"")</f>
        <v/>
      </c>
      <c r="K9" s="399" t="s">
        <v>1415</v>
      </c>
      <c r="L9" s="399" t="str">
        <f ca="1">IFERROR(ROW(INDEX(INDIRECT("'TNX File'!A" &amp; $J9 &amp; ":A" &amp; $H$2),MATCH('TNX File Parse'!K9 &amp; "*",INDIRECT("'TNX File'!A" &amp; $J9 &amp; ":A" &amp; $H$2),0))),"")</f>
        <v/>
      </c>
      <c r="M9" s="399" t="str">
        <f ca="1">IFERROR(INDEX('TNX File'!A:A,L9,1),"")</f>
        <v/>
      </c>
      <c r="N9" s="399" t="str">
        <f t="shared" ca="1" si="1"/>
        <v/>
      </c>
      <c r="O9" s="399" t="s">
        <v>1417</v>
      </c>
      <c r="P9" s="399" t="str">
        <f ca="1">IFERROR(ROW(INDEX(INDIRECT("'TNX File'!A" &amp; $J9 &amp; ":A" &amp; $H$2),MATCH('TNX File Parse'!O9 &amp; "*",INDIRECT("'TNX File'!A" &amp; $J9 &amp; ":A" &amp; $H$2),0))),"")</f>
        <v/>
      </c>
      <c r="Q9" s="399" t="str">
        <f ca="1">IFERROR(INDEX('TNX File'!A:A,P9,1),"")</f>
        <v/>
      </c>
      <c r="R9" s="399" t="str">
        <f t="shared" ca="1" si="2"/>
        <v/>
      </c>
      <c r="S9" s="399" t="str">
        <f t="shared" ca="1" si="3"/>
        <v/>
      </c>
      <c r="T9" s="399" t="str">
        <f t="shared" ca="1" si="4"/>
        <v/>
      </c>
    </row>
    <row r="10" spans="5:20" x14ac:dyDescent="0.25">
      <c r="G10" s="399">
        <v>9</v>
      </c>
      <c r="H10" s="399"/>
      <c r="I10" s="399" t="str">
        <f t="shared" si="0"/>
        <v>TowerRec=9</v>
      </c>
      <c r="J10" s="406" t="str">
        <f ca="1">IFERROR(ROW(INDEX(INDIRECT("'TNX File'!A$1:A" &amp; $H$2),MATCH('TNX File Parse'!I10,'TNX File'!A:A,0))),"")</f>
        <v/>
      </c>
      <c r="K10" s="399" t="s">
        <v>1415</v>
      </c>
      <c r="L10" s="399" t="str">
        <f ca="1">IFERROR(ROW(INDEX(INDIRECT("'TNX File'!A" &amp; $J10 &amp; ":A" &amp; $H$2),MATCH('TNX File Parse'!K10 &amp; "*",INDIRECT("'TNX File'!A" &amp; $J10 &amp; ":A" &amp; $H$2),0))),"")</f>
        <v/>
      </c>
      <c r="M10" s="399" t="str">
        <f ca="1">IFERROR(INDEX('TNX File'!A:A,L10,1),"")</f>
        <v/>
      </c>
      <c r="N10" s="399" t="str">
        <f t="shared" ca="1" si="1"/>
        <v/>
      </c>
      <c r="O10" s="399" t="s">
        <v>1417</v>
      </c>
      <c r="P10" s="399" t="str">
        <f ca="1">IFERROR(ROW(INDEX(INDIRECT("'TNX File'!A" &amp; $J10 &amp; ":A" &amp; $H$2),MATCH('TNX File Parse'!O10 &amp; "*",INDIRECT("'TNX File'!A" &amp; $J10 &amp; ":A" &amp; $H$2),0))),"")</f>
        <v/>
      </c>
      <c r="Q10" s="399" t="str">
        <f ca="1">IFERROR(INDEX('TNX File'!A:A,P10,1),"")</f>
        <v/>
      </c>
      <c r="R10" s="399" t="str">
        <f t="shared" ca="1" si="2"/>
        <v/>
      </c>
      <c r="S10" s="399" t="str">
        <f t="shared" ca="1" si="3"/>
        <v/>
      </c>
      <c r="T10" s="399" t="str">
        <f t="shared" ca="1" si="4"/>
        <v/>
      </c>
    </row>
    <row r="11" spans="5:20" x14ac:dyDescent="0.25">
      <c r="G11" s="399">
        <v>10</v>
      </c>
      <c r="H11" s="399"/>
      <c r="I11" s="399" t="str">
        <f t="shared" si="0"/>
        <v>TowerRec=10</v>
      </c>
      <c r="J11" s="406" t="str">
        <f ca="1">IFERROR(ROW(INDEX(INDIRECT("'TNX File'!A$1:A" &amp; $H$2),MATCH('TNX File Parse'!I11,'TNX File'!A:A,0))),"")</f>
        <v/>
      </c>
      <c r="K11" s="399" t="s">
        <v>1415</v>
      </c>
      <c r="L11" s="399" t="str">
        <f ca="1">IFERROR(ROW(INDEX(INDIRECT("'TNX File'!A" &amp; $J11 &amp; ":A" &amp; $H$2),MATCH('TNX File Parse'!K11 &amp; "*",INDIRECT("'TNX File'!A" &amp; $J11 &amp; ":A" &amp; $H$2),0))),"")</f>
        <v/>
      </c>
      <c r="M11" s="399" t="str">
        <f ca="1">IFERROR(INDEX('TNX File'!A:A,L11,1),"")</f>
        <v/>
      </c>
      <c r="N11" s="399" t="str">
        <f t="shared" ca="1" si="1"/>
        <v/>
      </c>
      <c r="O11" s="399" t="s">
        <v>1417</v>
      </c>
      <c r="P11" s="399" t="str">
        <f ca="1">IFERROR(ROW(INDEX(INDIRECT("'TNX File'!A" &amp; $J11 &amp; ":A" &amp; $H$2),MATCH('TNX File Parse'!O11 &amp; "*",INDIRECT("'TNX File'!A" &amp; $J11 &amp; ":A" &amp; $H$2),0))),"")</f>
        <v/>
      </c>
      <c r="Q11" s="399" t="str">
        <f ca="1">IFERROR(INDEX('TNX File'!A:A,P11,1),"")</f>
        <v/>
      </c>
      <c r="R11" s="399" t="str">
        <f t="shared" ca="1" si="2"/>
        <v/>
      </c>
      <c r="S11" s="399" t="str">
        <f t="shared" ca="1" si="3"/>
        <v/>
      </c>
      <c r="T11" s="399" t="str">
        <f t="shared" ca="1" si="4"/>
        <v/>
      </c>
    </row>
    <row r="12" spans="5:20" x14ac:dyDescent="0.25">
      <c r="G12" s="399">
        <v>11</v>
      </c>
      <c r="H12" s="399"/>
      <c r="I12" s="399" t="str">
        <f t="shared" si="0"/>
        <v>TowerRec=11</v>
      </c>
      <c r="J12" s="406" t="str">
        <f ca="1">IFERROR(ROW(INDEX(INDIRECT("'TNX File'!A$1:A" &amp; $H$2),MATCH('TNX File Parse'!I12,'TNX File'!A:A,0))),"")</f>
        <v/>
      </c>
      <c r="K12" s="399" t="s">
        <v>1415</v>
      </c>
      <c r="L12" s="399" t="str">
        <f ca="1">IFERROR(ROW(INDEX(INDIRECT("'TNX File'!A" &amp; $J12 &amp; ":A" &amp; $H$2),MATCH('TNX File Parse'!K12 &amp; "*",INDIRECT("'TNX File'!A" &amp; $J12 &amp; ":A" &amp; $H$2),0))),"")</f>
        <v/>
      </c>
      <c r="M12" s="399" t="str">
        <f ca="1">IFERROR(INDEX('TNX File'!A:A,L12,1),"")</f>
        <v/>
      </c>
      <c r="N12" s="399" t="str">
        <f t="shared" ca="1" si="1"/>
        <v/>
      </c>
      <c r="O12" s="399" t="s">
        <v>1417</v>
      </c>
      <c r="P12" s="399" t="str">
        <f ca="1">IFERROR(ROW(INDEX(INDIRECT("'TNX File'!A" &amp; $J12 &amp; ":A" &amp; $H$2),MATCH('TNX File Parse'!O12 &amp; "*",INDIRECT("'TNX File'!A" &amp; $J12 &amp; ":A" &amp; $H$2),0))),"")</f>
        <v/>
      </c>
      <c r="Q12" s="399" t="str">
        <f ca="1">IFERROR(INDEX('TNX File'!A:A,P12,1),"")</f>
        <v/>
      </c>
      <c r="R12" s="399" t="str">
        <f t="shared" ca="1" si="2"/>
        <v/>
      </c>
      <c r="S12" s="399" t="str">
        <f t="shared" ca="1" si="3"/>
        <v/>
      </c>
      <c r="T12" s="399" t="str">
        <f t="shared" ca="1" si="4"/>
        <v/>
      </c>
    </row>
    <row r="13" spans="5:20" x14ac:dyDescent="0.25">
      <c r="G13" s="399">
        <v>12</v>
      </c>
      <c r="H13" s="399"/>
      <c r="I13" s="399" t="str">
        <f t="shared" si="0"/>
        <v>TowerRec=12</v>
      </c>
      <c r="J13" s="406" t="str">
        <f ca="1">IFERROR(ROW(INDEX(INDIRECT("'TNX File'!A$1:A" &amp; $H$2),MATCH('TNX File Parse'!I13,'TNX File'!A:A,0))),"")</f>
        <v/>
      </c>
      <c r="K13" s="399" t="s">
        <v>1415</v>
      </c>
      <c r="L13" s="399" t="str">
        <f ca="1">IFERROR(ROW(INDEX(INDIRECT("'TNX File'!A" &amp; $J13 &amp; ":A" &amp; $H$2),MATCH('TNX File Parse'!K13 &amp; "*",INDIRECT("'TNX File'!A" &amp; $J13 &amp; ":A" &amp; $H$2),0))),"")</f>
        <v/>
      </c>
      <c r="M13" s="399" t="str">
        <f ca="1">IFERROR(INDEX('TNX File'!A:A,L13,1),"")</f>
        <v/>
      </c>
      <c r="N13" s="399" t="str">
        <f t="shared" ca="1" si="1"/>
        <v/>
      </c>
      <c r="O13" s="399" t="s">
        <v>1417</v>
      </c>
      <c r="P13" s="399" t="str">
        <f ca="1">IFERROR(ROW(INDEX(INDIRECT("'TNX File'!A" &amp; $J13 &amp; ":A" &amp; $H$2),MATCH('TNX File Parse'!O13 &amp; "*",INDIRECT("'TNX File'!A" &amp; $J13 &amp; ":A" &amp; $H$2),0))),"")</f>
        <v/>
      </c>
      <c r="Q13" s="399" t="str">
        <f ca="1">IFERROR(INDEX('TNX File'!A:A,P13,1),"")</f>
        <v/>
      </c>
      <c r="R13" s="399" t="str">
        <f t="shared" ca="1" si="2"/>
        <v/>
      </c>
      <c r="S13" s="399" t="str">
        <f t="shared" ca="1" si="3"/>
        <v/>
      </c>
      <c r="T13" s="399" t="str">
        <f t="shared" ca="1" si="4"/>
        <v/>
      </c>
    </row>
    <row r="14" spans="5:20" x14ac:dyDescent="0.25">
      <c r="G14" s="399">
        <v>13</v>
      </c>
      <c r="H14" s="399"/>
      <c r="I14" s="399" t="str">
        <f t="shared" si="0"/>
        <v>TowerRec=13</v>
      </c>
      <c r="J14" s="406" t="str">
        <f ca="1">IFERROR(ROW(INDEX(INDIRECT("'TNX File'!A$1:A" &amp; $H$2),MATCH('TNX File Parse'!I14,'TNX File'!A:A,0))),"")</f>
        <v/>
      </c>
      <c r="K14" s="399" t="s">
        <v>1415</v>
      </c>
      <c r="L14" s="399" t="str">
        <f ca="1">IFERROR(ROW(INDEX(INDIRECT("'TNX File'!A" &amp; $J14 &amp; ":A" &amp; $H$2),MATCH('TNX File Parse'!K14 &amp; "*",INDIRECT("'TNX File'!A" &amp; $J14 &amp; ":A" &amp; $H$2),0))),"")</f>
        <v/>
      </c>
      <c r="M14" s="399" t="str">
        <f ca="1">IFERROR(INDEX('TNX File'!A:A,L14,1),"")</f>
        <v/>
      </c>
      <c r="N14" s="399" t="str">
        <f t="shared" ca="1" si="1"/>
        <v/>
      </c>
      <c r="O14" s="399" t="s">
        <v>1417</v>
      </c>
      <c r="P14" s="399" t="str">
        <f ca="1">IFERROR(ROW(INDEX(INDIRECT("'TNX File'!A" &amp; $J14 &amp; ":A" &amp; $H$2),MATCH('TNX File Parse'!O14 &amp; "*",INDIRECT("'TNX File'!A" &amp; $J14 &amp; ":A" &amp; $H$2),0))),"")</f>
        <v/>
      </c>
      <c r="Q14" s="399" t="str">
        <f ca="1">IFERROR(INDEX('TNX File'!A:A,P14,1),"")</f>
        <v/>
      </c>
      <c r="R14" s="399" t="str">
        <f t="shared" ca="1" si="2"/>
        <v/>
      </c>
      <c r="S14" s="399" t="str">
        <f t="shared" ca="1" si="3"/>
        <v/>
      </c>
      <c r="T14" s="399" t="str">
        <f t="shared" ca="1" si="4"/>
        <v/>
      </c>
    </row>
    <row r="15" spans="5:20" x14ac:dyDescent="0.25">
      <c r="G15" s="399">
        <v>14</v>
      </c>
      <c r="H15" s="399"/>
      <c r="I15" s="399" t="str">
        <f t="shared" si="0"/>
        <v>TowerRec=14</v>
      </c>
      <c r="J15" s="406" t="str">
        <f ca="1">IFERROR(ROW(INDEX(INDIRECT("'TNX File'!A$1:A" &amp; $H$2),MATCH('TNX File Parse'!I15,'TNX File'!A:A,0))),"")</f>
        <v/>
      </c>
      <c r="K15" s="399" t="s">
        <v>1415</v>
      </c>
      <c r="L15" s="399" t="str">
        <f ca="1">IFERROR(ROW(INDEX(INDIRECT("'TNX File'!A" &amp; $J15 &amp; ":A" &amp; $H$2),MATCH('TNX File Parse'!K15 &amp; "*",INDIRECT("'TNX File'!A" &amp; $J15 &amp; ":A" &amp; $H$2),0))),"")</f>
        <v/>
      </c>
      <c r="M15" s="399" t="str">
        <f ca="1">IFERROR(INDEX('TNX File'!A:A,L15,1),"")</f>
        <v/>
      </c>
      <c r="N15" s="399" t="str">
        <f t="shared" ca="1" si="1"/>
        <v/>
      </c>
      <c r="O15" s="399" t="s">
        <v>1417</v>
      </c>
      <c r="P15" s="399" t="str">
        <f ca="1">IFERROR(ROW(INDEX(INDIRECT("'TNX File'!A" &amp; $J15 &amp; ":A" &amp; $H$2),MATCH('TNX File Parse'!O15 &amp; "*",INDIRECT("'TNX File'!A" &amp; $J15 &amp; ":A" &amp; $H$2),0))),"")</f>
        <v/>
      </c>
      <c r="Q15" s="399" t="str">
        <f ca="1">IFERROR(INDEX('TNX File'!A:A,P15,1),"")</f>
        <v/>
      </c>
      <c r="R15" s="399" t="str">
        <f t="shared" ca="1" si="2"/>
        <v/>
      </c>
      <c r="S15" s="399" t="str">
        <f t="shared" ca="1" si="3"/>
        <v/>
      </c>
      <c r="T15" s="399" t="str">
        <f t="shared" ca="1" si="4"/>
        <v/>
      </c>
    </row>
    <row r="16" spans="5:20" x14ac:dyDescent="0.25">
      <c r="G16" s="399">
        <v>15</v>
      </c>
      <c r="H16" s="399"/>
      <c r="I16" s="399" t="str">
        <f t="shared" si="0"/>
        <v>TowerRec=15</v>
      </c>
      <c r="J16" s="406" t="str">
        <f ca="1">IFERROR(ROW(INDEX(INDIRECT("'TNX File'!A$1:A" &amp; $H$2),MATCH('TNX File Parse'!I16,'TNX File'!A:A,0))),"")</f>
        <v/>
      </c>
      <c r="K16" s="399" t="s">
        <v>1415</v>
      </c>
      <c r="L16" s="399" t="str">
        <f ca="1">IFERROR(ROW(INDEX(INDIRECT("'TNX File'!A" &amp; $J16 &amp; ":A" &amp; $H$2),MATCH('TNX File Parse'!K16 &amp; "*",INDIRECT("'TNX File'!A" &amp; $J16 &amp; ":A" &amp; $H$2),0))),"")</f>
        <v/>
      </c>
      <c r="M16" s="399" t="str">
        <f ca="1">IFERROR(INDEX('TNX File'!A:A,L16,1),"")</f>
        <v/>
      </c>
      <c r="N16" s="399" t="str">
        <f t="shared" ca="1" si="1"/>
        <v/>
      </c>
      <c r="O16" s="399" t="s">
        <v>1417</v>
      </c>
      <c r="P16" s="399" t="str">
        <f ca="1">IFERROR(ROW(INDEX(INDIRECT("'TNX File'!A" &amp; $J16 &amp; ":A" &amp; $H$2),MATCH('TNX File Parse'!O16 &amp; "*",INDIRECT("'TNX File'!A" &amp; $J16 &amp; ":A" &amp; $H$2),0))),"")</f>
        <v/>
      </c>
      <c r="Q16" s="399" t="str">
        <f ca="1">IFERROR(INDEX('TNX File'!A:A,P16,1),"")</f>
        <v/>
      </c>
      <c r="R16" s="399" t="str">
        <f t="shared" ca="1" si="2"/>
        <v/>
      </c>
      <c r="S16" s="399" t="str">
        <f t="shared" ca="1" si="3"/>
        <v/>
      </c>
      <c r="T16" s="399" t="str">
        <f t="shared" ca="1" si="4"/>
        <v/>
      </c>
    </row>
    <row r="17" spans="7:20" x14ac:dyDescent="0.25">
      <c r="G17" s="399">
        <v>16</v>
      </c>
      <c r="H17" s="399"/>
      <c r="I17" s="399" t="str">
        <f t="shared" si="0"/>
        <v>TowerRec=16</v>
      </c>
      <c r="J17" s="406" t="str">
        <f ca="1">IFERROR(ROW(INDEX(INDIRECT("'TNX File'!A$1:A" &amp; $H$2),MATCH('TNX File Parse'!I17,'TNX File'!A:A,0))),"")</f>
        <v/>
      </c>
      <c r="K17" s="399" t="s">
        <v>1415</v>
      </c>
      <c r="L17" s="399" t="str">
        <f ca="1">IFERROR(ROW(INDEX(INDIRECT("'TNX File'!A" &amp; $J17 &amp; ":A" &amp; $H$2),MATCH('TNX File Parse'!K17 &amp; "*",INDIRECT("'TNX File'!A" &amp; $J17 &amp; ":A" &amp; $H$2),0))),"")</f>
        <v/>
      </c>
      <c r="M17" s="399" t="str">
        <f ca="1">IFERROR(INDEX('TNX File'!A:A,L17,1),"")</f>
        <v/>
      </c>
      <c r="N17" s="399" t="str">
        <f t="shared" ca="1" si="1"/>
        <v/>
      </c>
      <c r="O17" s="399" t="s">
        <v>1417</v>
      </c>
      <c r="P17" s="399" t="str">
        <f ca="1">IFERROR(ROW(INDEX(INDIRECT("'TNX File'!A" &amp; $J17 &amp; ":A" &amp; $H$2),MATCH('TNX File Parse'!O17 &amp; "*",INDIRECT("'TNX File'!A" &amp; $J17 &amp; ":A" &amp; $H$2),0))),"")</f>
        <v/>
      </c>
      <c r="Q17" s="399" t="str">
        <f ca="1">IFERROR(INDEX('TNX File'!A:A,P17,1),"")</f>
        <v/>
      </c>
      <c r="R17" s="399" t="str">
        <f t="shared" ca="1" si="2"/>
        <v/>
      </c>
      <c r="S17" s="399" t="str">
        <f t="shared" ca="1" si="3"/>
        <v/>
      </c>
      <c r="T17" s="399" t="str">
        <f t="shared" ca="1" si="4"/>
        <v/>
      </c>
    </row>
    <row r="18" spans="7:20" x14ac:dyDescent="0.25">
      <c r="G18" s="399">
        <v>17</v>
      </c>
      <c r="H18" s="399"/>
      <c r="I18" s="399" t="str">
        <f t="shared" si="0"/>
        <v>TowerRec=17</v>
      </c>
      <c r="J18" s="406" t="str">
        <f ca="1">IFERROR(ROW(INDEX(INDIRECT("'TNX File'!A$1:A" &amp; $H$2),MATCH('TNX File Parse'!I18,'TNX File'!A:A,0))),"")</f>
        <v/>
      </c>
      <c r="K18" s="399" t="s">
        <v>1415</v>
      </c>
      <c r="L18" s="399" t="str">
        <f ca="1">IFERROR(ROW(INDEX(INDIRECT("'TNX File'!A" &amp; $J18 &amp; ":A" &amp; $H$2),MATCH('TNX File Parse'!K18 &amp; "*",INDIRECT("'TNX File'!A" &amp; $J18 &amp; ":A" &amp; $H$2),0))),"")</f>
        <v/>
      </c>
      <c r="M18" s="399" t="str">
        <f ca="1">IFERROR(INDEX('TNX File'!A:A,L18,1),"")</f>
        <v/>
      </c>
      <c r="N18" s="399" t="str">
        <f t="shared" ca="1" si="1"/>
        <v/>
      </c>
      <c r="O18" s="399" t="s">
        <v>1417</v>
      </c>
      <c r="P18" s="399" t="str">
        <f ca="1">IFERROR(ROW(INDEX(INDIRECT("'TNX File'!A" &amp; $J18 &amp; ":A" &amp; $H$2),MATCH('TNX File Parse'!O18 &amp; "*",INDIRECT("'TNX File'!A" &amp; $J18 &amp; ":A" &amp; $H$2),0))),"")</f>
        <v/>
      </c>
      <c r="Q18" s="399" t="str">
        <f ca="1">IFERROR(INDEX('TNX File'!A:A,P18,1),"")</f>
        <v/>
      </c>
      <c r="R18" s="399" t="str">
        <f t="shared" ca="1" si="2"/>
        <v/>
      </c>
      <c r="S18" s="399" t="str">
        <f t="shared" ca="1" si="3"/>
        <v/>
      </c>
      <c r="T18" s="399" t="str">
        <f t="shared" ca="1" si="4"/>
        <v/>
      </c>
    </row>
    <row r="19" spans="7:20" x14ac:dyDescent="0.25">
      <c r="G19" s="399">
        <v>18</v>
      </c>
      <c r="H19" s="399"/>
      <c r="I19" s="399" t="str">
        <f t="shared" si="0"/>
        <v>TowerRec=18</v>
      </c>
      <c r="J19" s="406" t="str">
        <f ca="1">IFERROR(ROW(INDEX(INDIRECT("'TNX File'!A$1:A" &amp; $H$2),MATCH('TNX File Parse'!I19,'TNX File'!A:A,0))),"")</f>
        <v/>
      </c>
      <c r="K19" s="399" t="s">
        <v>1415</v>
      </c>
      <c r="L19" s="399" t="str">
        <f ca="1">IFERROR(ROW(INDEX(INDIRECT("'TNX File'!A" &amp; $J19 &amp; ":A" &amp; $H$2),MATCH('TNX File Parse'!K19 &amp; "*",INDIRECT("'TNX File'!A" &amp; $J19 &amp; ":A" &amp; $H$2),0))),"")</f>
        <v/>
      </c>
      <c r="M19" s="399" t="str">
        <f ca="1">IFERROR(INDEX('TNX File'!A:A,L19,1),"")</f>
        <v/>
      </c>
      <c r="N19" s="399" t="str">
        <f t="shared" ca="1" si="1"/>
        <v/>
      </c>
      <c r="O19" s="399" t="s">
        <v>1417</v>
      </c>
      <c r="P19" s="399" t="str">
        <f ca="1">IFERROR(ROW(INDEX(INDIRECT("'TNX File'!A" &amp; $J19 &amp; ":A" &amp; $H$2),MATCH('TNX File Parse'!O19 &amp; "*",INDIRECT("'TNX File'!A" &amp; $J19 &amp; ":A" &amp; $H$2),0))),"")</f>
        <v/>
      </c>
      <c r="Q19" s="399" t="str">
        <f ca="1">IFERROR(INDEX('TNX File'!A:A,P19,1),"")</f>
        <v/>
      </c>
      <c r="R19" s="399" t="str">
        <f t="shared" ca="1" si="2"/>
        <v/>
      </c>
      <c r="S19" s="399" t="str">
        <f t="shared" ca="1" si="3"/>
        <v/>
      </c>
      <c r="T19" s="399" t="str">
        <f t="shared" ca="1" si="4"/>
        <v/>
      </c>
    </row>
    <row r="20" spans="7:20" x14ac:dyDescent="0.25">
      <c r="G20" s="399">
        <v>19</v>
      </c>
      <c r="H20" s="399"/>
      <c r="I20" s="399" t="str">
        <f t="shared" si="0"/>
        <v>TowerRec=19</v>
      </c>
      <c r="J20" s="406" t="str">
        <f ca="1">IFERROR(ROW(INDEX(INDIRECT("'TNX File'!A$1:A" &amp; $H$2),MATCH('TNX File Parse'!I20,'TNX File'!A:A,0))),"")</f>
        <v/>
      </c>
      <c r="K20" s="399" t="s">
        <v>1415</v>
      </c>
      <c r="L20" s="399" t="str">
        <f ca="1">IFERROR(ROW(INDEX(INDIRECT("'TNX File'!A" &amp; $J20 &amp; ":A" &amp; $H$2),MATCH('TNX File Parse'!K20 &amp; "*",INDIRECT("'TNX File'!A" &amp; $J20 &amp; ":A" &amp; $H$2),0))),"")</f>
        <v/>
      </c>
      <c r="M20" s="399" t="str">
        <f ca="1">IFERROR(INDEX('TNX File'!A:A,L20,1),"")</f>
        <v/>
      </c>
      <c r="N20" s="399" t="str">
        <f t="shared" ca="1" si="1"/>
        <v/>
      </c>
      <c r="O20" s="399" t="s">
        <v>1417</v>
      </c>
      <c r="P20" s="399" t="str">
        <f ca="1">IFERROR(ROW(INDEX(INDIRECT("'TNX File'!A" &amp; $J20 &amp; ":A" &amp; $H$2),MATCH('TNX File Parse'!O20 &amp; "*",INDIRECT("'TNX File'!A" &amp; $J20 &amp; ":A" &amp; $H$2),0))),"")</f>
        <v/>
      </c>
      <c r="Q20" s="399" t="str">
        <f ca="1">IFERROR(INDEX('TNX File'!A:A,P20,1),"")</f>
        <v/>
      </c>
      <c r="R20" s="399" t="str">
        <f t="shared" ca="1" si="2"/>
        <v/>
      </c>
      <c r="S20" s="399" t="str">
        <f t="shared" ca="1" si="3"/>
        <v/>
      </c>
      <c r="T20" s="399" t="str">
        <f t="shared" ca="1" si="4"/>
        <v/>
      </c>
    </row>
    <row r="21" spans="7:20" x14ac:dyDescent="0.25">
      <c r="G21" s="399">
        <v>20</v>
      </c>
      <c r="H21" s="399"/>
      <c r="I21" s="399" t="str">
        <f t="shared" si="0"/>
        <v>TowerRec=20</v>
      </c>
      <c r="J21" s="406" t="str">
        <f ca="1">IFERROR(ROW(INDEX(INDIRECT("'TNX File'!A$1:A" &amp; $H$2),MATCH('TNX File Parse'!I21,'TNX File'!A:A,0))),"")</f>
        <v/>
      </c>
      <c r="K21" s="399" t="s">
        <v>1415</v>
      </c>
      <c r="L21" s="399" t="str">
        <f ca="1">IFERROR(ROW(INDEX(INDIRECT("'TNX File'!A" &amp; $J21 &amp; ":A" &amp; $H$2),MATCH('TNX File Parse'!K21 &amp; "*",INDIRECT("'TNX File'!A" &amp; $J21 &amp; ":A" &amp; $H$2),0))),"")</f>
        <v/>
      </c>
      <c r="M21" s="399" t="str">
        <f ca="1">IFERROR(INDEX('TNX File'!A:A,L21,1),"")</f>
        <v/>
      </c>
      <c r="N21" s="399" t="str">
        <f t="shared" ca="1" si="1"/>
        <v/>
      </c>
      <c r="O21" s="399" t="s">
        <v>1417</v>
      </c>
      <c r="P21" s="399" t="str">
        <f ca="1">IFERROR(ROW(INDEX(INDIRECT("'TNX File'!A" &amp; $J21 &amp; ":A" &amp; $H$2),MATCH('TNX File Parse'!O21 &amp; "*",INDIRECT("'TNX File'!A" &amp; $J21 &amp; ":A" &amp; $H$2),0))),"")</f>
        <v/>
      </c>
      <c r="Q21" s="399" t="str">
        <f ca="1">IFERROR(INDEX('TNX File'!A:A,P21,1),"")</f>
        <v/>
      </c>
      <c r="R21" s="399" t="str">
        <f t="shared" ca="1" si="2"/>
        <v/>
      </c>
      <c r="S21" s="399" t="str">
        <f t="shared" ca="1" si="3"/>
        <v/>
      </c>
      <c r="T21" s="399" t="str">
        <f t="shared" ca="1" si="4"/>
        <v/>
      </c>
    </row>
    <row r="22" spans="7:20" x14ac:dyDescent="0.25">
      <c r="G22" s="399">
        <v>21</v>
      </c>
      <c r="H22" s="399"/>
      <c r="I22" s="399" t="str">
        <f t="shared" si="0"/>
        <v>TowerRec=21</v>
      </c>
      <c r="J22" s="406" t="str">
        <f ca="1">IFERROR(ROW(INDEX(INDIRECT("'TNX File'!A$1:A" &amp; $H$2),MATCH('TNX File Parse'!I22,'TNX File'!A:A,0))),"")</f>
        <v/>
      </c>
      <c r="K22" s="399" t="s">
        <v>1415</v>
      </c>
      <c r="L22" s="399" t="str">
        <f ca="1">IFERROR(ROW(INDEX(INDIRECT("'TNX File'!A" &amp; $J22 &amp; ":A" &amp; $H$2),MATCH('TNX File Parse'!K22 &amp; "*",INDIRECT("'TNX File'!A" &amp; $J22 &amp; ":A" &amp; $H$2),0))),"")</f>
        <v/>
      </c>
      <c r="M22" s="399" t="str">
        <f ca="1">IFERROR(INDEX('TNX File'!A:A,L22,1),"")</f>
        <v/>
      </c>
      <c r="N22" s="399" t="str">
        <f t="shared" ca="1" si="1"/>
        <v/>
      </c>
      <c r="O22" s="399" t="s">
        <v>1417</v>
      </c>
      <c r="P22" s="399" t="str">
        <f ca="1">IFERROR(ROW(INDEX(INDIRECT("'TNX File'!A" &amp; $J22 &amp; ":A" &amp; $H$2),MATCH('TNX File Parse'!O22 &amp; "*",INDIRECT("'TNX File'!A" &amp; $J22 &amp; ":A" &amp; $H$2),0))),"")</f>
        <v/>
      </c>
      <c r="Q22" s="399" t="str">
        <f ca="1">IFERROR(INDEX('TNX File'!A:A,P22,1),"")</f>
        <v/>
      </c>
      <c r="R22" s="399" t="str">
        <f t="shared" ca="1" si="2"/>
        <v/>
      </c>
      <c r="S22" s="399" t="str">
        <f t="shared" ca="1" si="3"/>
        <v/>
      </c>
      <c r="T22" s="399" t="str">
        <f t="shared" ca="1" si="4"/>
        <v/>
      </c>
    </row>
    <row r="23" spans="7:20" x14ac:dyDescent="0.25">
      <c r="G23" s="399">
        <v>22</v>
      </c>
      <c r="H23" s="399"/>
      <c r="I23" s="399" t="str">
        <f t="shared" si="0"/>
        <v>TowerRec=22</v>
      </c>
      <c r="J23" s="406" t="str">
        <f ca="1">IFERROR(ROW(INDEX(INDIRECT("'TNX File'!A$1:A" &amp; $H$2),MATCH('TNX File Parse'!I23,'TNX File'!A:A,0))),"")</f>
        <v/>
      </c>
      <c r="K23" s="399" t="s">
        <v>1415</v>
      </c>
      <c r="L23" s="399" t="str">
        <f ca="1">IFERROR(ROW(INDEX(INDIRECT("'TNX File'!A" &amp; $J23 &amp; ":A" &amp; $H$2),MATCH('TNX File Parse'!K23 &amp; "*",INDIRECT("'TNX File'!A" &amp; $J23 &amp; ":A" &amp; $H$2),0))),"")</f>
        <v/>
      </c>
      <c r="M23" s="399" t="str">
        <f ca="1">IFERROR(INDEX('TNX File'!A:A,L23,1),"")</f>
        <v/>
      </c>
      <c r="N23" s="399" t="str">
        <f t="shared" ca="1" si="1"/>
        <v/>
      </c>
      <c r="O23" s="399" t="s">
        <v>1417</v>
      </c>
      <c r="P23" s="399" t="str">
        <f ca="1">IFERROR(ROW(INDEX(INDIRECT("'TNX File'!A" &amp; $J23 &amp; ":A" &amp; $H$2),MATCH('TNX File Parse'!O23 &amp; "*",INDIRECT("'TNX File'!A" &amp; $J23 &amp; ":A" &amp; $H$2),0))),"")</f>
        <v/>
      </c>
      <c r="Q23" s="399" t="str">
        <f ca="1">IFERROR(INDEX('TNX File'!A:A,P23,1),"")</f>
        <v/>
      </c>
      <c r="R23" s="399" t="str">
        <f t="shared" ca="1" si="2"/>
        <v/>
      </c>
      <c r="S23" s="399" t="str">
        <f t="shared" ca="1" si="3"/>
        <v/>
      </c>
      <c r="T23" s="399" t="str">
        <f t="shared" ca="1" si="4"/>
        <v/>
      </c>
    </row>
    <row r="24" spans="7:20" x14ac:dyDescent="0.25">
      <c r="G24" s="399">
        <v>23</v>
      </c>
      <c r="H24" s="399"/>
      <c r="I24" s="399" t="str">
        <f t="shared" si="0"/>
        <v>TowerRec=23</v>
      </c>
      <c r="J24" s="406" t="str">
        <f ca="1">IFERROR(ROW(INDEX(INDIRECT("'TNX File'!A$1:A" &amp; $H$2),MATCH('TNX File Parse'!I24,'TNX File'!A:A,0))),"")</f>
        <v/>
      </c>
      <c r="K24" s="399" t="s">
        <v>1415</v>
      </c>
      <c r="L24" s="399" t="str">
        <f ca="1">IFERROR(ROW(INDEX(INDIRECT("'TNX File'!A" &amp; $J24 &amp; ":A" &amp; $H$2),MATCH('TNX File Parse'!K24 &amp; "*",INDIRECT("'TNX File'!A" &amp; $J24 &amp; ":A" &amp; $H$2),0))),"")</f>
        <v/>
      </c>
      <c r="M24" s="399" t="str">
        <f ca="1">IFERROR(INDEX('TNX File'!A:A,L24,1),"")</f>
        <v/>
      </c>
      <c r="N24" s="399" t="str">
        <f t="shared" ca="1" si="1"/>
        <v/>
      </c>
      <c r="O24" s="399" t="s">
        <v>1417</v>
      </c>
      <c r="P24" s="399" t="str">
        <f ca="1">IFERROR(ROW(INDEX(INDIRECT("'TNX File'!A" &amp; $J24 &amp; ":A" &amp; $H$2),MATCH('TNX File Parse'!O24 &amp; "*",INDIRECT("'TNX File'!A" &amp; $J24 &amp; ":A" &amp; $H$2),0))),"")</f>
        <v/>
      </c>
      <c r="Q24" s="399" t="str">
        <f ca="1">IFERROR(INDEX('TNX File'!A:A,P24,1),"")</f>
        <v/>
      </c>
      <c r="R24" s="399" t="str">
        <f t="shared" ca="1" si="2"/>
        <v/>
      </c>
      <c r="S24" s="399" t="str">
        <f t="shared" ca="1" si="3"/>
        <v/>
      </c>
      <c r="T24" s="399" t="str">
        <f t="shared" ca="1" si="4"/>
        <v/>
      </c>
    </row>
    <row r="25" spans="7:20" x14ac:dyDescent="0.25">
      <c r="G25" s="399">
        <v>24</v>
      </c>
      <c r="H25" s="399"/>
      <c r="I25" s="399" t="str">
        <f t="shared" si="0"/>
        <v>TowerRec=24</v>
      </c>
      <c r="J25" s="406" t="str">
        <f ca="1">IFERROR(ROW(INDEX(INDIRECT("'TNX File'!A$1:A" &amp; $H$2),MATCH('TNX File Parse'!I25,'TNX File'!A:A,0))),"")</f>
        <v/>
      </c>
      <c r="K25" s="399" t="s">
        <v>1415</v>
      </c>
      <c r="L25" s="399" t="str">
        <f ca="1">IFERROR(ROW(INDEX(INDIRECT("'TNX File'!A" &amp; $J25 &amp; ":A" &amp; $H$2),MATCH('TNX File Parse'!K25 &amp; "*",INDIRECT("'TNX File'!A" &amp; $J25 &amp; ":A" &amp; $H$2),0))),"")</f>
        <v/>
      </c>
      <c r="M25" s="399" t="str">
        <f ca="1">IFERROR(INDEX('TNX File'!A:A,L25,1),"")</f>
        <v/>
      </c>
      <c r="N25" s="399" t="str">
        <f t="shared" ca="1" si="1"/>
        <v/>
      </c>
      <c r="O25" s="399" t="s">
        <v>1417</v>
      </c>
      <c r="P25" s="399" t="str">
        <f ca="1">IFERROR(ROW(INDEX(INDIRECT("'TNX File'!A" &amp; $J25 &amp; ":A" &amp; $H$2),MATCH('TNX File Parse'!O25 &amp; "*",INDIRECT("'TNX File'!A" &amp; $J25 &amp; ":A" &amp; $H$2),0))),"")</f>
        <v/>
      </c>
      <c r="Q25" s="399" t="str">
        <f ca="1">IFERROR(INDEX('TNX File'!A:A,P25,1),"")</f>
        <v/>
      </c>
      <c r="R25" s="399" t="str">
        <f t="shared" ca="1" si="2"/>
        <v/>
      </c>
      <c r="S25" s="399" t="str">
        <f t="shared" ca="1" si="3"/>
        <v/>
      </c>
      <c r="T25" s="399" t="str">
        <f t="shared" ca="1" si="4"/>
        <v/>
      </c>
    </row>
    <row r="26" spans="7:20" x14ac:dyDescent="0.25">
      <c r="G26" s="399">
        <v>25</v>
      </c>
      <c r="H26" s="399"/>
      <c r="I26" s="399" t="str">
        <f t="shared" si="0"/>
        <v>TowerRec=25</v>
      </c>
      <c r="J26" s="406" t="str">
        <f ca="1">IFERROR(ROW(INDEX(INDIRECT("'TNX File'!A$1:A" &amp; $H$2),MATCH('TNX File Parse'!I26,'TNX File'!A:A,0))),"")</f>
        <v/>
      </c>
      <c r="K26" s="399" t="s">
        <v>1415</v>
      </c>
      <c r="L26" s="399" t="str">
        <f ca="1">IFERROR(ROW(INDEX(INDIRECT("'TNX File'!A" &amp; $J26 &amp; ":A" &amp; $H$2),MATCH('TNX File Parse'!K26 &amp; "*",INDIRECT("'TNX File'!A" &amp; $J26 &amp; ":A" &amp; $H$2),0))),"")</f>
        <v/>
      </c>
      <c r="M26" s="399" t="str">
        <f ca="1">IFERROR(INDEX('TNX File'!A:A,L26,1),"")</f>
        <v/>
      </c>
      <c r="N26" s="399" t="str">
        <f t="shared" ca="1" si="1"/>
        <v/>
      </c>
      <c r="O26" s="399" t="s">
        <v>1417</v>
      </c>
      <c r="P26" s="399" t="str">
        <f ca="1">IFERROR(ROW(INDEX(INDIRECT("'TNX File'!A" &amp; $J26 &amp; ":A" &amp; $H$2),MATCH('TNX File Parse'!O26 &amp; "*",INDIRECT("'TNX File'!A" &amp; $J26 &amp; ":A" &amp; $H$2),0))),"")</f>
        <v/>
      </c>
      <c r="Q26" s="399" t="str">
        <f ca="1">IFERROR(INDEX('TNX File'!A:A,P26,1),"")</f>
        <v/>
      </c>
      <c r="R26" s="399" t="str">
        <f t="shared" ca="1" si="2"/>
        <v/>
      </c>
      <c r="S26" s="399" t="str">
        <f t="shared" ca="1" si="3"/>
        <v/>
      </c>
      <c r="T26" s="399" t="str">
        <f t="shared" ca="1" si="4"/>
        <v/>
      </c>
    </row>
    <row r="27" spans="7:20" x14ac:dyDescent="0.25">
      <c r="G27" s="399">
        <v>26</v>
      </c>
      <c r="H27" s="399"/>
      <c r="I27" s="399" t="str">
        <f t="shared" si="0"/>
        <v>TowerRec=26</v>
      </c>
      <c r="J27" s="406" t="str">
        <f ca="1">IFERROR(ROW(INDEX(INDIRECT("'TNX File'!A$1:A" &amp; $H$2),MATCH('TNX File Parse'!I27,'TNX File'!A:A,0))),"")</f>
        <v/>
      </c>
      <c r="K27" s="399" t="s">
        <v>1415</v>
      </c>
      <c r="L27" s="399" t="str">
        <f ca="1">IFERROR(ROW(INDEX(INDIRECT("'TNX File'!A" &amp; $J27 &amp; ":A" &amp; $H$2),MATCH('TNX File Parse'!K27 &amp; "*",INDIRECT("'TNX File'!A" &amp; $J27 &amp; ":A" &amp; $H$2),0))),"")</f>
        <v/>
      </c>
      <c r="M27" s="399" t="str">
        <f ca="1">IFERROR(INDEX('TNX File'!A:A,L27,1),"")</f>
        <v/>
      </c>
      <c r="N27" s="399" t="str">
        <f t="shared" ca="1" si="1"/>
        <v/>
      </c>
      <c r="O27" s="399" t="s">
        <v>1417</v>
      </c>
      <c r="P27" s="399" t="str">
        <f ca="1">IFERROR(ROW(INDEX(INDIRECT("'TNX File'!A" &amp; $J27 &amp; ":A" &amp; $H$2),MATCH('TNX File Parse'!O27 &amp; "*",INDIRECT("'TNX File'!A" &amp; $J27 &amp; ":A" &amp; $H$2),0))),"")</f>
        <v/>
      </c>
      <c r="Q27" s="399" t="str">
        <f ca="1">IFERROR(INDEX('TNX File'!A:A,P27,1),"")</f>
        <v/>
      </c>
      <c r="R27" s="399" t="str">
        <f t="shared" ca="1" si="2"/>
        <v/>
      </c>
      <c r="S27" s="399" t="str">
        <f t="shared" ca="1" si="3"/>
        <v/>
      </c>
      <c r="T27" s="399" t="str">
        <f t="shared" ca="1" si="4"/>
        <v/>
      </c>
    </row>
    <row r="28" spans="7:20" x14ac:dyDescent="0.25">
      <c r="G28" s="399">
        <v>27</v>
      </c>
      <c r="H28" s="399"/>
      <c r="I28" s="399" t="str">
        <f t="shared" si="0"/>
        <v>TowerRec=27</v>
      </c>
      <c r="J28" s="406" t="str">
        <f ca="1">IFERROR(ROW(INDEX(INDIRECT("'TNX File'!A$1:A" &amp; $H$2),MATCH('TNX File Parse'!I28,'TNX File'!A:A,0))),"")</f>
        <v/>
      </c>
      <c r="K28" s="399" t="s">
        <v>1415</v>
      </c>
      <c r="L28" s="399" t="str">
        <f ca="1">IFERROR(ROW(INDEX(INDIRECT("'TNX File'!A" &amp; $J28 &amp; ":A" &amp; $H$2),MATCH('TNX File Parse'!K28 &amp; "*",INDIRECT("'TNX File'!A" &amp; $J28 &amp; ":A" &amp; $H$2),0))),"")</f>
        <v/>
      </c>
      <c r="M28" s="399" t="str">
        <f ca="1">IFERROR(INDEX('TNX File'!A:A,L28,1),"")</f>
        <v/>
      </c>
      <c r="N28" s="399" t="str">
        <f t="shared" ca="1" si="1"/>
        <v/>
      </c>
      <c r="O28" s="399" t="s">
        <v>1417</v>
      </c>
      <c r="P28" s="399" t="str">
        <f ca="1">IFERROR(ROW(INDEX(INDIRECT("'TNX File'!A" &amp; $J28 &amp; ":A" &amp; $H$2),MATCH('TNX File Parse'!O28 &amp; "*",INDIRECT("'TNX File'!A" &amp; $J28 &amp; ":A" &amp; $H$2),0))),"")</f>
        <v/>
      </c>
      <c r="Q28" s="399" t="str">
        <f ca="1">IFERROR(INDEX('TNX File'!A:A,P28,1),"")</f>
        <v/>
      </c>
      <c r="R28" s="399" t="str">
        <f t="shared" ca="1" si="2"/>
        <v/>
      </c>
      <c r="S28" s="399" t="str">
        <f t="shared" ca="1" si="3"/>
        <v/>
      </c>
      <c r="T28" s="399" t="str">
        <f t="shared" ca="1" si="4"/>
        <v/>
      </c>
    </row>
    <row r="29" spans="7:20" x14ac:dyDescent="0.25">
      <c r="G29" s="399">
        <v>28</v>
      </c>
      <c r="H29" s="399"/>
      <c r="I29" s="399" t="str">
        <f t="shared" si="0"/>
        <v>TowerRec=28</v>
      </c>
      <c r="J29" s="406" t="str">
        <f ca="1">IFERROR(ROW(INDEX(INDIRECT("'TNX File'!A$1:A" &amp; $H$2),MATCH('TNX File Parse'!I29,'TNX File'!A:A,0))),"")</f>
        <v/>
      </c>
      <c r="K29" s="399" t="s">
        <v>1415</v>
      </c>
      <c r="L29" s="399" t="str">
        <f ca="1">IFERROR(ROW(INDEX(INDIRECT("'TNX File'!A" &amp; $J29 &amp; ":A" &amp; $H$2),MATCH('TNX File Parse'!K29 &amp; "*",INDIRECT("'TNX File'!A" &amp; $J29 &amp; ":A" &amp; $H$2),0))),"")</f>
        <v/>
      </c>
      <c r="M29" s="399" t="str">
        <f ca="1">IFERROR(INDEX('TNX File'!A:A,L29,1),"")</f>
        <v/>
      </c>
      <c r="N29" s="399" t="str">
        <f t="shared" ca="1" si="1"/>
        <v/>
      </c>
      <c r="O29" s="399" t="s">
        <v>1417</v>
      </c>
      <c r="P29" s="399" t="str">
        <f ca="1">IFERROR(ROW(INDEX(INDIRECT("'TNX File'!A" &amp; $J29 &amp; ":A" &amp; $H$2),MATCH('TNX File Parse'!O29 &amp; "*",INDIRECT("'TNX File'!A" &amp; $J29 &amp; ":A" &amp; $H$2),0))),"")</f>
        <v/>
      </c>
      <c r="Q29" s="399" t="str">
        <f ca="1">IFERROR(INDEX('TNX File'!A:A,P29,1),"")</f>
        <v/>
      </c>
      <c r="R29" s="399" t="str">
        <f t="shared" ca="1" si="2"/>
        <v/>
      </c>
      <c r="S29" s="399" t="str">
        <f t="shared" ca="1" si="3"/>
        <v/>
      </c>
      <c r="T29" s="399" t="str">
        <f t="shared" ca="1" si="4"/>
        <v/>
      </c>
    </row>
    <row r="30" spans="7:20" x14ac:dyDescent="0.25">
      <c r="G30" s="399">
        <v>29</v>
      </c>
      <c r="H30" s="399"/>
      <c r="I30" s="399" t="str">
        <f t="shared" si="0"/>
        <v>TowerRec=29</v>
      </c>
      <c r="J30" s="406" t="str">
        <f ca="1">IFERROR(ROW(INDEX(INDIRECT("'TNX File'!A$1:A" &amp; $H$2),MATCH('TNX File Parse'!I30,'TNX File'!A:A,0))),"")</f>
        <v/>
      </c>
      <c r="K30" s="399" t="s">
        <v>1415</v>
      </c>
      <c r="L30" s="399" t="str">
        <f ca="1">IFERROR(ROW(INDEX(INDIRECT("'TNX File'!A" &amp; $J30 &amp; ":A" &amp; $H$2),MATCH('TNX File Parse'!K30 &amp; "*",INDIRECT("'TNX File'!A" &amp; $J30 &amp; ":A" &amp; $H$2),0))),"")</f>
        <v/>
      </c>
      <c r="M30" s="399" t="str">
        <f ca="1">IFERROR(INDEX('TNX File'!A:A,L30,1),"")</f>
        <v/>
      </c>
      <c r="N30" s="399" t="str">
        <f t="shared" ca="1" si="1"/>
        <v/>
      </c>
      <c r="O30" s="399" t="s">
        <v>1417</v>
      </c>
      <c r="P30" s="399" t="str">
        <f ca="1">IFERROR(ROW(INDEX(INDIRECT("'TNX File'!A" &amp; $J30 &amp; ":A" &amp; $H$2),MATCH('TNX File Parse'!O30 &amp; "*",INDIRECT("'TNX File'!A" &amp; $J30 &amp; ":A" &amp; $H$2),0))),"")</f>
        <v/>
      </c>
      <c r="Q30" s="399" t="str">
        <f ca="1">IFERROR(INDEX('TNX File'!A:A,P30,1),"")</f>
        <v/>
      </c>
      <c r="R30" s="399" t="str">
        <f t="shared" ca="1" si="2"/>
        <v/>
      </c>
      <c r="S30" s="399" t="str">
        <f t="shared" ca="1" si="3"/>
        <v/>
      </c>
      <c r="T30" s="399" t="str">
        <f t="shared" ca="1" si="4"/>
        <v/>
      </c>
    </row>
    <row r="31" spans="7:20" x14ac:dyDescent="0.25">
      <c r="G31" s="399">
        <v>30</v>
      </c>
      <c r="H31" s="399"/>
      <c r="I31" s="399" t="str">
        <f t="shared" si="0"/>
        <v>TowerRec=30</v>
      </c>
      <c r="J31" s="406" t="str">
        <f ca="1">IFERROR(ROW(INDEX(INDIRECT("'TNX File'!A$1:A" &amp; $H$2),MATCH('TNX File Parse'!I31,'TNX File'!A:A,0))),"")</f>
        <v/>
      </c>
      <c r="K31" s="399" t="s">
        <v>1415</v>
      </c>
      <c r="L31" s="399" t="str">
        <f ca="1">IFERROR(ROW(INDEX(INDIRECT("'TNX File'!A" &amp; $J31 &amp; ":A" &amp; $H$2),MATCH('TNX File Parse'!K31 &amp; "*",INDIRECT("'TNX File'!A" &amp; $J31 &amp; ":A" &amp; $H$2),0))),"")</f>
        <v/>
      </c>
      <c r="M31" s="399" t="str">
        <f ca="1">IFERROR(INDEX('TNX File'!A:A,L31,1),"")</f>
        <v/>
      </c>
      <c r="N31" s="399" t="str">
        <f t="shared" ca="1" si="1"/>
        <v/>
      </c>
      <c r="O31" s="399" t="s">
        <v>1417</v>
      </c>
      <c r="P31" s="399" t="str">
        <f ca="1">IFERROR(ROW(INDEX(INDIRECT("'TNX File'!A" &amp; $J31 &amp; ":A" &amp; $H$2),MATCH('TNX File Parse'!O31 &amp; "*",INDIRECT("'TNX File'!A" &amp; $J31 &amp; ":A" &amp; $H$2),0))),"")</f>
        <v/>
      </c>
      <c r="Q31" s="399" t="str">
        <f ca="1">IFERROR(INDEX('TNX File'!A:A,P31,1),"")</f>
        <v/>
      </c>
      <c r="R31" s="399" t="str">
        <f t="shared" ca="1" si="2"/>
        <v/>
      </c>
      <c r="S31" s="399" t="str">
        <f t="shared" ca="1" si="3"/>
        <v/>
      </c>
      <c r="T31" s="399" t="str">
        <f t="shared" ca="1" si="4"/>
        <v/>
      </c>
    </row>
    <row r="32" spans="7:20" x14ac:dyDescent="0.25">
      <c r="G32" s="399">
        <v>31</v>
      </c>
      <c r="H32" s="399"/>
      <c r="I32" s="399" t="str">
        <f t="shared" si="0"/>
        <v>TowerRec=31</v>
      </c>
      <c r="J32" s="406" t="str">
        <f ca="1">IFERROR(ROW(INDEX(INDIRECT("'TNX File'!A$1:A" &amp; $H$2),MATCH('TNX File Parse'!I32,'TNX File'!A:A,0))),"")</f>
        <v/>
      </c>
      <c r="K32" s="399" t="s">
        <v>1415</v>
      </c>
      <c r="L32" s="399" t="str">
        <f ca="1">IFERROR(ROW(INDEX(INDIRECT("'TNX File'!A" &amp; $J32 &amp; ":A" &amp; $H$2),MATCH('TNX File Parse'!K32 &amp; "*",INDIRECT("'TNX File'!A" &amp; $J32 &amp; ":A" &amp; $H$2),0))),"")</f>
        <v/>
      </c>
      <c r="M32" s="399" t="str">
        <f ca="1">IFERROR(INDEX('TNX File'!A:A,L32,1),"")</f>
        <v/>
      </c>
      <c r="N32" s="399" t="str">
        <f t="shared" ca="1" si="1"/>
        <v/>
      </c>
      <c r="O32" s="399" t="s">
        <v>1417</v>
      </c>
      <c r="P32" s="399" t="str">
        <f ca="1">IFERROR(ROW(INDEX(INDIRECT("'TNX File'!A" &amp; $J32 &amp; ":A" &amp; $H$2),MATCH('TNX File Parse'!O32 &amp; "*",INDIRECT("'TNX File'!A" &amp; $J32 &amp; ":A" &amp; $H$2),0))),"")</f>
        <v/>
      </c>
      <c r="Q32" s="399" t="str">
        <f ca="1">IFERROR(INDEX('TNX File'!A:A,P32,1),"")</f>
        <v/>
      </c>
      <c r="R32" s="399" t="str">
        <f t="shared" ca="1" si="2"/>
        <v/>
      </c>
      <c r="S32" s="399" t="str">
        <f t="shared" ca="1" si="3"/>
        <v/>
      </c>
      <c r="T32" s="399" t="str">
        <f t="shared" ca="1" si="4"/>
        <v/>
      </c>
    </row>
    <row r="33" spans="7:20" x14ac:dyDescent="0.25">
      <c r="G33" s="399">
        <v>32</v>
      </c>
      <c r="H33" s="399"/>
      <c r="I33" s="399" t="str">
        <f t="shared" si="0"/>
        <v>TowerRec=32</v>
      </c>
      <c r="J33" s="406" t="str">
        <f ca="1">IFERROR(ROW(INDEX(INDIRECT("'TNX File'!A$1:A" &amp; $H$2),MATCH('TNX File Parse'!I33,'TNX File'!A:A,0))),"")</f>
        <v/>
      </c>
      <c r="K33" s="399" t="s">
        <v>1415</v>
      </c>
      <c r="L33" s="399" t="str">
        <f ca="1">IFERROR(ROW(INDEX(INDIRECT("'TNX File'!A" &amp; $J33 &amp; ":A" &amp; $H$2),MATCH('TNX File Parse'!K33 &amp; "*",INDIRECT("'TNX File'!A" &amp; $J33 &amp; ":A" &amp; $H$2),0))),"")</f>
        <v/>
      </c>
      <c r="M33" s="399" t="str">
        <f ca="1">IFERROR(INDEX('TNX File'!A:A,L33,1),"")</f>
        <v/>
      </c>
      <c r="N33" s="399" t="str">
        <f t="shared" ca="1" si="1"/>
        <v/>
      </c>
      <c r="O33" s="399" t="s">
        <v>1417</v>
      </c>
      <c r="P33" s="399" t="str">
        <f ca="1">IFERROR(ROW(INDEX(INDIRECT("'TNX File'!A" &amp; $J33 &amp; ":A" &amp; $H$2),MATCH('TNX File Parse'!O33 &amp; "*",INDIRECT("'TNX File'!A" &amp; $J33 &amp; ":A" &amp; $H$2),0))),"")</f>
        <v/>
      </c>
      <c r="Q33" s="399" t="str">
        <f ca="1">IFERROR(INDEX('TNX File'!A:A,P33,1),"")</f>
        <v/>
      </c>
      <c r="R33" s="399" t="str">
        <f t="shared" ca="1" si="2"/>
        <v/>
      </c>
      <c r="S33" s="399" t="str">
        <f t="shared" ca="1" si="3"/>
        <v/>
      </c>
      <c r="T33" s="399" t="str">
        <f t="shared" ca="1" si="4"/>
        <v/>
      </c>
    </row>
    <row r="34" spans="7:20" x14ac:dyDescent="0.25">
      <c r="G34" s="399">
        <v>33</v>
      </c>
      <c r="H34" s="399"/>
      <c r="I34" s="399" t="str">
        <f t="shared" si="0"/>
        <v>TowerRec=33</v>
      </c>
      <c r="J34" s="406" t="str">
        <f ca="1">IFERROR(ROW(INDEX(INDIRECT("'TNX File'!A$1:A" &amp; $H$2),MATCH('TNX File Parse'!I34,'TNX File'!A:A,0))),"")</f>
        <v/>
      </c>
      <c r="K34" s="399" t="s">
        <v>1415</v>
      </c>
      <c r="L34" s="399" t="str">
        <f ca="1">IFERROR(ROW(INDEX(INDIRECT("'TNX File'!A" &amp; $J34 &amp; ":A" &amp; $H$2),MATCH('TNX File Parse'!K34 &amp; "*",INDIRECT("'TNX File'!A" &amp; $J34 &amp; ":A" &amp; $H$2),0))),"")</f>
        <v/>
      </c>
      <c r="M34" s="399" t="str">
        <f ca="1">IFERROR(INDEX('TNX File'!A:A,L34,1),"")</f>
        <v/>
      </c>
      <c r="N34" s="399" t="str">
        <f t="shared" ca="1" si="1"/>
        <v/>
      </c>
      <c r="O34" s="399" t="s">
        <v>1417</v>
      </c>
      <c r="P34" s="399" t="str">
        <f ca="1">IFERROR(ROW(INDEX(INDIRECT("'TNX File'!A" &amp; $J34 &amp; ":A" &amp; $H$2),MATCH('TNX File Parse'!O34 &amp; "*",INDIRECT("'TNX File'!A" &amp; $J34 &amp; ":A" &amp; $H$2),0))),"")</f>
        <v/>
      </c>
      <c r="Q34" s="399" t="str">
        <f ca="1">IFERROR(INDEX('TNX File'!A:A,P34,1),"")</f>
        <v/>
      </c>
      <c r="R34" s="399" t="str">
        <f t="shared" ca="1" si="2"/>
        <v/>
      </c>
      <c r="S34" s="399" t="str">
        <f t="shared" ca="1" si="3"/>
        <v/>
      </c>
      <c r="T34" s="399" t="str">
        <f t="shared" ca="1" si="4"/>
        <v/>
      </c>
    </row>
    <row r="35" spans="7:20" x14ac:dyDescent="0.25">
      <c r="G35" s="399">
        <v>34</v>
      </c>
      <c r="H35" s="399"/>
      <c r="I35" s="399" t="str">
        <f t="shared" si="0"/>
        <v>TowerRec=34</v>
      </c>
      <c r="J35" s="406" t="str">
        <f ca="1">IFERROR(ROW(INDEX(INDIRECT("'TNX File'!A$1:A" &amp; $H$2),MATCH('TNX File Parse'!I35,'TNX File'!A:A,0))),"")</f>
        <v/>
      </c>
      <c r="K35" s="399" t="s">
        <v>1415</v>
      </c>
      <c r="L35" s="399" t="str">
        <f ca="1">IFERROR(ROW(INDEX(INDIRECT("'TNX File'!A" &amp; $J35 &amp; ":A" &amp; $H$2),MATCH('TNX File Parse'!K35 &amp; "*",INDIRECT("'TNX File'!A" &amp; $J35 &amp; ":A" &amp; $H$2),0))),"")</f>
        <v/>
      </c>
      <c r="M35" s="399" t="str">
        <f ca="1">IFERROR(INDEX('TNX File'!A:A,L35,1),"")</f>
        <v/>
      </c>
      <c r="N35" s="399" t="str">
        <f t="shared" ca="1" si="1"/>
        <v/>
      </c>
      <c r="O35" s="399" t="s">
        <v>1417</v>
      </c>
      <c r="P35" s="399" t="str">
        <f ca="1">IFERROR(ROW(INDEX(INDIRECT("'TNX File'!A" &amp; $J35 &amp; ":A" &amp; $H$2),MATCH('TNX File Parse'!O35 &amp; "*",INDIRECT("'TNX File'!A" &amp; $J35 &amp; ":A" &amp; $H$2),0))),"")</f>
        <v/>
      </c>
      <c r="Q35" s="399" t="str">
        <f ca="1">IFERROR(INDEX('TNX File'!A:A,P35,1),"")</f>
        <v/>
      </c>
      <c r="R35" s="399" t="str">
        <f t="shared" ca="1" si="2"/>
        <v/>
      </c>
      <c r="S35" s="399" t="str">
        <f t="shared" ca="1" si="3"/>
        <v/>
      </c>
      <c r="T35" s="399" t="str">
        <f t="shared" ca="1" si="4"/>
        <v/>
      </c>
    </row>
    <row r="36" spans="7:20" x14ac:dyDescent="0.25">
      <c r="G36" s="399">
        <v>35</v>
      </c>
      <c r="H36" s="399"/>
      <c r="I36" s="399" t="str">
        <f t="shared" si="0"/>
        <v>TowerRec=35</v>
      </c>
      <c r="J36" s="406" t="str">
        <f ca="1">IFERROR(ROW(INDEX(INDIRECT("'TNX File'!A$1:A" &amp; $H$2),MATCH('TNX File Parse'!I36,'TNX File'!A:A,0))),"")</f>
        <v/>
      </c>
      <c r="K36" s="399" t="s">
        <v>1415</v>
      </c>
      <c r="L36" s="399" t="str">
        <f ca="1">IFERROR(ROW(INDEX(INDIRECT("'TNX File'!A" &amp; $J36 &amp; ":A" &amp; $H$2),MATCH('TNX File Parse'!K36 &amp; "*",INDIRECT("'TNX File'!A" &amp; $J36 &amp; ":A" &amp; $H$2),0))),"")</f>
        <v/>
      </c>
      <c r="M36" s="399" t="str">
        <f ca="1">IFERROR(INDEX('TNX File'!A:A,L36,1),"")</f>
        <v/>
      </c>
      <c r="N36" s="399" t="str">
        <f t="shared" ca="1" si="1"/>
        <v/>
      </c>
      <c r="O36" s="399" t="s">
        <v>1417</v>
      </c>
      <c r="P36" s="399" t="str">
        <f ca="1">IFERROR(ROW(INDEX(INDIRECT("'TNX File'!A" &amp; $J36 &amp; ":A" &amp; $H$2),MATCH('TNX File Parse'!O36 &amp; "*",INDIRECT("'TNX File'!A" &amp; $J36 &amp; ":A" &amp; $H$2),0))),"")</f>
        <v/>
      </c>
      <c r="Q36" s="399" t="str">
        <f ca="1">IFERROR(INDEX('TNX File'!A:A,P36,1),"")</f>
        <v/>
      </c>
      <c r="R36" s="399" t="str">
        <f t="shared" ca="1" si="2"/>
        <v/>
      </c>
      <c r="S36" s="399" t="str">
        <f t="shared" ca="1" si="3"/>
        <v/>
      </c>
      <c r="T36" s="399" t="str">
        <f t="shared" ca="1" si="4"/>
        <v/>
      </c>
    </row>
    <row r="37" spans="7:20" x14ac:dyDescent="0.25">
      <c r="G37" s="399">
        <v>36</v>
      </c>
      <c r="H37" s="399"/>
      <c r="I37" s="399" t="str">
        <f t="shared" si="0"/>
        <v>TowerRec=36</v>
      </c>
      <c r="J37" s="406" t="str">
        <f ca="1">IFERROR(ROW(INDEX(INDIRECT("'TNX File'!A$1:A" &amp; $H$2),MATCH('TNX File Parse'!I37,'TNX File'!A:A,0))),"")</f>
        <v/>
      </c>
      <c r="K37" s="399" t="s">
        <v>1415</v>
      </c>
      <c r="L37" s="399" t="str">
        <f ca="1">IFERROR(ROW(INDEX(INDIRECT("'TNX File'!A" &amp; $J37 &amp; ":A" &amp; $H$2),MATCH('TNX File Parse'!K37 &amp; "*",INDIRECT("'TNX File'!A" &amp; $J37 &amp; ":A" &amp; $H$2),0))),"")</f>
        <v/>
      </c>
      <c r="M37" s="399" t="str">
        <f ca="1">IFERROR(INDEX('TNX File'!A:A,L37,1),"")</f>
        <v/>
      </c>
      <c r="N37" s="399" t="str">
        <f t="shared" ca="1" si="1"/>
        <v/>
      </c>
      <c r="O37" s="399" t="s">
        <v>1417</v>
      </c>
      <c r="P37" s="399" t="str">
        <f ca="1">IFERROR(ROW(INDEX(INDIRECT("'TNX File'!A" &amp; $J37 &amp; ":A" &amp; $H$2),MATCH('TNX File Parse'!O37 &amp; "*",INDIRECT("'TNX File'!A" &amp; $J37 &amp; ":A" &amp; $H$2),0))),"")</f>
        <v/>
      </c>
      <c r="Q37" s="399" t="str">
        <f ca="1">IFERROR(INDEX('TNX File'!A:A,P37,1),"")</f>
        <v/>
      </c>
      <c r="R37" s="399" t="str">
        <f t="shared" ca="1" si="2"/>
        <v/>
      </c>
      <c r="S37" s="399" t="str">
        <f t="shared" ca="1" si="3"/>
        <v/>
      </c>
      <c r="T37" s="399" t="str">
        <f t="shared" ca="1" si="4"/>
        <v/>
      </c>
    </row>
    <row r="38" spans="7:20" x14ac:dyDescent="0.25">
      <c r="G38" s="399">
        <v>37</v>
      </c>
      <c r="H38" s="399"/>
      <c r="I38" s="399" t="str">
        <f t="shared" si="0"/>
        <v>TowerRec=37</v>
      </c>
      <c r="J38" s="406" t="str">
        <f ca="1">IFERROR(ROW(INDEX(INDIRECT("'TNX File'!A$1:A" &amp; $H$2),MATCH('TNX File Parse'!I38,'TNX File'!A:A,0))),"")</f>
        <v/>
      </c>
      <c r="K38" s="399" t="s">
        <v>1415</v>
      </c>
      <c r="L38" s="399" t="str">
        <f ca="1">IFERROR(ROW(INDEX(INDIRECT("'TNX File'!A" &amp; $J38 &amp; ":A" &amp; $H$2),MATCH('TNX File Parse'!K38 &amp; "*",INDIRECT("'TNX File'!A" &amp; $J38 &amp; ":A" &amp; $H$2),0))),"")</f>
        <v/>
      </c>
      <c r="M38" s="399" t="str">
        <f ca="1">IFERROR(INDEX('TNX File'!A:A,L38,1),"")</f>
        <v/>
      </c>
      <c r="N38" s="399" t="str">
        <f t="shared" ca="1" si="1"/>
        <v/>
      </c>
      <c r="O38" s="399" t="s">
        <v>1417</v>
      </c>
      <c r="P38" s="399" t="str">
        <f ca="1">IFERROR(ROW(INDEX(INDIRECT("'TNX File'!A" &amp; $J38 &amp; ":A" &amp; $H$2),MATCH('TNX File Parse'!O38 &amp; "*",INDIRECT("'TNX File'!A" &amp; $J38 &amp; ":A" &amp; $H$2),0))),"")</f>
        <v/>
      </c>
      <c r="Q38" s="399" t="str">
        <f ca="1">IFERROR(INDEX('TNX File'!A:A,P38,1),"")</f>
        <v/>
      </c>
      <c r="R38" s="399" t="str">
        <f t="shared" ca="1" si="2"/>
        <v/>
      </c>
      <c r="S38" s="399" t="str">
        <f t="shared" ca="1" si="3"/>
        <v/>
      </c>
      <c r="T38" s="399" t="str">
        <f t="shared" ca="1" si="4"/>
        <v/>
      </c>
    </row>
    <row r="39" spans="7:20" x14ac:dyDescent="0.25">
      <c r="G39" s="399">
        <v>38</v>
      </c>
      <c r="H39" s="399"/>
      <c r="I39" s="399" t="str">
        <f t="shared" si="0"/>
        <v>TowerRec=38</v>
      </c>
      <c r="J39" s="406" t="str">
        <f ca="1">IFERROR(ROW(INDEX(INDIRECT("'TNX File'!A$1:A" &amp; $H$2),MATCH('TNX File Parse'!I39,'TNX File'!A:A,0))),"")</f>
        <v/>
      </c>
      <c r="K39" s="399" t="s">
        <v>1415</v>
      </c>
      <c r="L39" s="399" t="str">
        <f ca="1">IFERROR(ROW(INDEX(INDIRECT("'TNX File'!A" &amp; $J39 &amp; ":A" &amp; $H$2),MATCH('TNX File Parse'!K39 &amp; "*",INDIRECT("'TNX File'!A" &amp; $J39 &amp; ":A" &amp; $H$2),0))),"")</f>
        <v/>
      </c>
      <c r="M39" s="399" t="str">
        <f ca="1">IFERROR(INDEX('TNX File'!A:A,L39,1),"")</f>
        <v/>
      </c>
      <c r="N39" s="399" t="str">
        <f t="shared" ca="1" si="1"/>
        <v/>
      </c>
      <c r="O39" s="399" t="s">
        <v>1417</v>
      </c>
      <c r="P39" s="399" t="str">
        <f ca="1">IFERROR(ROW(INDEX(INDIRECT("'TNX File'!A" &amp; $J39 &amp; ":A" &amp; $H$2),MATCH('TNX File Parse'!O39 &amp; "*",INDIRECT("'TNX File'!A" &amp; $J39 &amp; ":A" &amp; $H$2),0))),"")</f>
        <v/>
      </c>
      <c r="Q39" s="399" t="str">
        <f ca="1">IFERROR(INDEX('TNX File'!A:A,P39,1),"")</f>
        <v/>
      </c>
      <c r="R39" s="399" t="str">
        <f t="shared" ca="1" si="2"/>
        <v/>
      </c>
      <c r="S39" s="399" t="str">
        <f t="shared" ca="1" si="3"/>
        <v/>
      </c>
      <c r="T39" s="399" t="str">
        <f t="shared" ca="1" si="4"/>
        <v/>
      </c>
    </row>
    <row r="40" spans="7:20" x14ac:dyDescent="0.25">
      <c r="G40" s="399">
        <v>39</v>
      </c>
      <c r="H40" s="399"/>
      <c r="I40" s="399" t="str">
        <f t="shared" si="0"/>
        <v>TowerRec=39</v>
      </c>
      <c r="J40" s="406" t="str">
        <f ca="1">IFERROR(ROW(INDEX(INDIRECT("'TNX File'!A$1:A" &amp; $H$2),MATCH('TNX File Parse'!I40,'TNX File'!A:A,0))),"")</f>
        <v/>
      </c>
      <c r="K40" s="399" t="s">
        <v>1415</v>
      </c>
      <c r="L40" s="399" t="str">
        <f ca="1">IFERROR(ROW(INDEX(INDIRECT("'TNX File'!A" &amp; $J40 &amp; ":A" &amp; $H$2),MATCH('TNX File Parse'!K40 &amp; "*",INDIRECT("'TNX File'!A" &amp; $J40 &amp; ":A" &amp; $H$2),0))),"")</f>
        <v/>
      </c>
      <c r="M40" s="399" t="str">
        <f ca="1">IFERROR(INDEX('TNX File'!A:A,L40,1),"")</f>
        <v/>
      </c>
      <c r="N40" s="399" t="str">
        <f t="shared" ca="1" si="1"/>
        <v/>
      </c>
      <c r="O40" s="399" t="s">
        <v>1417</v>
      </c>
      <c r="P40" s="399" t="str">
        <f ca="1">IFERROR(ROW(INDEX(INDIRECT("'TNX File'!A" &amp; $J40 &amp; ":A" &amp; $H$2),MATCH('TNX File Parse'!O40 &amp; "*",INDIRECT("'TNX File'!A" &amp; $J40 &amp; ":A" &amp; $H$2),0))),"")</f>
        <v/>
      </c>
      <c r="Q40" s="399" t="str">
        <f ca="1">IFERROR(INDEX('TNX File'!A:A,P40,1),"")</f>
        <v/>
      </c>
      <c r="R40" s="399" t="str">
        <f t="shared" ca="1" si="2"/>
        <v/>
      </c>
      <c r="S40" s="399" t="str">
        <f t="shared" ca="1" si="3"/>
        <v/>
      </c>
      <c r="T40" s="399" t="str">
        <f t="shared" ca="1" si="4"/>
        <v/>
      </c>
    </row>
    <row r="41" spans="7:20" x14ac:dyDescent="0.25">
      <c r="G41" s="399">
        <v>40</v>
      </c>
      <c r="H41" s="399"/>
      <c r="I41" s="399" t="str">
        <f t="shared" si="0"/>
        <v>TowerRec=40</v>
      </c>
      <c r="J41" s="406" t="str">
        <f ca="1">IFERROR(ROW(INDEX(INDIRECT("'TNX File'!A$1:A" &amp; $H$2),MATCH('TNX File Parse'!I41,'TNX File'!A:A,0))),"")</f>
        <v/>
      </c>
      <c r="K41" s="399" t="s">
        <v>1415</v>
      </c>
      <c r="L41" s="399" t="str">
        <f ca="1">IFERROR(ROW(INDEX(INDIRECT("'TNX File'!A" &amp; $J41 &amp; ":A" &amp; $H$2),MATCH('TNX File Parse'!K41 &amp; "*",INDIRECT("'TNX File'!A" &amp; $J41 &amp; ":A" &amp; $H$2),0))),"")</f>
        <v/>
      </c>
      <c r="M41" s="399" t="str">
        <f ca="1">IFERROR(INDEX('TNX File'!A:A,L41,1),"")</f>
        <v/>
      </c>
      <c r="N41" s="399" t="str">
        <f t="shared" ca="1" si="1"/>
        <v/>
      </c>
      <c r="O41" s="399" t="s">
        <v>1417</v>
      </c>
      <c r="P41" s="399" t="str">
        <f ca="1">IFERROR(ROW(INDEX(INDIRECT("'TNX File'!A" &amp; $J41 &amp; ":A" &amp; $H$2),MATCH('TNX File Parse'!O41 &amp; "*",INDIRECT("'TNX File'!A" &amp; $J41 &amp; ":A" &amp; $H$2),0))),"")</f>
        <v/>
      </c>
      <c r="Q41" s="399" t="str">
        <f ca="1">IFERROR(INDEX('TNX File'!A:A,P41,1),"")</f>
        <v/>
      </c>
      <c r="R41" s="399" t="str">
        <f t="shared" ca="1" si="2"/>
        <v/>
      </c>
      <c r="S41" s="399" t="str">
        <f t="shared" ca="1" si="3"/>
        <v/>
      </c>
      <c r="T41" s="399" t="str">
        <f t="shared" ca="1" si="4"/>
        <v/>
      </c>
    </row>
    <row r="42" spans="7:20" x14ac:dyDescent="0.25">
      <c r="G42" s="399">
        <v>41</v>
      </c>
      <c r="H42" s="399"/>
      <c r="I42" s="399" t="str">
        <f t="shared" si="0"/>
        <v>TowerRec=41</v>
      </c>
      <c r="J42" s="406" t="str">
        <f ca="1">IFERROR(ROW(INDEX(INDIRECT("'TNX File'!A$1:A" &amp; $H$2),MATCH('TNX File Parse'!I42,'TNX File'!A:A,0))),"")</f>
        <v/>
      </c>
      <c r="K42" s="399" t="s">
        <v>1415</v>
      </c>
      <c r="L42" s="399" t="str">
        <f ca="1">IFERROR(ROW(INDEX(INDIRECT("'TNX File'!A" &amp; $J42 &amp; ":A" &amp; $H$2),MATCH('TNX File Parse'!K42 &amp; "*",INDIRECT("'TNX File'!A" &amp; $J42 &amp; ":A" &amp; $H$2),0))),"")</f>
        <v/>
      </c>
      <c r="M42" s="399" t="str">
        <f ca="1">IFERROR(INDEX('TNX File'!A:A,L42,1),"")</f>
        <v/>
      </c>
      <c r="N42" s="399" t="str">
        <f t="shared" ca="1" si="1"/>
        <v/>
      </c>
      <c r="O42" s="399" t="s">
        <v>1417</v>
      </c>
      <c r="P42" s="399" t="str">
        <f ca="1">IFERROR(ROW(INDEX(INDIRECT("'TNX File'!A" &amp; $J42 &amp; ":A" &amp; $H$2),MATCH('TNX File Parse'!O42 &amp; "*",INDIRECT("'TNX File'!A" &amp; $J42 &amp; ":A" &amp; $H$2),0))),"")</f>
        <v/>
      </c>
      <c r="Q42" s="399" t="str">
        <f ca="1">IFERROR(INDEX('TNX File'!A:A,P42,1),"")</f>
        <v/>
      </c>
      <c r="R42" s="399" t="str">
        <f t="shared" ca="1" si="2"/>
        <v/>
      </c>
      <c r="S42" s="399" t="str">
        <f t="shared" ca="1" si="3"/>
        <v/>
      </c>
      <c r="T42" s="399" t="str">
        <f t="shared" ca="1" si="4"/>
        <v/>
      </c>
    </row>
    <row r="43" spans="7:20" x14ac:dyDescent="0.25">
      <c r="G43" s="399">
        <v>42</v>
      </c>
      <c r="H43" s="399"/>
      <c r="I43" s="399" t="str">
        <f t="shared" si="0"/>
        <v>TowerRec=42</v>
      </c>
      <c r="J43" s="406" t="str">
        <f ca="1">IFERROR(ROW(INDEX(INDIRECT("'TNX File'!A$1:A" &amp; $H$2),MATCH('TNX File Parse'!I43,'TNX File'!A:A,0))),"")</f>
        <v/>
      </c>
      <c r="K43" s="399" t="s">
        <v>1415</v>
      </c>
      <c r="L43" s="399" t="str">
        <f ca="1">IFERROR(ROW(INDEX(INDIRECT("'TNX File'!A" &amp; $J43 &amp; ":A" &amp; $H$2),MATCH('TNX File Parse'!K43 &amp; "*",INDIRECT("'TNX File'!A" &amp; $J43 &amp; ":A" &amp; $H$2),0))),"")</f>
        <v/>
      </c>
      <c r="M43" s="399" t="str">
        <f ca="1">IFERROR(INDEX('TNX File'!A:A,L43,1),"")</f>
        <v/>
      </c>
      <c r="N43" s="399" t="str">
        <f t="shared" ca="1" si="1"/>
        <v/>
      </c>
      <c r="O43" s="399" t="s">
        <v>1417</v>
      </c>
      <c r="P43" s="399" t="str">
        <f ca="1">IFERROR(ROW(INDEX(INDIRECT("'TNX File'!A" &amp; $J43 &amp; ":A" &amp; $H$2),MATCH('TNX File Parse'!O43 &amp; "*",INDIRECT("'TNX File'!A" &amp; $J43 &amp; ":A" &amp; $H$2),0))),"")</f>
        <v/>
      </c>
      <c r="Q43" s="399" t="str">
        <f ca="1">IFERROR(INDEX('TNX File'!A:A,P43,1),"")</f>
        <v/>
      </c>
      <c r="R43" s="399" t="str">
        <f t="shared" ca="1" si="2"/>
        <v/>
      </c>
      <c r="S43" s="399" t="str">
        <f t="shared" ca="1" si="3"/>
        <v/>
      </c>
      <c r="T43" s="399" t="str">
        <f t="shared" ca="1" si="4"/>
        <v/>
      </c>
    </row>
    <row r="44" spans="7:20" x14ac:dyDescent="0.25">
      <c r="G44" s="399">
        <v>43</v>
      </c>
      <c r="H44" s="399"/>
      <c r="I44" s="399" t="str">
        <f t="shared" si="0"/>
        <v>TowerRec=43</v>
      </c>
      <c r="J44" s="406" t="str">
        <f ca="1">IFERROR(ROW(INDEX(INDIRECT("'TNX File'!A$1:A" &amp; $H$2),MATCH('TNX File Parse'!I44,'TNX File'!A:A,0))),"")</f>
        <v/>
      </c>
      <c r="K44" s="399" t="s">
        <v>1415</v>
      </c>
      <c r="L44" s="399" t="str">
        <f ca="1">IFERROR(ROW(INDEX(INDIRECT("'TNX File'!A" &amp; $J44 &amp; ":A" &amp; $H$2),MATCH('TNX File Parse'!K44 &amp; "*",INDIRECT("'TNX File'!A" &amp; $J44 &amp; ":A" &amp; $H$2),0))),"")</f>
        <v/>
      </c>
      <c r="M44" s="399" t="str">
        <f ca="1">IFERROR(INDEX('TNX File'!A:A,L44,1),"")</f>
        <v/>
      </c>
      <c r="N44" s="399" t="str">
        <f t="shared" ca="1" si="1"/>
        <v/>
      </c>
      <c r="O44" s="399" t="s">
        <v>1417</v>
      </c>
      <c r="P44" s="399" t="str">
        <f ca="1">IFERROR(ROW(INDEX(INDIRECT("'TNX File'!A" &amp; $J44 &amp; ":A" &amp; $H$2),MATCH('TNX File Parse'!O44 &amp; "*",INDIRECT("'TNX File'!A" &amp; $J44 &amp; ":A" &amp; $H$2),0))),"")</f>
        <v/>
      </c>
      <c r="Q44" s="399" t="str">
        <f ca="1">IFERROR(INDEX('TNX File'!A:A,P44,1),"")</f>
        <v/>
      </c>
      <c r="R44" s="399" t="str">
        <f t="shared" ca="1" si="2"/>
        <v/>
      </c>
      <c r="S44" s="399" t="str">
        <f t="shared" ca="1" si="3"/>
        <v/>
      </c>
      <c r="T44" s="399" t="str">
        <f t="shared" ca="1" si="4"/>
        <v/>
      </c>
    </row>
    <row r="45" spans="7:20" x14ac:dyDescent="0.25">
      <c r="G45" s="399">
        <v>44</v>
      </c>
      <c r="H45" s="399"/>
      <c r="I45" s="399" t="str">
        <f t="shared" si="0"/>
        <v>TowerRec=44</v>
      </c>
      <c r="J45" s="406" t="str">
        <f ca="1">IFERROR(ROW(INDEX(INDIRECT("'TNX File'!A$1:A" &amp; $H$2),MATCH('TNX File Parse'!I45,'TNX File'!A:A,0))),"")</f>
        <v/>
      </c>
      <c r="K45" s="399" t="s">
        <v>1415</v>
      </c>
      <c r="L45" s="399" t="str">
        <f ca="1">IFERROR(ROW(INDEX(INDIRECT("'TNX File'!A" &amp; $J45 &amp; ":A" &amp; $H$2),MATCH('TNX File Parse'!K45 &amp; "*",INDIRECT("'TNX File'!A" &amp; $J45 &amp; ":A" &amp; $H$2),0))),"")</f>
        <v/>
      </c>
      <c r="M45" s="399" t="str">
        <f ca="1">IFERROR(INDEX('TNX File'!A:A,L45,1),"")</f>
        <v/>
      </c>
      <c r="N45" s="399" t="str">
        <f t="shared" ca="1" si="1"/>
        <v/>
      </c>
      <c r="O45" s="399" t="s">
        <v>1417</v>
      </c>
      <c r="P45" s="399" t="str">
        <f ca="1">IFERROR(ROW(INDEX(INDIRECT("'TNX File'!A" &amp; $J45 &amp; ":A" &amp; $H$2),MATCH('TNX File Parse'!O45 &amp; "*",INDIRECT("'TNX File'!A" &amp; $J45 &amp; ":A" &amp; $H$2),0))),"")</f>
        <v/>
      </c>
      <c r="Q45" s="399" t="str">
        <f ca="1">IFERROR(INDEX('TNX File'!A:A,P45,1),"")</f>
        <v/>
      </c>
      <c r="R45" s="399" t="str">
        <f t="shared" ca="1" si="2"/>
        <v/>
      </c>
      <c r="S45" s="399" t="str">
        <f t="shared" ca="1" si="3"/>
        <v/>
      </c>
      <c r="T45" s="399" t="str">
        <f t="shared" ca="1" si="4"/>
        <v/>
      </c>
    </row>
    <row r="46" spans="7:20" x14ac:dyDescent="0.25">
      <c r="G46" s="399">
        <v>45</v>
      </c>
      <c r="H46" s="399"/>
      <c r="I46" s="399" t="str">
        <f t="shared" si="0"/>
        <v>TowerRec=45</v>
      </c>
      <c r="J46" s="406" t="str">
        <f ca="1">IFERROR(ROW(INDEX(INDIRECT("'TNX File'!A$1:A" &amp; $H$2),MATCH('TNX File Parse'!I46,'TNX File'!A:A,0))),"")</f>
        <v/>
      </c>
      <c r="K46" s="399" t="s">
        <v>1415</v>
      </c>
      <c r="L46" s="399" t="str">
        <f ca="1">IFERROR(ROW(INDEX(INDIRECT("'TNX File'!A" &amp; $J46 &amp; ":A" &amp; $H$2),MATCH('TNX File Parse'!K46 &amp; "*",INDIRECT("'TNX File'!A" &amp; $J46 &amp; ":A" &amp; $H$2),0))),"")</f>
        <v/>
      </c>
      <c r="M46" s="399" t="str">
        <f ca="1">IFERROR(INDEX('TNX File'!A:A,L46,1),"")</f>
        <v/>
      </c>
      <c r="N46" s="399" t="str">
        <f t="shared" ca="1" si="1"/>
        <v/>
      </c>
      <c r="O46" s="399" t="s">
        <v>1417</v>
      </c>
      <c r="P46" s="399" t="str">
        <f ca="1">IFERROR(ROW(INDEX(INDIRECT("'TNX File'!A" &amp; $J46 &amp; ":A" &amp; $H$2),MATCH('TNX File Parse'!O46 &amp; "*",INDIRECT("'TNX File'!A" &amp; $J46 &amp; ":A" &amp; $H$2),0))),"")</f>
        <v/>
      </c>
      <c r="Q46" s="399" t="str">
        <f ca="1">IFERROR(INDEX('TNX File'!A:A,P46,1),"")</f>
        <v/>
      </c>
      <c r="R46" s="399" t="str">
        <f t="shared" ca="1" si="2"/>
        <v/>
      </c>
      <c r="S46" s="399" t="str">
        <f t="shared" ca="1" si="3"/>
        <v/>
      </c>
      <c r="T46" s="399" t="str">
        <f t="shared" ca="1" si="4"/>
        <v/>
      </c>
    </row>
    <row r="47" spans="7:20" x14ac:dyDescent="0.25">
      <c r="G47" s="399">
        <v>46</v>
      </c>
      <c r="H47" s="399"/>
      <c r="I47" s="399" t="str">
        <f t="shared" si="0"/>
        <v>TowerRec=46</v>
      </c>
      <c r="J47" s="406" t="str">
        <f ca="1">IFERROR(ROW(INDEX(INDIRECT("'TNX File'!A$1:A" &amp; $H$2),MATCH('TNX File Parse'!I47,'TNX File'!A:A,0))),"")</f>
        <v/>
      </c>
      <c r="K47" s="399" t="s">
        <v>1415</v>
      </c>
      <c r="L47" s="399" t="str">
        <f ca="1">IFERROR(ROW(INDEX(INDIRECT("'TNX File'!A" &amp; $J47 &amp; ":A" &amp; $H$2),MATCH('TNX File Parse'!K47 &amp; "*",INDIRECT("'TNX File'!A" &amp; $J47 &amp; ":A" &amp; $H$2),0))),"")</f>
        <v/>
      </c>
      <c r="M47" s="399" t="str">
        <f ca="1">IFERROR(INDEX('TNX File'!A:A,L47,1),"")</f>
        <v/>
      </c>
      <c r="N47" s="399" t="str">
        <f t="shared" ca="1" si="1"/>
        <v/>
      </c>
      <c r="O47" s="399" t="s">
        <v>1417</v>
      </c>
      <c r="P47" s="399" t="str">
        <f ca="1">IFERROR(ROW(INDEX(INDIRECT("'TNX File'!A" &amp; $J47 &amp; ":A" &amp; $H$2),MATCH('TNX File Parse'!O47 &amp; "*",INDIRECT("'TNX File'!A" &amp; $J47 &amp; ":A" &amp; $H$2),0))),"")</f>
        <v/>
      </c>
      <c r="Q47" s="399" t="str">
        <f ca="1">IFERROR(INDEX('TNX File'!A:A,P47,1),"")</f>
        <v/>
      </c>
      <c r="R47" s="399" t="str">
        <f t="shared" ca="1" si="2"/>
        <v/>
      </c>
      <c r="S47" s="399" t="str">
        <f t="shared" ca="1" si="3"/>
        <v/>
      </c>
      <c r="T47" s="399" t="str">
        <f t="shared" ca="1" si="4"/>
        <v/>
      </c>
    </row>
    <row r="48" spans="7:20" x14ac:dyDescent="0.25">
      <c r="G48" s="399">
        <v>47</v>
      </c>
      <c r="H48" s="399"/>
      <c r="I48" s="399" t="str">
        <f t="shared" si="0"/>
        <v>TowerRec=47</v>
      </c>
      <c r="J48" s="406" t="str">
        <f ca="1">IFERROR(ROW(INDEX(INDIRECT("'TNX File'!A$1:A" &amp; $H$2),MATCH('TNX File Parse'!I48,'TNX File'!A:A,0))),"")</f>
        <v/>
      </c>
      <c r="K48" s="399" t="s">
        <v>1415</v>
      </c>
      <c r="L48" s="399" t="str">
        <f ca="1">IFERROR(ROW(INDEX(INDIRECT("'TNX File'!A" &amp; $J48 &amp; ":A" &amp; $H$2),MATCH('TNX File Parse'!K48 &amp; "*",INDIRECT("'TNX File'!A" &amp; $J48 &amp; ":A" &amp; $H$2),0))),"")</f>
        <v/>
      </c>
      <c r="M48" s="399" t="str">
        <f ca="1">IFERROR(INDEX('TNX File'!A:A,L48,1),"")</f>
        <v/>
      </c>
      <c r="N48" s="399" t="str">
        <f t="shared" ca="1" si="1"/>
        <v/>
      </c>
      <c r="O48" s="399" t="s">
        <v>1417</v>
      </c>
      <c r="P48" s="399" t="str">
        <f ca="1">IFERROR(ROW(INDEX(INDIRECT("'TNX File'!A" &amp; $J48 &amp; ":A" &amp; $H$2),MATCH('TNX File Parse'!O48 &amp; "*",INDIRECT("'TNX File'!A" &amp; $J48 &amp; ":A" &amp; $H$2),0))),"")</f>
        <v/>
      </c>
      <c r="Q48" s="399" t="str">
        <f ca="1">IFERROR(INDEX('TNX File'!A:A,P48,1),"")</f>
        <v/>
      </c>
      <c r="R48" s="399" t="str">
        <f t="shared" ca="1" si="2"/>
        <v/>
      </c>
      <c r="S48" s="399" t="str">
        <f t="shared" ca="1" si="3"/>
        <v/>
      </c>
      <c r="T48" s="399" t="str">
        <f t="shared" ca="1" si="4"/>
        <v/>
      </c>
    </row>
    <row r="49" spans="7:20" x14ac:dyDescent="0.25">
      <c r="G49" s="399">
        <v>48</v>
      </c>
      <c r="H49" s="399"/>
      <c r="I49" s="399" t="str">
        <f t="shared" si="0"/>
        <v>TowerRec=48</v>
      </c>
      <c r="J49" s="406" t="str">
        <f ca="1">IFERROR(ROW(INDEX(INDIRECT("'TNX File'!A$1:A" &amp; $H$2),MATCH('TNX File Parse'!I49,'TNX File'!A:A,0))),"")</f>
        <v/>
      </c>
      <c r="K49" s="399" t="s">
        <v>1415</v>
      </c>
      <c r="L49" s="399" t="str">
        <f ca="1">IFERROR(ROW(INDEX(INDIRECT("'TNX File'!A" &amp; $J49 &amp; ":A" &amp; $H$2),MATCH('TNX File Parse'!K49 &amp; "*",INDIRECT("'TNX File'!A" &amp; $J49 &amp; ":A" &amp; $H$2),0))),"")</f>
        <v/>
      </c>
      <c r="M49" s="399" t="str">
        <f ca="1">IFERROR(INDEX('TNX File'!A:A,L49,1),"")</f>
        <v/>
      </c>
      <c r="N49" s="399" t="str">
        <f t="shared" ca="1" si="1"/>
        <v/>
      </c>
      <c r="O49" s="399" t="s">
        <v>1417</v>
      </c>
      <c r="P49" s="399" t="str">
        <f ca="1">IFERROR(ROW(INDEX(INDIRECT("'TNX File'!A" &amp; $J49 &amp; ":A" &amp; $H$2),MATCH('TNX File Parse'!O49 &amp; "*",INDIRECT("'TNX File'!A" &amp; $J49 &amp; ":A" &amp; $H$2),0))),"")</f>
        <v/>
      </c>
      <c r="Q49" s="399" t="str">
        <f ca="1">IFERROR(INDEX('TNX File'!A:A,P49,1),"")</f>
        <v/>
      </c>
      <c r="R49" s="399" t="str">
        <f t="shared" ca="1" si="2"/>
        <v/>
      </c>
      <c r="S49" s="399" t="str">
        <f t="shared" ca="1" si="3"/>
        <v/>
      </c>
      <c r="T49" s="399" t="str">
        <f t="shared" ca="1" si="4"/>
        <v/>
      </c>
    </row>
    <row r="50" spans="7:20" x14ac:dyDescent="0.25">
      <c r="G50" s="399">
        <v>49</v>
      </c>
      <c r="H50" s="399"/>
      <c r="I50" s="399" t="str">
        <f t="shared" si="0"/>
        <v>TowerRec=49</v>
      </c>
      <c r="J50" s="406" t="str">
        <f ca="1">IFERROR(ROW(INDEX(INDIRECT("'TNX File'!A$1:A" &amp; $H$2),MATCH('TNX File Parse'!I50,'TNX File'!A:A,0))),"")</f>
        <v/>
      </c>
      <c r="K50" s="399" t="s">
        <v>1415</v>
      </c>
      <c r="L50" s="399" t="str">
        <f ca="1">IFERROR(ROW(INDEX(INDIRECT("'TNX File'!A" &amp; $J50 &amp; ":A" &amp; $H$2),MATCH('TNX File Parse'!K50 &amp; "*",INDIRECT("'TNX File'!A" &amp; $J50 &amp; ":A" &amp; $H$2),0))),"")</f>
        <v/>
      </c>
      <c r="M50" s="399" t="str">
        <f ca="1">IFERROR(INDEX('TNX File'!A:A,L50,1),"")</f>
        <v/>
      </c>
      <c r="N50" s="399" t="str">
        <f t="shared" ca="1" si="1"/>
        <v/>
      </c>
      <c r="O50" s="399" t="s">
        <v>1417</v>
      </c>
      <c r="P50" s="399" t="str">
        <f ca="1">IFERROR(ROW(INDEX(INDIRECT("'TNX File'!A" &amp; $J50 &amp; ":A" &amp; $H$2),MATCH('TNX File Parse'!O50 &amp; "*",INDIRECT("'TNX File'!A" &amp; $J50 &amp; ":A" &amp; $H$2),0))),"")</f>
        <v/>
      </c>
      <c r="Q50" s="399" t="str">
        <f ca="1">IFERROR(INDEX('TNX File'!A:A,P50,1),"")</f>
        <v/>
      </c>
      <c r="R50" s="399" t="str">
        <f t="shared" ca="1" si="2"/>
        <v/>
      </c>
      <c r="S50" s="399" t="str">
        <f t="shared" ca="1" si="3"/>
        <v/>
      </c>
      <c r="T50" s="399" t="str">
        <f t="shared" ca="1" si="4"/>
        <v/>
      </c>
    </row>
    <row r="51" spans="7:20" x14ac:dyDescent="0.25">
      <c r="G51" s="399">
        <v>50</v>
      </c>
      <c r="H51" s="399"/>
      <c r="I51" s="399" t="str">
        <f t="shared" si="0"/>
        <v>TowerRec=50</v>
      </c>
      <c r="J51" s="406" t="str">
        <f ca="1">IFERROR(ROW(INDEX(INDIRECT("'TNX File'!A$1:A" &amp; $H$2),MATCH('TNX File Parse'!I51,'TNX File'!A:A,0))),"")</f>
        <v/>
      </c>
      <c r="K51" s="399" t="s">
        <v>1415</v>
      </c>
      <c r="L51" s="399" t="str">
        <f ca="1">IFERROR(ROW(INDEX(INDIRECT("'TNX File'!A" &amp; $J51 &amp; ":A" &amp; $H$2),MATCH('TNX File Parse'!K51 &amp; "*",INDIRECT("'TNX File'!A" &amp; $J51 &amp; ":A" &amp; $H$2),0))),"")</f>
        <v/>
      </c>
      <c r="M51" s="399" t="str">
        <f ca="1">IFERROR(INDEX('TNX File'!A:A,L51,1),"")</f>
        <v/>
      </c>
      <c r="N51" s="399" t="str">
        <f t="shared" ca="1" si="1"/>
        <v/>
      </c>
      <c r="O51" s="399" t="s">
        <v>1417</v>
      </c>
      <c r="P51" s="399" t="str">
        <f ca="1">IFERROR(ROW(INDEX(INDIRECT("'TNX File'!A" &amp; $J51 &amp; ":A" &amp; $H$2),MATCH('TNX File Parse'!O51 &amp; "*",INDIRECT("'TNX File'!A" &amp; $J51 &amp; ":A" &amp; $H$2),0))),"")</f>
        <v/>
      </c>
      <c r="Q51" s="399" t="str">
        <f ca="1">IFERROR(INDEX('TNX File'!A:A,P51,1),"")</f>
        <v/>
      </c>
      <c r="R51" s="399" t="str">
        <f t="shared" ca="1" si="2"/>
        <v/>
      </c>
      <c r="S51" s="399" t="str">
        <f t="shared" ca="1" si="3"/>
        <v/>
      </c>
      <c r="T51" s="399" t="str">
        <f t="shared" ca="1" si="4"/>
        <v/>
      </c>
    </row>
    <row r="52" spans="7:20" x14ac:dyDescent="0.25">
      <c r="G52" s="399">
        <v>51</v>
      </c>
      <c r="H52" s="399"/>
      <c r="I52" s="399" t="str">
        <f t="shared" si="0"/>
        <v>TowerRec=51</v>
      </c>
      <c r="J52" s="406" t="str">
        <f ca="1">IFERROR(ROW(INDEX(INDIRECT("'TNX File'!A$1:A" &amp; $H$2),MATCH('TNX File Parse'!I52,'TNX File'!A:A,0))),"")</f>
        <v/>
      </c>
      <c r="K52" s="399" t="s">
        <v>1415</v>
      </c>
      <c r="L52" s="399" t="str">
        <f ca="1">IFERROR(ROW(INDEX(INDIRECT("'TNX File'!A" &amp; $J52 &amp; ":A" &amp; $H$2),MATCH('TNX File Parse'!K52 &amp; "*",INDIRECT("'TNX File'!A" &amp; $J52 &amp; ":A" &amp; $H$2),0))),"")</f>
        <v/>
      </c>
      <c r="M52" s="399" t="str">
        <f ca="1">IFERROR(INDEX('TNX File'!A:A,L52,1),"")</f>
        <v/>
      </c>
      <c r="N52" s="399" t="str">
        <f t="shared" ca="1" si="1"/>
        <v/>
      </c>
      <c r="O52" s="399" t="s">
        <v>1417</v>
      </c>
      <c r="P52" s="399" t="str">
        <f ca="1">IFERROR(ROW(INDEX(INDIRECT("'TNX File'!A" &amp; $J52 &amp; ":A" &amp; $H$2),MATCH('TNX File Parse'!O52 &amp; "*",INDIRECT("'TNX File'!A" &amp; $J52 &amp; ":A" &amp; $H$2),0))),"")</f>
        <v/>
      </c>
      <c r="Q52" s="399" t="str">
        <f ca="1">IFERROR(INDEX('TNX File'!A:A,P52,1),"")</f>
        <v/>
      </c>
      <c r="R52" s="399" t="str">
        <f t="shared" ca="1" si="2"/>
        <v/>
      </c>
      <c r="S52" s="399" t="str">
        <f t="shared" ca="1" si="3"/>
        <v/>
      </c>
      <c r="T52" s="399" t="str">
        <f t="shared" ca="1" si="4"/>
        <v/>
      </c>
    </row>
    <row r="53" spans="7:20" x14ac:dyDescent="0.25">
      <c r="G53" s="399">
        <v>52</v>
      </c>
      <c r="H53" s="399"/>
      <c r="I53" s="399" t="str">
        <f t="shared" si="0"/>
        <v>TowerRec=52</v>
      </c>
      <c r="J53" s="406" t="str">
        <f ca="1">IFERROR(ROW(INDEX(INDIRECT("'TNX File'!A$1:A" &amp; $H$2),MATCH('TNX File Parse'!I53,'TNX File'!A:A,0))),"")</f>
        <v/>
      </c>
      <c r="K53" s="399" t="s">
        <v>1415</v>
      </c>
      <c r="L53" s="399" t="str">
        <f ca="1">IFERROR(ROW(INDEX(INDIRECT("'TNX File'!A" &amp; $J53 &amp; ":A" &amp; $H$2),MATCH('TNX File Parse'!K53 &amp; "*",INDIRECT("'TNX File'!A" &amp; $J53 &amp; ":A" &amp; $H$2),0))),"")</f>
        <v/>
      </c>
      <c r="M53" s="399" t="str">
        <f ca="1">IFERROR(INDEX('TNX File'!A:A,L53,1),"")</f>
        <v/>
      </c>
      <c r="N53" s="399" t="str">
        <f t="shared" ca="1" si="1"/>
        <v/>
      </c>
      <c r="O53" s="399" t="s">
        <v>1417</v>
      </c>
      <c r="P53" s="399" t="str">
        <f ca="1">IFERROR(ROW(INDEX(INDIRECT("'TNX File'!A" &amp; $J53 &amp; ":A" &amp; $H$2),MATCH('TNX File Parse'!O53 &amp; "*",INDIRECT("'TNX File'!A" &amp; $J53 &amp; ":A" &amp; $H$2),0))),"")</f>
        <v/>
      </c>
      <c r="Q53" s="399" t="str">
        <f ca="1">IFERROR(INDEX('TNX File'!A:A,P53,1),"")</f>
        <v/>
      </c>
      <c r="R53" s="399" t="str">
        <f t="shared" ca="1" si="2"/>
        <v/>
      </c>
      <c r="S53" s="399" t="str">
        <f t="shared" ca="1" si="3"/>
        <v/>
      </c>
      <c r="T53" s="399" t="str">
        <f t="shared" ca="1" si="4"/>
        <v/>
      </c>
    </row>
    <row r="54" spans="7:20" x14ac:dyDescent="0.25">
      <c r="G54" s="399">
        <v>53</v>
      </c>
      <c r="H54" s="399"/>
      <c r="I54" s="399" t="str">
        <f t="shared" si="0"/>
        <v>TowerRec=53</v>
      </c>
      <c r="J54" s="406" t="str">
        <f ca="1">IFERROR(ROW(INDEX(INDIRECT("'TNX File'!A$1:A" &amp; $H$2),MATCH('TNX File Parse'!I54,'TNX File'!A:A,0))),"")</f>
        <v/>
      </c>
      <c r="K54" s="399" t="s">
        <v>1415</v>
      </c>
      <c r="L54" s="399" t="str">
        <f ca="1">IFERROR(ROW(INDEX(INDIRECT("'TNX File'!A" &amp; $J54 &amp; ":A" &amp; $H$2),MATCH('TNX File Parse'!K54 &amp; "*",INDIRECT("'TNX File'!A" &amp; $J54 &amp; ":A" &amp; $H$2),0))),"")</f>
        <v/>
      </c>
      <c r="M54" s="399" t="str">
        <f ca="1">IFERROR(INDEX('TNX File'!A:A,L54,1),"")</f>
        <v/>
      </c>
      <c r="N54" s="399" t="str">
        <f t="shared" ca="1" si="1"/>
        <v/>
      </c>
      <c r="O54" s="399" t="s">
        <v>1417</v>
      </c>
      <c r="P54" s="399" t="str">
        <f ca="1">IFERROR(ROW(INDEX(INDIRECT("'TNX File'!A" &amp; $J54 &amp; ":A" &amp; $H$2),MATCH('TNX File Parse'!O54 &amp; "*",INDIRECT("'TNX File'!A" &amp; $J54 &amp; ":A" &amp; $H$2),0))),"")</f>
        <v/>
      </c>
      <c r="Q54" s="399" t="str">
        <f ca="1">IFERROR(INDEX('TNX File'!A:A,P54,1),"")</f>
        <v/>
      </c>
      <c r="R54" s="399" t="str">
        <f t="shared" ca="1" si="2"/>
        <v/>
      </c>
      <c r="S54" s="399" t="str">
        <f t="shared" ca="1" si="3"/>
        <v/>
      </c>
      <c r="T54" s="399" t="str">
        <f t="shared" ca="1" si="4"/>
        <v/>
      </c>
    </row>
    <row r="55" spans="7:20" x14ac:dyDescent="0.25">
      <c r="G55" s="399">
        <v>54</v>
      </c>
      <c r="H55" s="399"/>
      <c r="I55" s="399" t="str">
        <f t="shared" si="0"/>
        <v>TowerRec=54</v>
      </c>
      <c r="J55" s="406" t="str">
        <f ca="1">IFERROR(ROW(INDEX(INDIRECT("'TNX File'!A$1:A" &amp; $H$2),MATCH('TNX File Parse'!I55,'TNX File'!A:A,0))),"")</f>
        <v/>
      </c>
      <c r="K55" s="399" t="s">
        <v>1415</v>
      </c>
      <c r="L55" s="399" t="str">
        <f ca="1">IFERROR(ROW(INDEX(INDIRECT("'TNX File'!A" &amp; $J55 &amp; ":A" &amp; $H$2),MATCH('TNX File Parse'!K55 &amp; "*",INDIRECT("'TNX File'!A" &amp; $J55 &amp; ":A" &amp; $H$2),0))),"")</f>
        <v/>
      </c>
      <c r="M55" s="399" t="str">
        <f ca="1">IFERROR(INDEX('TNX File'!A:A,L55,1),"")</f>
        <v/>
      </c>
      <c r="N55" s="399" t="str">
        <f t="shared" ca="1" si="1"/>
        <v/>
      </c>
      <c r="O55" s="399" t="s">
        <v>1417</v>
      </c>
      <c r="P55" s="399" t="str">
        <f ca="1">IFERROR(ROW(INDEX(INDIRECT("'TNX File'!A" &amp; $J55 &amp; ":A" &amp; $H$2),MATCH('TNX File Parse'!O55 &amp; "*",INDIRECT("'TNX File'!A" &amp; $J55 &amp; ":A" &amp; $H$2),0))),"")</f>
        <v/>
      </c>
      <c r="Q55" s="399" t="str">
        <f ca="1">IFERROR(INDEX('TNX File'!A:A,P55,1),"")</f>
        <v/>
      </c>
      <c r="R55" s="399" t="str">
        <f t="shared" ca="1" si="2"/>
        <v/>
      </c>
      <c r="S55" s="399" t="str">
        <f t="shared" ca="1" si="3"/>
        <v/>
      </c>
      <c r="T55" s="399" t="str">
        <f t="shared" ca="1" si="4"/>
        <v/>
      </c>
    </row>
    <row r="56" spans="7:20" x14ac:dyDescent="0.25">
      <c r="G56" s="399">
        <v>55</v>
      </c>
      <c r="H56" s="399"/>
      <c r="I56" s="399" t="str">
        <f t="shared" si="0"/>
        <v>TowerRec=55</v>
      </c>
      <c r="J56" s="406" t="str">
        <f ca="1">IFERROR(ROW(INDEX(INDIRECT("'TNX File'!A$1:A" &amp; $H$2),MATCH('TNX File Parse'!I56,'TNX File'!A:A,0))),"")</f>
        <v/>
      </c>
      <c r="K56" s="399" t="s">
        <v>1415</v>
      </c>
      <c r="L56" s="399" t="str">
        <f ca="1">IFERROR(ROW(INDEX(INDIRECT("'TNX File'!A" &amp; $J56 &amp; ":A" &amp; $H$2),MATCH('TNX File Parse'!K56 &amp; "*",INDIRECT("'TNX File'!A" &amp; $J56 &amp; ":A" &amp; $H$2),0))),"")</f>
        <v/>
      </c>
      <c r="M56" s="399" t="str">
        <f ca="1">IFERROR(INDEX('TNX File'!A:A,L56,1),"")</f>
        <v/>
      </c>
      <c r="N56" s="399" t="str">
        <f t="shared" ca="1" si="1"/>
        <v/>
      </c>
      <c r="O56" s="399" t="s">
        <v>1417</v>
      </c>
      <c r="P56" s="399" t="str">
        <f ca="1">IFERROR(ROW(INDEX(INDIRECT("'TNX File'!A" &amp; $J56 &amp; ":A" &amp; $H$2),MATCH('TNX File Parse'!O56 &amp; "*",INDIRECT("'TNX File'!A" &amp; $J56 &amp; ":A" &amp; $H$2),0))),"")</f>
        <v/>
      </c>
      <c r="Q56" s="399" t="str">
        <f ca="1">IFERROR(INDEX('TNX File'!A:A,P56,1),"")</f>
        <v/>
      </c>
      <c r="R56" s="399" t="str">
        <f t="shared" ca="1" si="2"/>
        <v/>
      </c>
      <c r="S56" s="399" t="str">
        <f t="shared" ca="1" si="3"/>
        <v/>
      </c>
      <c r="T56" s="399" t="str">
        <f t="shared" ca="1" si="4"/>
        <v/>
      </c>
    </row>
    <row r="57" spans="7:20" x14ac:dyDescent="0.25">
      <c r="G57" s="399">
        <v>56</v>
      </c>
      <c r="H57" s="399"/>
      <c r="I57" s="399" t="str">
        <f t="shared" si="0"/>
        <v>TowerRec=56</v>
      </c>
      <c r="J57" s="406" t="str">
        <f ca="1">IFERROR(ROW(INDEX(INDIRECT("'TNX File'!A$1:A" &amp; $H$2),MATCH('TNX File Parse'!I57,'TNX File'!A:A,0))),"")</f>
        <v/>
      </c>
      <c r="K57" s="399" t="s">
        <v>1415</v>
      </c>
      <c r="L57" s="399" t="str">
        <f ca="1">IFERROR(ROW(INDEX(INDIRECT("'TNX File'!A" &amp; $J57 &amp; ":A" &amp; $H$2),MATCH('TNX File Parse'!K57 &amp; "*",INDIRECT("'TNX File'!A" &amp; $J57 &amp; ":A" &amp; $H$2),0))),"")</f>
        <v/>
      </c>
      <c r="M57" s="399" t="str">
        <f ca="1">IFERROR(INDEX('TNX File'!A:A,L57,1),"")</f>
        <v/>
      </c>
      <c r="N57" s="399" t="str">
        <f t="shared" ca="1" si="1"/>
        <v/>
      </c>
      <c r="O57" s="399" t="s">
        <v>1417</v>
      </c>
      <c r="P57" s="399" t="str">
        <f ca="1">IFERROR(ROW(INDEX(INDIRECT("'TNX File'!A" &amp; $J57 &amp; ":A" &amp; $H$2),MATCH('TNX File Parse'!O57 &amp; "*",INDIRECT("'TNX File'!A" &amp; $J57 &amp; ":A" &amp; $H$2),0))),"")</f>
        <v/>
      </c>
      <c r="Q57" s="399" t="str">
        <f ca="1">IFERROR(INDEX('TNX File'!A:A,P57,1),"")</f>
        <v/>
      </c>
      <c r="R57" s="399" t="str">
        <f t="shared" ca="1" si="2"/>
        <v/>
      </c>
      <c r="S57" s="399" t="str">
        <f t="shared" ca="1" si="3"/>
        <v/>
      </c>
      <c r="T57" s="399" t="str">
        <f t="shared" ca="1" si="4"/>
        <v/>
      </c>
    </row>
    <row r="58" spans="7:20" x14ac:dyDescent="0.25">
      <c r="G58" s="399">
        <v>57</v>
      </c>
      <c r="H58" s="399"/>
      <c r="I58" s="399" t="str">
        <f t="shared" si="0"/>
        <v>TowerRec=57</v>
      </c>
      <c r="J58" s="406" t="str">
        <f ca="1">IFERROR(ROW(INDEX(INDIRECT("'TNX File'!A$1:A" &amp; $H$2),MATCH('TNX File Parse'!I58,'TNX File'!A:A,0))),"")</f>
        <v/>
      </c>
      <c r="K58" s="399" t="s">
        <v>1415</v>
      </c>
      <c r="L58" s="399" t="str">
        <f ca="1">IFERROR(ROW(INDEX(INDIRECT("'TNX File'!A" &amp; $J58 &amp; ":A" &amp; $H$2),MATCH('TNX File Parse'!K58 &amp; "*",INDIRECT("'TNX File'!A" &amp; $J58 &amp; ":A" &amp; $H$2),0))),"")</f>
        <v/>
      </c>
      <c r="M58" s="399" t="str">
        <f ca="1">IFERROR(INDEX('TNX File'!A:A,L58,1),"")</f>
        <v/>
      </c>
      <c r="N58" s="399" t="str">
        <f t="shared" ca="1" si="1"/>
        <v/>
      </c>
      <c r="O58" s="399" t="s">
        <v>1417</v>
      </c>
      <c r="P58" s="399" t="str">
        <f ca="1">IFERROR(ROW(INDEX(INDIRECT("'TNX File'!A" &amp; $J58 &amp; ":A" &amp; $H$2),MATCH('TNX File Parse'!O58 &amp; "*",INDIRECT("'TNX File'!A" &amp; $J58 &amp; ":A" &amp; $H$2),0))),"")</f>
        <v/>
      </c>
      <c r="Q58" s="399" t="str">
        <f ca="1">IFERROR(INDEX('TNX File'!A:A,P58,1),"")</f>
        <v/>
      </c>
      <c r="R58" s="399" t="str">
        <f t="shared" ca="1" si="2"/>
        <v/>
      </c>
      <c r="S58" s="399" t="str">
        <f t="shared" ca="1" si="3"/>
        <v/>
      </c>
      <c r="T58" s="399" t="str">
        <f t="shared" ca="1" si="4"/>
        <v/>
      </c>
    </row>
    <row r="59" spans="7:20" x14ac:dyDescent="0.25">
      <c r="G59" s="399">
        <v>58</v>
      </c>
      <c r="H59" s="399"/>
      <c r="I59" s="399" t="str">
        <f t="shared" si="0"/>
        <v>TowerRec=58</v>
      </c>
      <c r="J59" s="406" t="str">
        <f ca="1">IFERROR(ROW(INDEX(INDIRECT("'TNX File'!A$1:A" &amp; $H$2),MATCH('TNX File Parse'!I59,'TNX File'!A:A,0))),"")</f>
        <v/>
      </c>
      <c r="K59" s="399" t="s">
        <v>1415</v>
      </c>
      <c r="L59" s="399" t="str">
        <f ca="1">IFERROR(ROW(INDEX(INDIRECT("'TNX File'!A" &amp; $J59 &amp; ":A" &amp; $H$2),MATCH('TNX File Parse'!K59 &amp; "*",INDIRECT("'TNX File'!A" &amp; $J59 &amp; ":A" &amp; $H$2),0))),"")</f>
        <v/>
      </c>
      <c r="M59" s="399" t="str">
        <f ca="1">IFERROR(INDEX('TNX File'!A:A,L59,1),"")</f>
        <v/>
      </c>
      <c r="N59" s="399" t="str">
        <f t="shared" ca="1" si="1"/>
        <v/>
      </c>
      <c r="O59" s="399" t="s">
        <v>1417</v>
      </c>
      <c r="P59" s="399" t="str">
        <f ca="1">IFERROR(ROW(INDEX(INDIRECT("'TNX File'!A" &amp; $J59 &amp; ":A" &amp; $H$2),MATCH('TNX File Parse'!O59 &amp; "*",INDIRECT("'TNX File'!A" &amp; $J59 &amp; ":A" &amp; $H$2),0))),"")</f>
        <v/>
      </c>
      <c r="Q59" s="399" t="str">
        <f ca="1">IFERROR(INDEX('TNX File'!A:A,P59,1),"")</f>
        <v/>
      </c>
      <c r="R59" s="399" t="str">
        <f t="shared" ca="1" si="2"/>
        <v/>
      </c>
      <c r="S59" s="399" t="str">
        <f t="shared" ca="1" si="3"/>
        <v/>
      </c>
      <c r="T59" s="399" t="str">
        <f t="shared" ca="1" si="4"/>
        <v/>
      </c>
    </row>
    <row r="60" spans="7:20" x14ac:dyDescent="0.25">
      <c r="G60" s="399">
        <v>59</v>
      </c>
      <c r="H60" s="399"/>
      <c r="I60" s="399" t="str">
        <f t="shared" si="0"/>
        <v>TowerRec=59</v>
      </c>
      <c r="J60" s="406" t="str">
        <f ca="1">IFERROR(ROW(INDEX(INDIRECT("'TNX File'!A$1:A" &amp; $H$2),MATCH('TNX File Parse'!I60,'TNX File'!A:A,0))),"")</f>
        <v/>
      </c>
      <c r="K60" s="399" t="s">
        <v>1415</v>
      </c>
      <c r="L60" s="399" t="str">
        <f ca="1">IFERROR(ROW(INDEX(INDIRECT("'TNX File'!A" &amp; $J60 &amp; ":A" &amp; $H$2),MATCH('TNX File Parse'!K60 &amp; "*",INDIRECT("'TNX File'!A" &amp; $J60 &amp; ":A" &amp; $H$2),0))),"")</f>
        <v/>
      </c>
      <c r="M60" s="399" t="str">
        <f ca="1">IFERROR(INDEX('TNX File'!A:A,L60,1),"")</f>
        <v/>
      </c>
      <c r="N60" s="399" t="str">
        <f t="shared" ca="1" si="1"/>
        <v/>
      </c>
      <c r="O60" s="399" t="s">
        <v>1417</v>
      </c>
      <c r="P60" s="399" t="str">
        <f ca="1">IFERROR(ROW(INDEX(INDIRECT("'TNX File'!A" &amp; $J60 &amp; ":A" &amp; $H$2),MATCH('TNX File Parse'!O60 &amp; "*",INDIRECT("'TNX File'!A" &amp; $J60 &amp; ":A" &amp; $H$2),0))),"")</f>
        <v/>
      </c>
      <c r="Q60" s="399" t="str">
        <f ca="1">IFERROR(INDEX('TNX File'!A:A,P60,1),"")</f>
        <v/>
      </c>
      <c r="R60" s="399" t="str">
        <f t="shared" ca="1" si="2"/>
        <v/>
      </c>
      <c r="S60" s="399" t="str">
        <f t="shared" ca="1" si="3"/>
        <v/>
      </c>
      <c r="T60" s="399" t="str">
        <f t="shared" ca="1" si="4"/>
        <v/>
      </c>
    </row>
    <row r="61" spans="7:20" x14ac:dyDescent="0.25">
      <c r="G61" s="399">
        <v>60</v>
      </c>
      <c r="H61" s="399"/>
      <c r="I61" s="399" t="str">
        <f t="shared" si="0"/>
        <v>TowerRec=60</v>
      </c>
      <c r="J61" s="406" t="str">
        <f ca="1">IFERROR(ROW(INDEX(INDIRECT("'TNX File'!A$1:A" &amp; $H$2),MATCH('TNX File Parse'!I61,'TNX File'!A:A,0))),"")</f>
        <v/>
      </c>
      <c r="K61" s="399" t="s">
        <v>1415</v>
      </c>
      <c r="L61" s="399" t="str">
        <f ca="1">IFERROR(ROW(INDEX(INDIRECT("'TNX File'!A" &amp; $J61 &amp; ":A" &amp; $H$2),MATCH('TNX File Parse'!K61 &amp; "*",INDIRECT("'TNX File'!A" &amp; $J61 &amp; ":A" &amp; $H$2),0))),"")</f>
        <v/>
      </c>
      <c r="M61" s="399" t="str">
        <f ca="1">IFERROR(INDEX('TNX File'!A:A,L61,1),"")</f>
        <v/>
      </c>
      <c r="N61" s="399" t="str">
        <f t="shared" ca="1" si="1"/>
        <v/>
      </c>
      <c r="O61" s="399" t="s">
        <v>1417</v>
      </c>
      <c r="P61" s="399" t="str">
        <f ca="1">IFERROR(ROW(INDEX(INDIRECT("'TNX File'!A" &amp; $J61 &amp; ":A" &amp; $H$2),MATCH('TNX File Parse'!O61 &amp; "*",INDIRECT("'TNX File'!A" &amp; $J61 &amp; ":A" &amp; $H$2),0))),"")</f>
        <v/>
      </c>
      <c r="Q61" s="399" t="str">
        <f ca="1">IFERROR(INDEX('TNX File'!A:A,P61,1),"")</f>
        <v/>
      </c>
      <c r="R61" s="399" t="str">
        <f t="shared" ca="1" si="2"/>
        <v/>
      </c>
      <c r="S61" s="399" t="str">
        <f t="shared" ca="1" si="3"/>
        <v/>
      </c>
      <c r="T61" s="399" t="str">
        <f t="shared" ca="1" si="4"/>
        <v/>
      </c>
    </row>
    <row r="62" spans="7:20" x14ac:dyDescent="0.25">
      <c r="G62" s="399">
        <v>61</v>
      </c>
      <c r="H62" s="399"/>
      <c r="I62" s="399" t="str">
        <f t="shared" si="0"/>
        <v>TowerRec=61</v>
      </c>
      <c r="J62" s="406" t="str">
        <f ca="1">IFERROR(ROW(INDEX(INDIRECT("'TNX File'!A$1:A" &amp; $H$2),MATCH('TNX File Parse'!I62,'TNX File'!A:A,0))),"")</f>
        <v/>
      </c>
      <c r="K62" s="399" t="s">
        <v>1415</v>
      </c>
      <c r="L62" s="399" t="str">
        <f ca="1">IFERROR(ROW(INDEX(INDIRECT("'TNX File'!A" &amp; $J62 &amp; ":A" &amp; $H$2),MATCH('TNX File Parse'!K62 &amp; "*",INDIRECT("'TNX File'!A" &amp; $J62 &amp; ":A" &amp; $H$2),0))),"")</f>
        <v/>
      </c>
      <c r="M62" s="399" t="str">
        <f ca="1">IFERROR(INDEX('TNX File'!A:A,L62,1),"")</f>
        <v/>
      </c>
      <c r="N62" s="399" t="str">
        <f t="shared" ca="1" si="1"/>
        <v/>
      </c>
      <c r="O62" s="399" t="s">
        <v>1417</v>
      </c>
      <c r="P62" s="399" t="str">
        <f ca="1">IFERROR(ROW(INDEX(INDIRECT("'TNX File'!A" &amp; $J62 &amp; ":A" &amp; $H$2),MATCH('TNX File Parse'!O62 &amp; "*",INDIRECT("'TNX File'!A" &amp; $J62 &amp; ":A" &amp; $H$2),0))),"")</f>
        <v/>
      </c>
      <c r="Q62" s="399" t="str">
        <f ca="1">IFERROR(INDEX('TNX File'!A:A,P62,1),"")</f>
        <v/>
      </c>
      <c r="R62" s="399" t="str">
        <f t="shared" ca="1" si="2"/>
        <v/>
      </c>
      <c r="S62" s="399" t="str">
        <f t="shared" ca="1" si="3"/>
        <v/>
      </c>
      <c r="T62" s="399" t="str">
        <f t="shared" ca="1" si="4"/>
        <v/>
      </c>
    </row>
    <row r="63" spans="7:20" x14ac:dyDescent="0.25">
      <c r="G63" s="399">
        <v>62</v>
      </c>
      <c r="H63" s="399"/>
      <c r="I63" s="399" t="str">
        <f t="shared" si="0"/>
        <v>TowerRec=62</v>
      </c>
      <c r="J63" s="406" t="str">
        <f ca="1">IFERROR(ROW(INDEX(INDIRECT("'TNX File'!A$1:A" &amp; $H$2),MATCH('TNX File Parse'!I63,'TNX File'!A:A,0))),"")</f>
        <v/>
      </c>
      <c r="K63" s="399" t="s">
        <v>1415</v>
      </c>
      <c r="L63" s="399" t="str">
        <f ca="1">IFERROR(ROW(INDEX(INDIRECT("'TNX File'!A" &amp; $J63 &amp; ":A" &amp; $H$2),MATCH('TNX File Parse'!K63 &amp; "*",INDIRECT("'TNX File'!A" &amp; $J63 &amp; ":A" &amp; $H$2),0))),"")</f>
        <v/>
      </c>
      <c r="M63" s="399" t="str">
        <f ca="1">IFERROR(INDEX('TNX File'!A:A,L63,1),"")</f>
        <v/>
      </c>
      <c r="N63" s="399" t="str">
        <f t="shared" ca="1" si="1"/>
        <v/>
      </c>
      <c r="O63" s="399" t="s">
        <v>1417</v>
      </c>
      <c r="P63" s="399" t="str">
        <f ca="1">IFERROR(ROW(INDEX(INDIRECT("'TNX File'!A" &amp; $J63 &amp; ":A" &amp; $H$2),MATCH('TNX File Parse'!O63 &amp; "*",INDIRECT("'TNX File'!A" &amp; $J63 &amp; ":A" &amp; $H$2),0))),"")</f>
        <v/>
      </c>
      <c r="Q63" s="399" t="str">
        <f ca="1">IFERROR(INDEX('TNX File'!A:A,P63,1),"")</f>
        <v/>
      </c>
      <c r="R63" s="399" t="str">
        <f t="shared" ca="1" si="2"/>
        <v/>
      </c>
      <c r="S63" s="399" t="str">
        <f t="shared" ca="1" si="3"/>
        <v/>
      </c>
      <c r="T63" s="399" t="str">
        <f t="shared" ca="1" si="4"/>
        <v/>
      </c>
    </row>
    <row r="64" spans="7:20" x14ac:dyDescent="0.25">
      <c r="G64" s="399">
        <v>63</v>
      </c>
      <c r="H64" s="399"/>
      <c r="I64" s="399" t="str">
        <f t="shared" si="0"/>
        <v>TowerRec=63</v>
      </c>
      <c r="J64" s="406" t="str">
        <f ca="1">IFERROR(ROW(INDEX(INDIRECT("'TNX File'!A$1:A" &amp; $H$2),MATCH('TNX File Parse'!I64,'TNX File'!A:A,0))),"")</f>
        <v/>
      </c>
      <c r="K64" s="399" t="s">
        <v>1415</v>
      </c>
      <c r="L64" s="399" t="str">
        <f ca="1">IFERROR(ROW(INDEX(INDIRECT("'TNX File'!A" &amp; $J64 &amp; ":A" &amp; $H$2),MATCH('TNX File Parse'!K64 &amp; "*",INDIRECT("'TNX File'!A" &amp; $J64 &amp; ":A" &amp; $H$2),0))),"")</f>
        <v/>
      </c>
      <c r="M64" s="399" t="str">
        <f ca="1">IFERROR(INDEX('TNX File'!A:A,L64,1),"")</f>
        <v/>
      </c>
      <c r="N64" s="399" t="str">
        <f t="shared" ca="1" si="1"/>
        <v/>
      </c>
      <c r="O64" s="399" t="s">
        <v>1417</v>
      </c>
      <c r="P64" s="399" t="str">
        <f ca="1">IFERROR(ROW(INDEX(INDIRECT("'TNX File'!A" &amp; $J64 &amp; ":A" &amp; $H$2),MATCH('TNX File Parse'!O64 &amp; "*",INDIRECT("'TNX File'!A" &amp; $J64 &amp; ":A" &amp; $H$2),0))),"")</f>
        <v/>
      </c>
      <c r="Q64" s="399" t="str">
        <f ca="1">IFERROR(INDEX('TNX File'!A:A,P64,1),"")</f>
        <v/>
      </c>
      <c r="R64" s="399" t="str">
        <f t="shared" ca="1" si="2"/>
        <v/>
      </c>
      <c r="S64" s="399" t="str">
        <f t="shared" ca="1" si="3"/>
        <v/>
      </c>
      <c r="T64" s="399" t="str">
        <f t="shared" ca="1" si="4"/>
        <v/>
      </c>
    </row>
    <row r="65" spans="7:20" x14ac:dyDescent="0.25">
      <c r="G65" s="399">
        <v>64</v>
      </c>
      <c r="H65" s="399"/>
      <c r="I65" s="399" t="str">
        <f t="shared" si="0"/>
        <v>TowerRec=64</v>
      </c>
      <c r="J65" s="406" t="str">
        <f ca="1">IFERROR(ROW(INDEX(INDIRECT("'TNX File'!A$1:A" &amp; $H$2),MATCH('TNX File Parse'!I65,'TNX File'!A:A,0))),"")</f>
        <v/>
      </c>
      <c r="K65" s="399" t="s">
        <v>1415</v>
      </c>
      <c r="L65" s="399" t="str">
        <f ca="1">IFERROR(ROW(INDEX(INDIRECT("'TNX File'!A" &amp; $J65 &amp; ":A" &amp; $H$2),MATCH('TNX File Parse'!K65 &amp; "*",INDIRECT("'TNX File'!A" &amp; $J65 &amp; ":A" &amp; $H$2),0))),"")</f>
        <v/>
      </c>
      <c r="M65" s="399" t="str">
        <f ca="1">IFERROR(INDEX('TNX File'!A:A,L65,1),"")</f>
        <v/>
      </c>
      <c r="N65" s="399" t="str">
        <f t="shared" ca="1" si="1"/>
        <v/>
      </c>
      <c r="O65" s="399" t="s">
        <v>1417</v>
      </c>
      <c r="P65" s="399" t="str">
        <f ca="1">IFERROR(ROW(INDEX(INDIRECT("'TNX File'!A" &amp; $J65 &amp; ":A" &amp; $H$2),MATCH('TNX File Parse'!O65 &amp; "*",INDIRECT("'TNX File'!A" &amp; $J65 &amp; ":A" &amp; $H$2),0))),"")</f>
        <v/>
      </c>
      <c r="Q65" s="399" t="str">
        <f ca="1">IFERROR(INDEX('TNX File'!A:A,P65,1),"")</f>
        <v/>
      </c>
      <c r="R65" s="399" t="str">
        <f t="shared" ca="1" si="2"/>
        <v/>
      </c>
      <c r="S65" s="399" t="str">
        <f t="shared" ca="1" si="3"/>
        <v/>
      </c>
      <c r="T65" s="399" t="str">
        <f t="shared" ca="1" si="4"/>
        <v/>
      </c>
    </row>
    <row r="66" spans="7:20" x14ac:dyDescent="0.25">
      <c r="G66" s="399">
        <v>65</v>
      </c>
      <c r="H66" s="399"/>
      <c r="I66" s="399" t="str">
        <f t="shared" si="0"/>
        <v>TowerRec=65</v>
      </c>
      <c r="J66" s="406" t="str">
        <f ca="1">IFERROR(ROW(INDEX(INDIRECT("'TNX File'!A$1:A" &amp; $H$2),MATCH('TNX File Parse'!I66,'TNX File'!A:A,0))),"")</f>
        <v/>
      </c>
      <c r="K66" s="399" t="s">
        <v>1415</v>
      </c>
      <c r="L66" s="399" t="str">
        <f ca="1">IFERROR(ROW(INDEX(INDIRECT("'TNX File'!A" &amp; $J66 &amp; ":A" &amp; $H$2),MATCH('TNX File Parse'!K66 &amp; "*",INDIRECT("'TNX File'!A" &amp; $J66 &amp; ":A" &amp; $H$2),0))),"")</f>
        <v/>
      </c>
      <c r="M66" s="399" t="str">
        <f ca="1">IFERROR(INDEX('TNX File'!A:A,L66,1),"")</f>
        <v/>
      </c>
      <c r="N66" s="399" t="str">
        <f t="shared" ca="1" si="1"/>
        <v/>
      </c>
      <c r="O66" s="399" t="s">
        <v>1417</v>
      </c>
      <c r="P66" s="399" t="str">
        <f ca="1">IFERROR(ROW(INDEX(INDIRECT("'TNX File'!A" &amp; $J66 &amp; ":A" &amp; $H$2),MATCH('TNX File Parse'!O66 &amp; "*",INDIRECT("'TNX File'!A" &amp; $J66 &amp; ":A" &amp; $H$2),0))),"")</f>
        <v/>
      </c>
      <c r="Q66" s="399" t="str">
        <f ca="1">IFERROR(INDEX('TNX File'!A:A,P66,1),"")</f>
        <v/>
      </c>
      <c r="R66" s="399" t="str">
        <f t="shared" ca="1" si="2"/>
        <v/>
      </c>
      <c r="S66" s="399" t="str">
        <f t="shared" ca="1" si="3"/>
        <v/>
      </c>
      <c r="T66" s="399" t="str">
        <f t="shared" ca="1" si="4"/>
        <v/>
      </c>
    </row>
    <row r="67" spans="7:20" x14ac:dyDescent="0.25">
      <c r="G67" s="399">
        <v>66</v>
      </c>
      <c r="H67" s="399"/>
      <c r="I67" s="399" t="str">
        <f t="shared" ref="I67:I130" si="5">CONCATENATE("TowerRec=",G67)</f>
        <v>TowerRec=66</v>
      </c>
      <c r="J67" s="406" t="str">
        <f ca="1">IFERROR(ROW(INDEX(INDIRECT("'TNX File'!A$1:A" &amp; $H$2),MATCH('TNX File Parse'!I67,'TNX File'!A:A,0))),"")</f>
        <v/>
      </c>
      <c r="K67" s="399" t="s">
        <v>1415</v>
      </c>
      <c r="L67" s="399" t="str">
        <f ca="1">IFERROR(ROW(INDEX(INDIRECT("'TNX File'!A" &amp; $J67 &amp; ":A" &amp; $H$2),MATCH('TNX File Parse'!K67 &amp; "*",INDIRECT("'TNX File'!A" &amp; $J67 &amp; ":A" &amp; $H$2),0))),"")</f>
        <v/>
      </c>
      <c r="M67" s="399" t="str">
        <f ca="1">IFERROR(INDEX('TNX File'!A:A,L67,1),"")</f>
        <v/>
      </c>
      <c r="N67" s="399" t="str">
        <f t="shared" ref="N67:N130" ca="1" si="6">IFERROR(FIND("=",M67,1),"")</f>
        <v/>
      </c>
      <c r="O67" s="399" t="s">
        <v>1417</v>
      </c>
      <c r="P67" s="399" t="str">
        <f ca="1">IFERROR(ROW(INDEX(INDIRECT("'TNX File'!A" &amp; $J67 &amp; ":A" &amp; $H$2),MATCH('TNX File Parse'!O67 &amp; "*",INDIRECT("'TNX File'!A" &amp; $J67 &amp; ":A" &amp; $H$2),0))),"")</f>
        <v/>
      </c>
      <c r="Q67" s="399" t="str">
        <f ca="1">IFERROR(INDEX('TNX File'!A:A,P67,1),"")</f>
        <v/>
      </c>
      <c r="R67" s="399" t="str">
        <f t="shared" ref="R67:R130" ca="1" si="7">IFERROR(FIND("=",Q67,1),"")</f>
        <v/>
      </c>
      <c r="S67" s="399" t="str">
        <f t="shared" ref="S67:S130" ca="1" si="8">IFERROR(VALUE(RIGHT(M67,LEN(M67)-N67)),"")</f>
        <v/>
      </c>
      <c r="T67" s="399" t="str">
        <f t="shared" ref="T67:T130" ca="1" si="9">IFERROR(S67-VALUE(RIGHT(Q67,LEN(Q67)-R67)),"")</f>
        <v/>
      </c>
    </row>
    <row r="68" spans="7:20" x14ac:dyDescent="0.25">
      <c r="G68" s="399">
        <v>67</v>
      </c>
      <c r="H68" s="399"/>
      <c r="I68" s="399" t="str">
        <f t="shared" si="5"/>
        <v>TowerRec=67</v>
      </c>
      <c r="J68" s="406" t="str">
        <f ca="1">IFERROR(ROW(INDEX(INDIRECT("'TNX File'!A$1:A" &amp; $H$2),MATCH('TNX File Parse'!I68,'TNX File'!A:A,0))),"")</f>
        <v/>
      </c>
      <c r="K68" s="399" t="s">
        <v>1415</v>
      </c>
      <c r="L68" s="399" t="str">
        <f ca="1">IFERROR(ROW(INDEX(INDIRECT("'TNX File'!A" &amp; $J68 &amp; ":A" &amp; $H$2),MATCH('TNX File Parse'!K68 &amp; "*",INDIRECT("'TNX File'!A" &amp; $J68 &amp; ":A" &amp; $H$2),0))),"")</f>
        <v/>
      </c>
      <c r="M68" s="399" t="str">
        <f ca="1">IFERROR(INDEX('TNX File'!A:A,L68,1),"")</f>
        <v/>
      </c>
      <c r="N68" s="399" t="str">
        <f t="shared" ca="1" si="6"/>
        <v/>
      </c>
      <c r="O68" s="399" t="s">
        <v>1417</v>
      </c>
      <c r="P68" s="399" t="str">
        <f ca="1">IFERROR(ROW(INDEX(INDIRECT("'TNX File'!A" &amp; $J68 &amp; ":A" &amp; $H$2),MATCH('TNX File Parse'!O68 &amp; "*",INDIRECT("'TNX File'!A" &amp; $J68 &amp; ":A" &amp; $H$2),0))),"")</f>
        <v/>
      </c>
      <c r="Q68" s="399" t="str">
        <f ca="1">IFERROR(INDEX('TNX File'!A:A,P68,1),"")</f>
        <v/>
      </c>
      <c r="R68" s="399" t="str">
        <f t="shared" ca="1" si="7"/>
        <v/>
      </c>
      <c r="S68" s="399" t="str">
        <f t="shared" ca="1" si="8"/>
        <v/>
      </c>
      <c r="T68" s="399" t="str">
        <f t="shared" ca="1" si="9"/>
        <v/>
      </c>
    </row>
    <row r="69" spans="7:20" x14ac:dyDescent="0.25">
      <c r="G69" s="399">
        <v>68</v>
      </c>
      <c r="H69" s="399"/>
      <c r="I69" s="399" t="str">
        <f t="shared" si="5"/>
        <v>TowerRec=68</v>
      </c>
      <c r="J69" s="406" t="str">
        <f ca="1">IFERROR(ROW(INDEX(INDIRECT("'TNX File'!A$1:A" &amp; $H$2),MATCH('TNX File Parse'!I69,'TNX File'!A:A,0))),"")</f>
        <v/>
      </c>
      <c r="K69" s="399" t="s">
        <v>1415</v>
      </c>
      <c r="L69" s="399" t="str">
        <f ca="1">IFERROR(ROW(INDEX(INDIRECT("'TNX File'!A" &amp; $J69 &amp; ":A" &amp; $H$2),MATCH('TNX File Parse'!K69 &amp; "*",INDIRECT("'TNX File'!A" &amp; $J69 &amp; ":A" &amp; $H$2),0))),"")</f>
        <v/>
      </c>
      <c r="M69" s="399" t="str">
        <f ca="1">IFERROR(INDEX('TNX File'!A:A,L69,1),"")</f>
        <v/>
      </c>
      <c r="N69" s="399" t="str">
        <f t="shared" ca="1" si="6"/>
        <v/>
      </c>
      <c r="O69" s="399" t="s">
        <v>1417</v>
      </c>
      <c r="P69" s="399" t="str">
        <f ca="1">IFERROR(ROW(INDEX(INDIRECT("'TNX File'!A" &amp; $J69 &amp; ":A" &amp; $H$2),MATCH('TNX File Parse'!O69 &amp; "*",INDIRECT("'TNX File'!A" &amp; $J69 &amp; ":A" &amp; $H$2),0))),"")</f>
        <v/>
      </c>
      <c r="Q69" s="399" t="str">
        <f ca="1">IFERROR(INDEX('TNX File'!A:A,P69,1),"")</f>
        <v/>
      </c>
      <c r="R69" s="399" t="str">
        <f t="shared" ca="1" si="7"/>
        <v/>
      </c>
      <c r="S69" s="399" t="str">
        <f t="shared" ca="1" si="8"/>
        <v/>
      </c>
      <c r="T69" s="399" t="str">
        <f t="shared" ca="1" si="9"/>
        <v/>
      </c>
    </row>
    <row r="70" spans="7:20" x14ac:dyDescent="0.25">
      <c r="G70" s="399">
        <v>69</v>
      </c>
      <c r="H70" s="399"/>
      <c r="I70" s="399" t="str">
        <f t="shared" si="5"/>
        <v>TowerRec=69</v>
      </c>
      <c r="J70" s="406" t="str">
        <f ca="1">IFERROR(ROW(INDEX(INDIRECT("'TNX File'!A$1:A" &amp; $H$2),MATCH('TNX File Parse'!I70,'TNX File'!A:A,0))),"")</f>
        <v/>
      </c>
      <c r="K70" s="399" t="s">
        <v>1415</v>
      </c>
      <c r="L70" s="399" t="str">
        <f ca="1">IFERROR(ROW(INDEX(INDIRECT("'TNX File'!A" &amp; $J70 &amp; ":A" &amp; $H$2),MATCH('TNX File Parse'!K70 &amp; "*",INDIRECT("'TNX File'!A" &amp; $J70 &amp; ":A" &amp; $H$2),0))),"")</f>
        <v/>
      </c>
      <c r="M70" s="399" t="str">
        <f ca="1">IFERROR(INDEX('TNX File'!A:A,L70,1),"")</f>
        <v/>
      </c>
      <c r="N70" s="399" t="str">
        <f t="shared" ca="1" si="6"/>
        <v/>
      </c>
      <c r="O70" s="399" t="s">
        <v>1417</v>
      </c>
      <c r="P70" s="399" t="str">
        <f ca="1">IFERROR(ROW(INDEX(INDIRECT("'TNX File'!A" &amp; $J70 &amp; ":A" &amp; $H$2),MATCH('TNX File Parse'!O70 &amp; "*",INDIRECT("'TNX File'!A" &amp; $J70 &amp; ":A" &amp; $H$2),0))),"")</f>
        <v/>
      </c>
      <c r="Q70" s="399" t="str">
        <f ca="1">IFERROR(INDEX('TNX File'!A:A,P70,1),"")</f>
        <v/>
      </c>
      <c r="R70" s="399" t="str">
        <f t="shared" ca="1" si="7"/>
        <v/>
      </c>
      <c r="S70" s="399" t="str">
        <f t="shared" ca="1" si="8"/>
        <v/>
      </c>
      <c r="T70" s="399" t="str">
        <f t="shared" ca="1" si="9"/>
        <v/>
      </c>
    </row>
    <row r="71" spans="7:20" x14ac:dyDescent="0.25">
      <c r="G71" s="399">
        <v>70</v>
      </c>
      <c r="H71" s="399"/>
      <c r="I71" s="399" t="str">
        <f t="shared" si="5"/>
        <v>TowerRec=70</v>
      </c>
      <c r="J71" s="406" t="str">
        <f ca="1">IFERROR(ROW(INDEX(INDIRECT("'TNX File'!A$1:A" &amp; $H$2),MATCH('TNX File Parse'!I71,'TNX File'!A:A,0))),"")</f>
        <v/>
      </c>
      <c r="K71" s="399" t="s">
        <v>1415</v>
      </c>
      <c r="L71" s="399" t="str">
        <f ca="1">IFERROR(ROW(INDEX(INDIRECT("'TNX File'!A" &amp; $J71 &amp; ":A" &amp; $H$2),MATCH('TNX File Parse'!K71 &amp; "*",INDIRECT("'TNX File'!A" &amp; $J71 &amp; ":A" &amp; $H$2),0))),"")</f>
        <v/>
      </c>
      <c r="M71" s="399" t="str">
        <f ca="1">IFERROR(INDEX('TNX File'!A:A,L71,1),"")</f>
        <v/>
      </c>
      <c r="N71" s="399" t="str">
        <f t="shared" ca="1" si="6"/>
        <v/>
      </c>
      <c r="O71" s="399" t="s">
        <v>1417</v>
      </c>
      <c r="P71" s="399" t="str">
        <f ca="1">IFERROR(ROW(INDEX(INDIRECT("'TNX File'!A" &amp; $J71 &amp; ":A" &amp; $H$2),MATCH('TNX File Parse'!O71 &amp; "*",INDIRECT("'TNX File'!A" &amp; $J71 &amp; ":A" &amp; $H$2),0))),"")</f>
        <v/>
      </c>
      <c r="Q71" s="399" t="str">
        <f ca="1">IFERROR(INDEX('TNX File'!A:A,P71,1),"")</f>
        <v/>
      </c>
      <c r="R71" s="399" t="str">
        <f t="shared" ca="1" si="7"/>
        <v/>
      </c>
      <c r="S71" s="399" t="str">
        <f t="shared" ca="1" si="8"/>
        <v/>
      </c>
      <c r="T71" s="399" t="str">
        <f t="shared" ca="1" si="9"/>
        <v/>
      </c>
    </row>
    <row r="72" spans="7:20" x14ac:dyDescent="0.25">
      <c r="G72" s="399">
        <v>71</v>
      </c>
      <c r="H72" s="399"/>
      <c r="I72" s="399" t="str">
        <f t="shared" si="5"/>
        <v>TowerRec=71</v>
      </c>
      <c r="J72" s="406" t="str">
        <f ca="1">IFERROR(ROW(INDEX(INDIRECT("'TNX File'!A$1:A" &amp; $H$2),MATCH('TNX File Parse'!I72,'TNX File'!A:A,0))),"")</f>
        <v/>
      </c>
      <c r="K72" s="399" t="s">
        <v>1415</v>
      </c>
      <c r="L72" s="399" t="str">
        <f ca="1">IFERROR(ROW(INDEX(INDIRECT("'TNX File'!A" &amp; $J72 &amp; ":A" &amp; $H$2),MATCH('TNX File Parse'!K72 &amp; "*",INDIRECT("'TNX File'!A" &amp; $J72 &amp; ":A" &amp; $H$2),0))),"")</f>
        <v/>
      </c>
      <c r="M72" s="399" t="str">
        <f ca="1">IFERROR(INDEX('TNX File'!A:A,L72,1),"")</f>
        <v/>
      </c>
      <c r="N72" s="399" t="str">
        <f t="shared" ca="1" si="6"/>
        <v/>
      </c>
      <c r="O72" s="399" t="s">
        <v>1417</v>
      </c>
      <c r="P72" s="399" t="str">
        <f ca="1">IFERROR(ROW(INDEX(INDIRECT("'TNX File'!A" &amp; $J72 &amp; ":A" &amp; $H$2),MATCH('TNX File Parse'!O72 &amp; "*",INDIRECT("'TNX File'!A" &amp; $J72 &amp; ":A" &amp; $H$2),0))),"")</f>
        <v/>
      </c>
      <c r="Q72" s="399" t="str">
        <f ca="1">IFERROR(INDEX('TNX File'!A:A,P72,1),"")</f>
        <v/>
      </c>
      <c r="R72" s="399" t="str">
        <f t="shared" ca="1" si="7"/>
        <v/>
      </c>
      <c r="S72" s="399" t="str">
        <f t="shared" ca="1" si="8"/>
        <v/>
      </c>
      <c r="T72" s="399" t="str">
        <f t="shared" ca="1" si="9"/>
        <v/>
      </c>
    </row>
    <row r="73" spans="7:20" x14ac:dyDescent="0.25">
      <c r="G73" s="399">
        <v>72</v>
      </c>
      <c r="H73" s="399"/>
      <c r="I73" s="399" t="str">
        <f t="shared" si="5"/>
        <v>TowerRec=72</v>
      </c>
      <c r="J73" s="406" t="str">
        <f ca="1">IFERROR(ROW(INDEX(INDIRECT("'TNX File'!A$1:A" &amp; $H$2),MATCH('TNX File Parse'!I73,'TNX File'!A:A,0))),"")</f>
        <v/>
      </c>
      <c r="K73" s="399" t="s">
        <v>1415</v>
      </c>
      <c r="L73" s="399" t="str">
        <f ca="1">IFERROR(ROW(INDEX(INDIRECT("'TNX File'!A" &amp; $J73 &amp; ":A" &amp; $H$2),MATCH('TNX File Parse'!K73 &amp; "*",INDIRECT("'TNX File'!A" &amp; $J73 &amp; ":A" &amp; $H$2),0))),"")</f>
        <v/>
      </c>
      <c r="M73" s="399" t="str">
        <f ca="1">IFERROR(INDEX('TNX File'!A:A,L73,1),"")</f>
        <v/>
      </c>
      <c r="N73" s="399" t="str">
        <f t="shared" ca="1" si="6"/>
        <v/>
      </c>
      <c r="O73" s="399" t="s">
        <v>1417</v>
      </c>
      <c r="P73" s="399" t="str">
        <f ca="1">IFERROR(ROW(INDEX(INDIRECT("'TNX File'!A" &amp; $J73 &amp; ":A" &amp; $H$2),MATCH('TNX File Parse'!O73 &amp; "*",INDIRECT("'TNX File'!A" &amp; $J73 &amp; ":A" &amp; $H$2),0))),"")</f>
        <v/>
      </c>
      <c r="Q73" s="399" t="str">
        <f ca="1">IFERROR(INDEX('TNX File'!A:A,P73,1),"")</f>
        <v/>
      </c>
      <c r="R73" s="399" t="str">
        <f t="shared" ca="1" si="7"/>
        <v/>
      </c>
      <c r="S73" s="399" t="str">
        <f t="shared" ca="1" si="8"/>
        <v/>
      </c>
      <c r="T73" s="399" t="str">
        <f t="shared" ca="1" si="9"/>
        <v/>
      </c>
    </row>
    <row r="74" spans="7:20" x14ac:dyDescent="0.25">
      <c r="G74" s="399">
        <v>73</v>
      </c>
      <c r="H74" s="399"/>
      <c r="I74" s="399" t="str">
        <f t="shared" si="5"/>
        <v>TowerRec=73</v>
      </c>
      <c r="J74" s="406" t="str">
        <f ca="1">IFERROR(ROW(INDEX(INDIRECT("'TNX File'!A$1:A" &amp; $H$2),MATCH('TNX File Parse'!I74,'TNX File'!A:A,0))),"")</f>
        <v/>
      </c>
      <c r="K74" s="399" t="s">
        <v>1415</v>
      </c>
      <c r="L74" s="399" t="str">
        <f ca="1">IFERROR(ROW(INDEX(INDIRECT("'TNX File'!A" &amp; $J74 &amp; ":A" &amp; $H$2),MATCH('TNX File Parse'!K74 &amp; "*",INDIRECT("'TNX File'!A" &amp; $J74 &amp; ":A" &amp; $H$2),0))),"")</f>
        <v/>
      </c>
      <c r="M74" s="399" t="str">
        <f ca="1">IFERROR(INDEX('TNX File'!A:A,L74,1),"")</f>
        <v/>
      </c>
      <c r="N74" s="399" t="str">
        <f t="shared" ca="1" si="6"/>
        <v/>
      </c>
      <c r="O74" s="399" t="s">
        <v>1417</v>
      </c>
      <c r="P74" s="399" t="str">
        <f ca="1">IFERROR(ROW(INDEX(INDIRECT("'TNX File'!A" &amp; $J74 &amp; ":A" &amp; $H$2),MATCH('TNX File Parse'!O74 &amp; "*",INDIRECT("'TNX File'!A" &amp; $J74 &amp; ":A" &amp; $H$2),0))),"")</f>
        <v/>
      </c>
      <c r="Q74" s="399" t="str">
        <f ca="1">IFERROR(INDEX('TNX File'!A:A,P74,1),"")</f>
        <v/>
      </c>
      <c r="R74" s="399" t="str">
        <f t="shared" ca="1" si="7"/>
        <v/>
      </c>
      <c r="S74" s="399" t="str">
        <f t="shared" ca="1" si="8"/>
        <v/>
      </c>
      <c r="T74" s="399" t="str">
        <f t="shared" ca="1" si="9"/>
        <v/>
      </c>
    </row>
    <row r="75" spans="7:20" x14ac:dyDescent="0.25">
      <c r="G75" s="399">
        <v>74</v>
      </c>
      <c r="H75" s="399"/>
      <c r="I75" s="399" t="str">
        <f t="shared" si="5"/>
        <v>TowerRec=74</v>
      </c>
      <c r="J75" s="406" t="str">
        <f ca="1">IFERROR(ROW(INDEX(INDIRECT("'TNX File'!A$1:A" &amp; $H$2),MATCH('TNX File Parse'!I75,'TNX File'!A:A,0))),"")</f>
        <v/>
      </c>
      <c r="K75" s="399" t="s">
        <v>1415</v>
      </c>
      <c r="L75" s="399" t="str">
        <f ca="1">IFERROR(ROW(INDEX(INDIRECT("'TNX File'!A" &amp; $J75 &amp; ":A" &amp; $H$2),MATCH('TNX File Parse'!K75 &amp; "*",INDIRECT("'TNX File'!A" &amp; $J75 &amp; ":A" &amp; $H$2),0))),"")</f>
        <v/>
      </c>
      <c r="M75" s="399" t="str">
        <f ca="1">IFERROR(INDEX('TNX File'!A:A,L75,1),"")</f>
        <v/>
      </c>
      <c r="N75" s="399" t="str">
        <f t="shared" ca="1" si="6"/>
        <v/>
      </c>
      <c r="O75" s="399" t="s">
        <v>1417</v>
      </c>
      <c r="P75" s="399" t="str">
        <f ca="1">IFERROR(ROW(INDEX(INDIRECT("'TNX File'!A" &amp; $J75 &amp; ":A" &amp; $H$2),MATCH('TNX File Parse'!O75 &amp; "*",INDIRECT("'TNX File'!A" &amp; $J75 &amp; ":A" &amp; $H$2),0))),"")</f>
        <v/>
      </c>
      <c r="Q75" s="399" t="str">
        <f ca="1">IFERROR(INDEX('TNX File'!A:A,P75,1),"")</f>
        <v/>
      </c>
      <c r="R75" s="399" t="str">
        <f t="shared" ca="1" si="7"/>
        <v/>
      </c>
      <c r="S75" s="399" t="str">
        <f t="shared" ca="1" si="8"/>
        <v/>
      </c>
      <c r="T75" s="399" t="str">
        <f t="shared" ca="1" si="9"/>
        <v/>
      </c>
    </row>
    <row r="76" spans="7:20" x14ac:dyDescent="0.25">
      <c r="G76" s="399">
        <v>75</v>
      </c>
      <c r="H76" s="399"/>
      <c r="I76" s="399" t="str">
        <f t="shared" si="5"/>
        <v>TowerRec=75</v>
      </c>
      <c r="J76" s="406" t="str">
        <f ca="1">IFERROR(ROW(INDEX(INDIRECT("'TNX File'!A$1:A" &amp; $H$2),MATCH('TNX File Parse'!I76,'TNX File'!A:A,0))),"")</f>
        <v/>
      </c>
      <c r="K76" s="399" t="s">
        <v>1415</v>
      </c>
      <c r="L76" s="399" t="str">
        <f ca="1">IFERROR(ROW(INDEX(INDIRECT("'TNX File'!A" &amp; $J76 &amp; ":A" &amp; $H$2),MATCH('TNX File Parse'!K76 &amp; "*",INDIRECT("'TNX File'!A" &amp; $J76 &amp; ":A" &amp; $H$2),0))),"")</f>
        <v/>
      </c>
      <c r="M76" s="399" t="str">
        <f ca="1">IFERROR(INDEX('TNX File'!A:A,L76,1),"")</f>
        <v/>
      </c>
      <c r="N76" s="399" t="str">
        <f t="shared" ca="1" si="6"/>
        <v/>
      </c>
      <c r="O76" s="399" t="s">
        <v>1417</v>
      </c>
      <c r="P76" s="399" t="str">
        <f ca="1">IFERROR(ROW(INDEX(INDIRECT("'TNX File'!A" &amp; $J76 &amp; ":A" &amp; $H$2),MATCH('TNX File Parse'!O76 &amp; "*",INDIRECT("'TNX File'!A" &amp; $J76 &amp; ":A" &amp; $H$2),0))),"")</f>
        <v/>
      </c>
      <c r="Q76" s="399" t="str">
        <f ca="1">IFERROR(INDEX('TNX File'!A:A,P76,1),"")</f>
        <v/>
      </c>
      <c r="R76" s="399" t="str">
        <f t="shared" ca="1" si="7"/>
        <v/>
      </c>
      <c r="S76" s="399" t="str">
        <f t="shared" ca="1" si="8"/>
        <v/>
      </c>
      <c r="T76" s="399" t="str">
        <f t="shared" ca="1" si="9"/>
        <v/>
      </c>
    </row>
    <row r="77" spans="7:20" x14ac:dyDescent="0.25">
      <c r="G77" s="399">
        <v>76</v>
      </c>
      <c r="H77" s="399"/>
      <c r="I77" s="399" t="str">
        <f t="shared" si="5"/>
        <v>TowerRec=76</v>
      </c>
      <c r="J77" s="406" t="str">
        <f ca="1">IFERROR(ROW(INDEX(INDIRECT("'TNX File'!A$1:A" &amp; $H$2),MATCH('TNX File Parse'!I77,'TNX File'!A:A,0))),"")</f>
        <v/>
      </c>
      <c r="K77" s="399" t="s">
        <v>1415</v>
      </c>
      <c r="L77" s="399" t="str">
        <f ca="1">IFERROR(ROW(INDEX(INDIRECT("'TNX File'!A" &amp; $J77 &amp; ":A" &amp; $H$2),MATCH('TNX File Parse'!K77 &amp; "*",INDIRECT("'TNX File'!A" &amp; $J77 &amp; ":A" &amp; $H$2),0))),"")</f>
        <v/>
      </c>
      <c r="M77" s="399" t="str">
        <f ca="1">IFERROR(INDEX('TNX File'!A:A,L77,1),"")</f>
        <v/>
      </c>
      <c r="N77" s="399" t="str">
        <f t="shared" ca="1" si="6"/>
        <v/>
      </c>
      <c r="O77" s="399" t="s">
        <v>1417</v>
      </c>
      <c r="P77" s="399" t="str">
        <f ca="1">IFERROR(ROW(INDEX(INDIRECT("'TNX File'!A" &amp; $J77 &amp; ":A" &amp; $H$2),MATCH('TNX File Parse'!O77 &amp; "*",INDIRECT("'TNX File'!A" &amp; $J77 &amp; ":A" &amp; $H$2),0))),"")</f>
        <v/>
      </c>
      <c r="Q77" s="399" t="str">
        <f ca="1">IFERROR(INDEX('TNX File'!A:A,P77,1),"")</f>
        <v/>
      </c>
      <c r="R77" s="399" t="str">
        <f t="shared" ca="1" si="7"/>
        <v/>
      </c>
      <c r="S77" s="399" t="str">
        <f t="shared" ca="1" si="8"/>
        <v/>
      </c>
      <c r="T77" s="399" t="str">
        <f t="shared" ca="1" si="9"/>
        <v/>
      </c>
    </row>
    <row r="78" spans="7:20" x14ac:dyDescent="0.25">
      <c r="G78" s="399">
        <v>77</v>
      </c>
      <c r="H78" s="399"/>
      <c r="I78" s="399" t="str">
        <f t="shared" si="5"/>
        <v>TowerRec=77</v>
      </c>
      <c r="J78" s="406" t="str">
        <f ca="1">IFERROR(ROW(INDEX(INDIRECT("'TNX File'!A$1:A" &amp; $H$2),MATCH('TNX File Parse'!I78,'TNX File'!A:A,0))),"")</f>
        <v/>
      </c>
      <c r="K78" s="399" t="s">
        <v>1415</v>
      </c>
      <c r="L78" s="399" t="str">
        <f ca="1">IFERROR(ROW(INDEX(INDIRECT("'TNX File'!A" &amp; $J78 &amp; ":A" &amp; $H$2),MATCH('TNX File Parse'!K78 &amp; "*",INDIRECT("'TNX File'!A" &amp; $J78 &amp; ":A" &amp; $H$2),0))),"")</f>
        <v/>
      </c>
      <c r="M78" s="399" t="str">
        <f ca="1">IFERROR(INDEX('TNX File'!A:A,L78,1),"")</f>
        <v/>
      </c>
      <c r="N78" s="399" t="str">
        <f t="shared" ca="1" si="6"/>
        <v/>
      </c>
      <c r="O78" s="399" t="s">
        <v>1417</v>
      </c>
      <c r="P78" s="399" t="str">
        <f ca="1">IFERROR(ROW(INDEX(INDIRECT("'TNX File'!A" &amp; $J78 &amp; ":A" &amp; $H$2),MATCH('TNX File Parse'!O78 &amp; "*",INDIRECT("'TNX File'!A" &amp; $J78 &amp; ":A" &amp; $H$2),0))),"")</f>
        <v/>
      </c>
      <c r="Q78" s="399" t="str">
        <f ca="1">IFERROR(INDEX('TNX File'!A:A,P78,1),"")</f>
        <v/>
      </c>
      <c r="R78" s="399" t="str">
        <f t="shared" ca="1" si="7"/>
        <v/>
      </c>
      <c r="S78" s="399" t="str">
        <f t="shared" ca="1" si="8"/>
        <v/>
      </c>
      <c r="T78" s="399" t="str">
        <f t="shared" ca="1" si="9"/>
        <v/>
      </c>
    </row>
    <row r="79" spans="7:20" x14ac:dyDescent="0.25">
      <c r="G79" s="399">
        <v>78</v>
      </c>
      <c r="H79" s="399"/>
      <c r="I79" s="399" t="str">
        <f t="shared" si="5"/>
        <v>TowerRec=78</v>
      </c>
      <c r="J79" s="406" t="str">
        <f ca="1">IFERROR(ROW(INDEX(INDIRECT("'TNX File'!A$1:A" &amp; $H$2),MATCH('TNX File Parse'!I79,'TNX File'!A:A,0))),"")</f>
        <v/>
      </c>
      <c r="K79" s="399" t="s">
        <v>1415</v>
      </c>
      <c r="L79" s="399" t="str">
        <f ca="1">IFERROR(ROW(INDEX(INDIRECT("'TNX File'!A" &amp; $J79 &amp; ":A" &amp; $H$2),MATCH('TNX File Parse'!K79 &amp; "*",INDIRECT("'TNX File'!A" &amp; $J79 &amp; ":A" &amp; $H$2),0))),"")</f>
        <v/>
      </c>
      <c r="M79" s="399" t="str">
        <f ca="1">IFERROR(INDEX('TNX File'!A:A,L79,1),"")</f>
        <v/>
      </c>
      <c r="N79" s="399" t="str">
        <f t="shared" ca="1" si="6"/>
        <v/>
      </c>
      <c r="O79" s="399" t="s">
        <v>1417</v>
      </c>
      <c r="P79" s="399" t="str">
        <f ca="1">IFERROR(ROW(INDEX(INDIRECT("'TNX File'!A" &amp; $J79 &amp; ":A" &amp; $H$2),MATCH('TNX File Parse'!O79 &amp; "*",INDIRECT("'TNX File'!A" &amp; $J79 &amp; ":A" &amp; $H$2),0))),"")</f>
        <v/>
      </c>
      <c r="Q79" s="399" t="str">
        <f ca="1">IFERROR(INDEX('TNX File'!A:A,P79,1),"")</f>
        <v/>
      </c>
      <c r="R79" s="399" t="str">
        <f t="shared" ca="1" si="7"/>
        <v/>
      </c>
      <c r="S79" s="399" t="str">
        <f t="shared" ca="1" si="8"/>
        <v/>
      </c>
      <c r="T79" s="399" t="str">
        <f t="shared" ca="1" si="9"/>
        <v/>
      </c>
    </row>
    <row r="80" spans="7:20" x14ac:dyDescent="0.25">
      <c r="G80" s="399">
        <v>79</v>
      </c>
      <c r="H80" s="399"/>
      <c r="I80" s="399" t="str">
        <f t="shared" si="5"/>
        <v>TowerRec=79</v>
      </c>
      <c r="J80" s="406" t="str">
        <f ca="1">IFERROR(ROW(INDEX(INDIRECT("'TNX File'!A$1:A" &amp; $H$2),MATCH('TNX File Parse'!I80,'TNX File'!A:A,0))),"")</f>
        <v/>
      </c>
      <c r="K80" s="399" t="s">
        <v>1415</v>
      </c>
      <c r="L80" s="399" t="str">
        <f ca="1">IFERROR(ROW(INDEX(INDIRECT("'TNX File'!A" &amp; $J80 &amp; ":A" &amp; $H$2),MATCH('TNX File Parse'!K80 &amp; "*",INDIRECT("'TNX File'!A" &amp; $J80 &amp; ":A" &amp; $H$2),0))),"")</f>
        <v/>
      </c>
      <c r="M80" s="399" t="str">
        <f ca="1">IFERROR(INDEX('TNX File'!A:A,L80,1),"")</f>
        <v/>
      </c>
      <c r="N80" s="399" t="str">
        <f t="shared" ca="1" si="6"/>
        <v/>
      </c>
      <c r="O80" s="399" t="s">
        <v>1417</v>
      </c>
      <c r="P80" s="399" t="str">
        <f ca="1">IFERROR(ROW(INDEX(INDIRECT("'TNX File'!A" &amp; $J80 &amp; ":A" &amp; $H$2),MATCH('TNX File Parse'!O80 &amp; "*",INDIRECT("'TNX File'!A" &amp; $J80 &amp; ":A" &amp; $H$2),0))),"")</f>
        <v/>
      </c>
      <c r="Q80" s="399" t="str">
        <f ca="1">IFERROR(INDEX('TNX File'!A:A,P80,1),"")</f>
        <v/>
      </c>
      <c r="R80" s="399" t="str">
        <f t="shared" ca="1" si="7"/>
        <v/>
      </c>
      <c r="S80" s="399" t="str">
        <f t="shared" ca="1" si="8"/>
        <v/>
      </c>
      <c r="T80" s="399" t="str">
        <f t="shared" ca="1" si="9"/>
        <v/>
      </c>
    </row>
    <row r="81" spans="7:20" x14ac:dyDescent="0.25">
      <c r="G81" s="399">
        <v>80</v>
      </c>
      <c r="H81" s="399"/>
      <c r="I81" s="399" t="str">
        <f t="shared" si="5"/>
        <v>TowerRec=80</v>
      </c>
      <c r="J81" s="406" t="str">
        <f ca="1">IFERROR(ROW(INDEX(INDIRECT("'TNX File'!A$1:A" &amp; $H$2),MATCH('TNX File Parse'!I81,'TNX File'!A:A,0))),"")</f>
        <v/>
      </c>
      <c r="K81" s="399" t="s">
        <v>1415</v>
      </c>
      <c r="L81" s="399" t="str">
        <f ca="1">IFERROR(ROW(INDEX(INDIRECT("'TNX File'!A" &amp; $J81 &amp; ":A" &amp; $H$2),MATCH('TNX File Parse'!K81 &amp; "*",INDIRECT("'TNX File'!A" &amp; $J81 &amp; ":A" &amp; $H$2),0))),"")</f>
        <v/>
      </c>
      <c r="M81" s="399" t="str">
        <f ca="1">IFERROR(INDEX('TNX File'!A:A,L81,1),"")</f>
        <v/>
      </c>
      <c r="N81" s="399" t="str">
        <f t="shared" ca="1" si="6"/>
        <v/>
      </c>
      <c r="O81" s="399" t="s">
        <v>1417</v>
      </c>
      <c r="P81" s="399" t="str">
        <f ca="1">IFERROR(ROW(INDEX(INDIRECT("'TNX File'!A" &amp; $J81 &amp; ":A" &amp; $H$2),MATCH('TNX File Parse'!O81 &amp; "*",INDIRECT("'TNX File'!A" &amp; $J81 &amp; ":A" &amp; $H$2),0))),"")</f>
        <v/>
      </c>
      <c r="Q81" s="399" t="str">
        <f ca="1">IFERROR(INDEX('TNX File'!A:A,P81,1),"")</f>
        <v/>
      </c>
      <c r="R81" s="399" t="str">
        <f t="shared" ca="1" si="7"/>
        <v/>
      </c>
      <c r="S81" s="399" t="str">
        <f t="shared" ca="1" si="8"/>
        <v/>
      </c>
      <c r="T81" s="399" t="str">
        <f t="shared" ca="1" si="9"/>
        <v/>
      </c>
    </row>
    <row r="82" spans="7:20" x14ac:dyDescent="0.25">
      <c r="G82" s="399">
        <v>81</v>
      </c>
      <c r="H82" s="399"/>
      <c r="I82" s="399" t="str">
        <f t="shared" si="5"/>
        <v>TowerRec=81</v>
      </c>
      <c r="J82" s="406" t="str">
        <f ca="1">IFERROR(ROW(INDEX(INDIRECT("'TNX File'!A$1:A" &amp; $H$2),MATCH('TNX File Parse'!I82,'TNX File'!A:A,0))),"")</f>
        <v/>
      </c>
      <c r="K82" s="399" t="s">
        <v>1415</v>
      </c>
      <c r="L82" s="399" t="str">
        <f ca="1">IFERROR(ROW(INDEX(INDIRECT("'TNX File'!A" &amp; $J82 &amp; ":A" &amp; $H$2),MATCH('TNX File Parse'!K82 &amp; "*",INDIRECT("'TNX File'!A" &amp; $J82 &amp; ":A" &amp; $H$2),0))),"")</f>
        <v/>
      </c>
      <c r="M82" s="399" t="str">
        <f ca="1">IFERROR(INDEX('TNX File'!A:A,L82,1),"")</f>
        <v/>
      </c>
      <c r="N82" s="399" t="str">
        <f t="shared" ca="1" si="6"/>
        <v/>
      </c>
      <c r="O82" s="399" t="s">
        <v>1417</v>
      </c>
      <c r="P82" s="399" t="str">
        <f ca="1">IFERROR(ROW(INDEX(INDIRECT("'TNX File'!A" &amp; $J82 &amp; ":A" &amp; $H$2),MATCH('TNX File Parse'!O82 &amp; "*",INDIRECT("'TNX File'!A" &amp; $J82 &amp; ":A" &amp; $H$2),0))),"")</f>
        <v/>
      </c>
      <c r="Q82" s="399" t="str">
        <f ca="1">IFERROR(INDEX('TNX File'!A:A,P82,1),"")</f>
        <v/>
      </c>
      <c r="R82" s="399" t="str">
        <f t="shared" ca="1" si="7"/>
        <v/>
      </c>
      <c r="S82" s="399" t="str">
        <f t="shared" ca="1" si="8"/>
        <v/>
      </c>
      <c r="T82" s="399" t="str">
        <f t="shared" ca="1" si="9"/>
        <v/>
      </c>
    </row>
    <row r="83" spans="7:20" x14ac:dyDescent="0.25">
      <c r="G83" s="399">
        <v>82</v>
      </c>
      <c r="H83" s="399"/>
      <c r="I83" s="399" t="str">
        <f t="shared" si="5"/>
        <v>TowerRec=82</v>
      </c>
      <c r="J83" s="406" t="str">
        <f ca="1">IFERROR(ROW(INDEX(INDIRECT("'TNX File'!A$1:A" &amp; $H$2),MATCH('TNX File Parse'!I83,'TNX File'!A:A,0))),"")</f>
        <v/>
      </c>
      <c r="K83" s="399" t="s">
        <v>1415</v>
      </c>
      <c r="L83" s="399" t="str">
        <f ca="1">IFERROR(ROW(INDEX(INDIRECT("'TNX File'!A" &amp; $J83 &amp; ":A" &amp; $H$2),MATCH('TNX File Parse'!K83 &amp; "*",INDIRECT("'TNX File'!A" &amp; $J83 &amp; ":A" &amp; $H$2),0))),"")</f>
        <v/>
      </c>
      <c r="M83" s="399" t="str">
        <f ca="1">IFERROR(INDEX('TNX File'!A:A,L83,1),"")</f>
        <v/>
      </c>
      <c r="N83" s="399" t="str">
        <f t="shared" ca="1" si="6"/>
        <v/>
      </c>
      <c r="O83" s="399" t="s">
        <v>1417</v>
      </c>
      <c r="P83" s="399" t="str">
        <f ca="1">IFERROR(ROW(INDEX(INDIRECT("'TNX File'!A" &amp; $J83 &amp; ":A" &amp; $H$2),MATCH('TNX File Parse'!O83 &amp; "*",INDIRECT("'TNX File'!A" &amp; $J83 &amp; ":A" &amp; $H$2),0))),"")</f>
        <v/>
      </c>
      <c r="Q83" s="399" t="str">
        <f ca="1">IFERROR(INDEX('TNX File'!A:A,P83,1),"")</f>
        <v/>
      </c>
      <c r="R83" s="399" t="str">
        <f t="shared" ca="1" si="7"/>
        <v/>
      </c>
      <c r="S83" s="399" t="str">
        <f t="shared" ca="1" si="8"/>
        <v/>
      </c>
      <c r="T83" s="399" t="str">
        <f t="shared" ca="1" si="9"/>
        <v/>
      </c>
    </row>
    <row r="84" spans="7:20" x14ac:dyDescent="0.25">
      <c r="G84" s="399">
        <v>83</v>
      </c>
      <c r="H84" s="399"/>
      <c r="I84" s="399" t="str">
        <f t="shared" si="5"/>
        <v>TowerRec=83</v>
      </c>
      <c r="J84" s="406" t="str">
        <f ca="1">IFERROR(ROW(INDEX(INDIRECT("'TNX File'!A$1:A" &amp; $H$2),MATCH('TNX File Parse'!I84,'TNX File'!A:A,0))),"")</f>
        <v/>
      </c>
      <c r="K84" s="399" t="s">
        <v>1415</v>
      </c>
      <c r="L84" s="399" t="str">
        <f ca="1">IFERROR(ROW(INDEX(INDIRECT("'TNX File'!A" &amp; $J84 &amp; ":A" &amp; $H$2),MATCH('TNX File Parse'!K84 &amp; "*",INDIRECT("'TNX File'!A" &amp; $J84 &amp; ":A" &amp; $H$2),0))),"")</f>
        <v/>
      </c>
      <c r="M84" s="399" t="str">
        <f ca="1">IFERROR(INDEX('TNX File'!A:A,L84,1),"")</f>
        <v/>
      </c>
      <c r="N84" s="399" t="str">
        <f t="shared" ca="1" si="6"/>
        <v/>
      </c>
      <c r="O84" s="399" t="s">
        <v>1417</v>
      </c>
      <c r="P84" s="399" t="str">
        <f ca="1">IFERROR(ROW(INDEX(INDIRECT("'TNX File'!A" &amp; $J84 &amp; ":A" &amp; $H$2),MATCH('TNX File Parse'!O84 &amp; "*",INDIRECT("'TNX File'!A" &amp; $J84 &amp; ":A" &amp; $H$2),0))),"")</f>
        <v/>
      </c>
      <c r="Q84" s="399" t="str">
        <f ca="1">IFERROR(INDEX('TNX File'!A:A,P84,1),"")</f>
        <v/>
      </c>
      <c r="R84" s="399" t="str">
        <f t="shared" ca="1" si="7"/>
        <v/>
      </c>
      <c r="S84" s="399" t="str">
        <f t="shared" ca="1" si="8"/>
        <v/>
      </c>
      <c r="T84" s="399" t="str">
        <f t="shared" ca="1" si="9"/>
        <v/>
      </c>
    </row>
    <row r="85" spans="7:20" x14ac:dyDescent="0.25">
      <c r="G85" s="399">
        <v>84</v>
      </c>
      <c r="H85" s="399"/>
      <c r="I85" s="399" t="str">
        <f t="shared" si="5"/>
        <v>TowerRec=84</v>
      </c>
      <c r="J85" s="406" t="str">
        <f ca="1">IFERROR(ROW(INDEX(INDIRECT("'TNX File'!A$1:A" &amp; $H$2),MATCH('TNX File Parse'!I85,'TNX File'!A:A,0))),"")</f>
        <v/>
      </c>
      <c r="K85" s="399" t="s">
        <v>1415</v>
      </c>
      <c r="L85" s="399" t="str">
        <f ca="1">IFERROR(ROW(INDEX(INDIRECT("'TNX File'!A" &amp; $J85 &amp; ":A" &amp; $H$2),MATCH('TNX File Parse'!K85 &amp; "*",INDIRECT("'TNX File'!A" &amp; $J85 &amp; ":A" &amp; $H$2),0))),"")</f>
        <v/>
      </c>
      <c r="M85" s="399" t="str">
        <f ca="1">IFERROR(INDEX('TNX File'!A:A,L85,1),"")</f>
        <v/>
      </c>
      <c r="N85" s="399" t="str">
        <f t="shared" ca="1" si="6"/>
        <v/>
      </c>
      <c r="O85" s="399" t="s">
        <v>1417</v>
      </c>
      <c r="P85" s="399" t="str">
        <f ca="1">IFERROR(ROW(INDEX(INDIRECT("'TNX File'!A" &amp; $J85 &amp; ":A" &amp; $H$2),MATCH('TNX File Parse'!O85 &amp; "*",INDIRECT("'TNX File'!A" &amp; $J85 &amp; ":A" &amp; $H$2),0))),"")</f>
        <v/>
      </c>
      <c r="Q85" s="399" t="str">
        <f ca="1">IFERROR(INDEX('TNX File'!A:A,P85,1),"")</f>
        <v/>
      </c>
      <c r="R85" s="399" t="str">
        <f t="shared" ca="1" si="7"/>
        <v/>
      </c>
      <c r="S85" s="399" t="str">
        <f t="shared" ca="1" si="8"/>
        <v/>
      </c>
      <c r="T85" s="399" t="str">
        <f t="shared" ca="1" si="9"/>
        <v/>
      </c>
    </row>
    <row r="86" spans="7:20" x14ac:dyDescent="0.25">
      <c r="G86" s="399">
        <v>85</v>
      </c>
      <c r="H86" s="399"/>
      <c r="I86" s="399" t="str">
        <f t="shared" si="5"/>
        <v>TowerRec=85</v>
      </c>
      <c r="J86" s="406" t="str">
        <f ca="1">IFERROR(ROW(INDEX(INDIRECT("'TNX File'!A$1:A" &amp; $H$2),MATCH('TNX File Parse'!I86,'TNX File'!A:A,0))),"")</f>
        <v/>
      </c>
      <c r="K86" s="399" t="s">
        <v>1415</v>
      </c>
      <c r="L86" s="399" t="str">
        <f ca="1">IFERROR(ROW(INDEX(INDIRECT("'TNX File'!A" &amp; $J86 &amp; ":A" &amp; $H$2),MATCH('TNX File Parse'!K86 &amp; "*",INDIRECT("'TNX File'!A" &amp; $J86 &amp; ":A" &amp; $H$2),0))),"")</f>
        <v/>
      </c>
      <c r="M86" s="399" t="str">
        <f ca="1">IFERROR(INDEX('TNX File'!A:A,L86,1),"")</f>
        <v/>
      </c>
      <c r="N86" s="399" t="str">
        <f t="shared" ca="1" si="6"/>
        <v/>
      </c>
      <c r="O86" s="399" t="s">
        <v>1417</v>
      </c>
      <c r="P86" s="399" t="str">
        <f ca="1">IFERROR(ROW(INDEX(INDIRECT("'TNX File'!A" &amp; $J86 &amp; ":A" &amp; $H$2),MATCH('TNX File Parse'!O86 &amp; "*",INDIRECT("'TNX File'!A" &amp; $J86 &amp; ":A" &amp; $H$2),0))),"")</f>
        <v/>
      </c>
      <c r="Q86" s="399" t="str">
        <f ca="1">IFERROR(INDEX('TNX File'!A:A,P86,1),"")</f>
        <v/>
      </c>
      <c r="R86" s="399" t="str">
        <f t="shared" ca="1" si="7"/>
        <v/>
      </c>
      <c r="S86" s="399" t="str">
        <f t="shared" ca="1" si="8"/>
        <v/>
      </c>
      <c r="T86" s="399" t="str">
        <f t="shared" ca="1" si="9"/>
        <v/>
      </c>
    </row>
    <row r="87" spans="7:20" x14ac:dyDescent="0.25">
      <c r="G87" s="399">
        <v>86</v>
      </c>
      <c r="H87" s="399"/>
      <c r="I87" s="399" t="str">
        <f t="shared" si="5"/>
        <v>TowerRec=86</v>
      </c>
      <c r="J87" s="406" t="str">
        <f ca="1">IFERROR(ROW(INDEX(INDIRECT("'TNX File'!A$1:A" &amp; $H$2),MATCH('TNX File Parse'!I87,'TNX File'!A:A,0))),"")</f>
        <v/>
      </c>
      <c r="K87" s="399" t="s">
        <v>1415</v>
      </c>
      <c r="L87" s="399" t="str">
        <f ca="1">IFERROR(ROW(INDEX(INDIRECT("'TNX File'!A" &amp; $J87 &amp; ":A" &amp; $H$2),MATCH('TNX File Parse'!K87 &amp; "*",INDIRECT("'TNX File'!A" &amp; $J87 &amp; ":A" &amp; $H$2),0))),"")</f>
        <v/>
      </c>
      <c r="M87" s="399" t="str">
        <f ca="1">IFERROR(INDEX('TNX File'!A:A,L87,1),"")</f>
        <v/>
      </c>
      <c r="N87" s="399" t="str">
        <f t="shared" ca="1" si="6"/>
        <v/>
      </c>
      <c r="O87" s="399" t="s">
        <v>1417</v>
      </c>
      <c r="P87" s="399" t="str">
        <f ca="1">IFERROR(ROW(INDEX(INDIRECT("'TNX File'!A" &amp; $J87 &amp; ":A" &amp; $H$2),MATCH('TNX File Parse'!O87 &amp; "*",INDIRECT("'TNX File'!A" &amp; $J87 &amp; ":A" &amp; $H$2),0))),"")</f>
        <v/>
      </c>
      <c r="Q87" s="399" t="str">
        <f ca="1">IFERROR(INDEX('TNX File'!A:A,P87,1),"")</f>
        <v/>
      </c>
      <c r="R87" s="399" t="str">
        <f t="shared" ca="1" si="7"/>
        <v/>
      </c>
      <c r="S87" s="399" t="str">
        <f t="shared" ca="1" si="8"/>
        <v/>
      </c>
      <c r="T87" s="399" t="str">
        <f t="shared" ca="1" si="9"/>
        <v/>
      </c>
    </row>
    <row r="88" spans="7:20" x14ac:dyDescent="0.25">
      <c r="G88" s="399">
        <v>87</v>
      </c>
      <c r="H88" s="399"/>
      <c r="I88" s="399" t="str">
        <f t="shared" si="5"/>
        <v>TowerRec=87</v>
      </c>
      <c r="J88" s="406" t="str">
        <f ca="1">IFERROR(ROW(INDEX(INDIRECT("'TNX File'!A$1:A" &amp; $H$2),MATCH('TNX File Parse'!I88,'TNX File'!A:A,0))),"")</f>
        <v/>
      </c>
      <c r="K88" s="399" t="s">
        <v>1415</v>
      </c>
      <c r="L88" s="399" t="str">
        <f ca="1">IFERROR(ROW(INDEX(INDIRECT("'TNX File'!A" &amp; $J88 &amp; ":A" &amp; $H$2),MATCH('TNX File Parse'!K88 &amp; "*",INDIRECT("'TNX File'!A" &amp; $J88 &amp; ":A" &amp; $H$2),0))),"")</f>
        <v/>
      </c>
      <c r="M88" s="399" t="str">
        <f ca="1">IFERROR(INDEX('TNX File'!A:A,L88,1),"")</f>
        <v/>
      </c>
      <c r="N88" s="399" t="str">
        <f t="shared" ca="1" si="6"/>
        <v/>
      </c>
      <c r="O88" s="399" t="s">
        <v>1417</v>
      </c>
      <c r="P88" s="399" t="str">
        <f ca="1">IFERROR(ROW(INDEX(INDIRECT("'TNX File'!A" &amp; $J88 &amp; ":A" &amp; $H$2),MATCH('TNX File Parse'!O88 &amp; "*",INDIRECT("'TNX File'!A" &amp; $J88 &amp; ":A" &amp; $H$2),0))),"")</f>
        <v/>
      </c>
      <c r="Q88" s="399" t="str">
        <f ca="1">IFERROR(INDEX('TNX File'!A:A,P88,1),"")</f>
        <v/>
      </c>
      <c r="R88" s="399" t="str">
        <f t="shared" ca="1" si="7"/>
        <v/>
      </c>
      <c r="S88" s="399" t="str">
        <f t="shared" ca="1" si="8"/>
        <v/>
      </c>
      <c r="T88" s="399" t="str">
        <f t="shared" ca="1" si="9"/>
        <v/>
      </c>
    </row>
    <row r="89" spans="7:20" x14ac:dyDescent="0.25">
      <c r="G89" s="399">
        <v>88</v>
      </c>
      <c r="H89" s="399"/>
      <c r="I89" s="399" t="str">
        <f t="shared" si="5"/>
        <v>TowerRec=88</v>
      </c>
      <c r="J89" s="406" t="str">
        <f ca="1">IFERROR(ROW(INDEX(INDIRECT("'TNX File'!A$1:A" &amp; $H$2),MATCH('TNX File Parse'!I89,'TNX File'!A:A,0))),"")</f>
        <v/>
      </c>
      <c r="K89" s="399" t="s">
        <v>1415</v>
      </c>
      <c r="L89" s="399" t="str">
        <f ca="1">IFERROR(ROW(INDEX(INDIRECT("'TNX File'!A" &amp; $J89 &amp; ":A" &amp; $H$2),MATCH('TNX File Parse'!K89 &amp; "*",INDIRECT("'TNX File'!A" &amp; $J89 &amp; ":A" &amp; $H$2),0))),"")</f>
        <v/>
      </c>
      <c r="M89" s="399" t="str">
        <f ca="1">IFERROR(INDEX('TNX File'!A:A,L89,1),"")</f>
        <v/>
      </c>
      <c r="N89" s="399" t="str">
        <f t="shared" ca="1" si="6"/>
        <v/>
      </c>
      <c r="O89" s="399" t="s">
        <v>1417</v>
      </c>
      <c r="P89" s="399" t="str">
        <f ca="1">IFERROR(ROW(INDEX(INDIRECT("'TNX File'!A" &amp; $J89 &amp; ":A" &amp; $H$2),MATCH('TNX File Parse'!O89 &amp; "*",INDIRECT("'TNX File'!A" &amp; $J89 &amp; ":A" &amp; $H$2),0))),"")</f>
        <v/>
      </c>
      <c r="Q89" s="399" t="str">
        <f ca="1">IFERROR(INDEX('TNX File'!A:A,P89,1),"")</f>
        <v/>
      </c>
      <c r="R89" s="399" t="str">
        <f t="shared" ca="1" si="7"/>
        <v/>
      </c>
      <c r="S89" s="399" t="str">
        <f t="shared" ca="1" si="8"/>
        <v/>
      </c>
      <c r="T89" s="399" t="str">
        <f t="shared" ca="1" si="9"/>
        <v/>
      </c>
    </row>
    <row r="90" spans="7:20" x14ac:dyDescent="0.25">
      <c r="G90" s="399">
        <v>89</v>
      </c>
      <c r="H90" s="399"/>
      <c r="I90" s="399" t="str">
        <f t="shared" si="5"/>
        <v>TowerRec=89</v>
      </c>
      <c r="J90" s="406" t="str">
        <f ca="1">IFERROR(ROW(INDEX(INDIRECT("'TNX File'!A$1:A" &amp; $H$2),MATCH('TNX File Parse'!I90,'TNX File'!A:A,0))),"")</f>
        <v/>
      </c>
      <c r="K90" s="399" t="s">
        <v>1415</v>
      </c>
      <c r="L90" s="399" t="str">
        <f ca="1">IFERROR(ROW(INDEX(INDIRECT("'TNX File'!A" &amp; $J90 &amp; ":A" &amp; $H$2),MATCH('TNX File Parse'!K90 &amp; "*",INDIRECT("'TNX File'!A" &amp; $J90 &amp; ":A" &amp; $H$2),0))),"")</f>
        <v/>
      </c>
      <c r="M90" s="399" t="str">
        <f ca="1">IFERROR(INDEX('TNX File'!A:A,L90,1),"")</f>
        <v/>
      </c>
      <c r="N90" s="399" t="str">
        <f t="shared" ca="1" si="6"/>
        <v/>
      </c>
      <c r="O90" s="399" t="s">
        <v>1417</v>
      </c>
      <c r="P90" s="399" t="str">
        <f ca="1">IFERROR(ROW(INDEX(INDIRECT("'TNX File'!A" &amp; $J90 &amp; ":A" &amp; $H$2),MATCH('TNX File Parse'!O90 &amp; "*",INDIRECT("'TNX File'!A" &amp; $J90 &amp; ":A" &amp; $H$2),0))),"")</f>
        <v/>
      </c>
      <c r="Q90" s="399" t="str">
        <f ca="1">IFERROR(INDEX('TNX File'!A:A,P90,1),"")</f>
        <v/>
      </c>
      <c r="R90" s="399" t="str">
        <f t="shared" ca="1" si="7"/>
        <v/>
      </c>
      <c r="S90" s="399" t="str">
        <f t="shared" ca="1" si="8"/>
        <v/>
      </c>
      <c r="T90" s="399" t="str">
        <f t="shared" ca="1" si="9"/>
        <v/>
      </c>
    </row>
    <row r="91" spans="7:20" x14ac:dyDescent="0.25">
      <c r="G91" s="399">
        <v>90</v>
      </c>
      <c r="H91" s="399"/>
      <c r="I91" s="399" t="str">
        <f t="shared" si="5"/>
        <v>TowerRec=90</v>
      </c>
      <c r="J91" s="406" t="str">
        <f ca="1">IFERROR(ROW(INDEX(INDIRECT("'TNX File'!A$1:A" &amp; $H$2),MATCH('TNX File Parse'!I91,'TNX File'!A:A,0))),"")</f>
        <v/>
      </c>
      <c r="K91" s="399" t="s">
        <v>1415</v>
      </c>
      <c r="L91" s="399" t="str">
        <f ca="1">IFERROR(ROW(INDEX(INDIRECT("'TNX File'!A" &amp; $J91 &amp; ":A" &amp; $H$2),MATCH('TNX File Parse'!K91 &amp; "*",INDIRECT("'TNX File'!A" &amp; $J91 &amp; ":A" &amp; $H$2),0))),"")</f>
        <v/>
      </c>
      <c r="M91" s="399" t="str">
        <f ca="1">IFERROR(INDEX('TNX File'!A:A,L91,1),"")</f>
        <v/>
      </c>
      <c r="N91" s="399" t="str">
        <f t="shared" ca="1" si="6"/>
        <v/>
      </c>
      <c r="O91" s="399" t="s">
        <v>1417</v>
      </c>
      <c r="P91" s="399" t="str">
        <f ca="1">IFERROR(ROW(INDEX(INDIRECT("'TNX File'!A" &amp; $J91 &amp; ":A" &amp; $H$2),MATCH('TNX File Parse'!O91 &amp; "*",INDIRECT("'TNX File'!A" &amp; $J91 &amp; ":A" &amp; $H$2),0))),"")</f>
        <v/>
      </c>
      <c r="Q91" s="399" t="str">
        <f ca="1">IFERROR(INDEX('TNX File'!A:A,P91,1),"")</f>
        <v/>
      </c>
      <c r="R91" s="399" t="str">
        <f t="shared" ca="1" si="7"/>
        <v/>
      </c>
      <c r="S91" s="399" t="str">
        <f t="shared" ca="1" si="8"/>
        <v/>
      </c>
      <c r="T91" s="399" t="str">
        <f t="shared" ca="1" si="9"/>
        <v/>
      </c>
    </row>
    <row r="92" spans="7:20" x14ac:dyDescent="0.25">
      <c r="G92" s="399">
        <v>91</v>
      </c>
      <c r="H92" s="399"/>
      <c r="I92" s="399" t="str">
        <f t="shared" si="5"/>
        <v>TowerRec=91</v>
      </c>
      <c r="J92" s="406" t="str">
        <f ca="1">IFERROR(ROW(INDEX(INDIRECT("'TNX File'!A$1:A" &amp; $H$2),MATCH('TNX File Parse'!I92,'TNX File'!A:A,0))),"")</f>
        <v/>
      </c>
      <c r="K92" s="399" t="s">
        <v>1415</v>
      </c>
      <c r="L92" s="399" t="str">
        <f ca="1">IFERROR(ROW(INDEX(INDIRECT("'TNX File'!A" &amp; $J92 &amp; ":A" &amp; $H$2),MATCH('TNX File Parse'!K92 &amp; "*",INDIRECT("'TNX File'!A" &amp; $J92 &amp; ":A" &amp; $H$2),0))),"")</f>
        <v/>
      </c>
      <c r="M92" s="399" t="str">
        <f ca="1">IFERROR(INDEX('TNX File'!A:A,L92,1),"")</f>
        <v/>
      </c>
      <c r="N92" s="399" t="str">
        <f t="shared" ca="1" si="6"/>
        <v/>
      </c>
      <c r="O92" s="399" t="s">
        <v>1417</v>
      </c>
      <c r="P92" s="399" t="str">
        <f ca="1">IFERROR(ROW(INDEX(INDIRECT("'TNX File'!A" &amp; $J92 &amp; ":A" &amp; $H$2),MATCH('TNX File Parse'!O92 &amp; "*",INDIRECT("'TNX File'!A" &amp; $J92 &amp; ":A" &amp; $H$2),0))),"")</f>
        <v/>
      </c>
      <c r="Q92" s="399" t="str">
        <f ca="1">IFERROR(INDEX('TNX File'!A:A,P92,1),"")</f>
        <v/>
      </c>
      <c r="R92" s="399" t="str">
        <f t="shared" ca="1" si="7"/>
        <v/>
      </c>
      <c r="S92" s="399" t="str">
        <f t="shared" ca="1" si="8"/>
        <v/>
      </c>
      <c r="T92" s="399" t="str">
        <f t="shared" ca="1" si="9"/>
        <v/>
      </c>
    </row>
    <row r="93" spans="7:20" x14ac:dyDescent="0.25">
      <c r="G93" s="399">
        <v>92</v>
      </c>
      <c r="H93" s="399"/>
      <c r="I93" s="399" t="str">
        <f t="shared" si="5"/>
        <v>TowerRec=92</v>
      </c>
      <c r="J93" s="406" t="str">
        <f ca="1">IFERROR(ROW(INDEX(INDIRECT("'TNX File'!A$1:A" &amp; $H$2),MATCH('TNX File Parse'!I93,'TNX File'!A:A,0))),"")</f>
        <v/>
      </c>
      <c r="K93" s="399" t="s">
        <v>1415</v>
      </c>
      <c r="L93" s="399" t="str">
        <f ca="1">IFERROR(ROW(INDEX(INDIRECT("'TNX File'!A" &amp; $J93 &amp; ":A" &amp; $H$2),MATCH('TNX File Parse'!K93 &amp; "*",INDIRECT("'TNX File'!A" &amp; $J93 &amp; ":A" &amp; $H$2),0))),"")</f>
        <v/>
      </c>
      <c r="M93" s="399" t="str">
        <f ca="1">IFERROR(INDEX('TNX File'!A:A,L93,1),"")</f>
        <v/>
      </c>
      <c r="N93" s="399" t="str">
        <f t="shared" ca="1" si="6"/>
        <v/>
      </c>
      <c r="O93" s="399" t="s">
        <v>1417</v>
      </c>
      <c r="P93" s="399" t="str">
        <f ca="1">IFERROR(ROW(INDEX(INDIRECT("'TNX File'!A" &amp; $J93 &amp; ":A" &amp; $H$2),MATCH('TNX File Parse'!O93 &amp; "*",INDIRECT("'TNX File'!A" &amp; $J93 &amp; ":A" &amp; $H$2),0))),"")</f>
        <v/>
      </c>
      <c r="Q93" s="399" t="str">
        <f ca="1">IFERROR(INDEX('TNX File'!A:A,P93,1),"")</f>
        <v/>
      </c>
      <c r="R93" s="399" t="str">
        <f t="shared" ca="1" si="7"/>
        <v/>
      </c>
      <c r="S93" s="399" t="str">
        <f t="shared" ca="1" si="8"/>
        <v/>
      </c>
      <c r="T93" s="399" t="str">
        <f t="shared" ca="1" si="9"/>
        <v/>
      </c>
    </row>
    <row r="94" spans="7:20" x14ac:dyDescent="0.25">
      <c r="G94" s="399">
        <v>93</v>
      </c>
      <c r="H94" s="399"/>
      <c r="I94" s="399" t="str">
        <f t="shared" si="5"/>
        <v>TowerRec=93</v>
      </c>
      <c r="J94" s="406" t="str">
        <f ca="1">IFERROR(ROW(INDEX(INDIRECT("'TNX File'!A$1:A" &amp; $H$2),MATCH('TNX File Parse'!I94,'TNX File'!A:A,0))),"")</f>
        <v/>
      </c>
      <c r="K94" s="399" t="s">
        <v>1415</v>
      </c>
      <c r="L94" s="399" t="str">
        <f ca="1">IFERROR(ROW(INDEX(INDIRECT("'TNX File'!A" &amp; $J94 &amp; ":A" &amp; $H$2),MATCH('TNX File Parse'!K94 &amp; "*",INDIRECT("'TNX File'!A" &amp; $J94 &amp; ":A" &amp; $H$2),0))),"")</f>
        <v/>
      </c>
      <c r="M94" s="399" t="str">
        <f ca="1">IFERROR(INDEX('TNX File'!A:A,L94,1),"")</f>
        <v/>
      </c>
      <c r="N94" s="399" t="str">
        <f t="shared" ca="1" si="6"/>
        <v/>
      </c>
      <c r="O94" s="399" t="s">
        <v>1417</v>
      </c>
      <c r="P94" s="399" t="str">
        <f ca="1">IFERROR(ROW(INDEX(INDIRECT("'TNX File'!A" &amp; $J94 &amp; ":A" &amp; $H$2),MATCH('TNX File Parse'!O94 &amp; "*",INDIRECT("'TNX File'!A" &amp; $J94 &amp; ":A" &amp; $H$2),0))),"")</f>
        <v/>
      </c>
      <c r="Q94" s="399" t="str">
        <f ca="1">IFERROR(INDEX('TNX File'!A:A,P94,1),"")</f>
        <v/>
      </c>
      <c r="R94" s="399" t="str">
        <f t="shared" ca="1" si="7"/>
        <v/>
      </c>
      <c r="S94" s="399" t="str">
        <f t="shared" ca="1" si="8"/>
        <v/>
      </c>
      <c r="T94" s="399" t="str">
        <f t="shared" ca="1" si="9"/>
        <v/>
      </c>
    </row>
    <row r="95" spans="7:20" x14ac:dyDescent="0.25">
      <c r="G95" s="399">
        <v>94</v>
      </c>
      <c r="H95" s="399"/>
      <c r="I95" s="399" t="str">
        <f t="shared" si="5"/>
        <v>TowerRec=94</v>
      </c>
      <c r="J95" s="406" t="str">
        <f ca="1">IFERROR(ROW(INDEX(INDIRECT("'TNX File'!A$1:A" &amp; $H$2),MATCH('TNX File Parse'!I95,'TNX File'!A:A,0))),"")</f>
        <v/>
      </c>
      <c r="K95" s="399" t="s">
        <v>1415</v>
      </c>
      <c r="L95" s="399" t="str">
        <f ca="1">IFERROR(ROW(INDEX(INDIRECT("'TNX File'!A" &amp; $J95 &amp; ":A" &amp; $H$2),MATCH('TNX File Parse'!K95 &amp; "*",INDIRECT("'TNX File'!A" &amp; $J95 &amp; ":A" &amp; $H$2),0))),"")</f>
        <v/>
      </c>
      <c r="M95" s="399" t="str">
        <f ca="1">IFERROR(INDEX('TNX File'!A:A,L95,1),"")</f>
        <v/>
      </c>
      <c r="N95" s="399" t="str">
        <f t="shared" ca="1" si="6"/>
        <v/>
      </c>
      <c r="O95" s="399" t="s">
        <v>1417</v>
      </c>
      <c r="P95" s="399" t="str">
        <f ca="1">IFERROR(ROW(INDEX(INDIRECT("'TNX File'!A" &amp; $J95 &amp; ":A" &amp; $H$2),MATCH('TNX File Parse'!O95 &amp; "*",INDIRECT("'TNX File'!A" &amp; $J95 &amp; ":A" &amp; $H$2),0))),"")</f>
        <v/>
      </c>
      <c r="Q95" s="399" t="str">
        <f ca="1">IFERROR(INDEX('TNX File'!A:A,P95,1),"")</f>
        <v/>
      </c>
      <c r="R95" s="399" t="str">
        <f t="shared" ca="1" si="7"/>
        <v/>
      </c>
      <c r="S95" s="399" t="str">
        <f t="shared" ca="1" si="8"/>
        <v/>
      </c>
      <c r="T95" s="399" t="str">
        <f t="shared" ca="1" si="9"/>
        <v/>
      </c>
    </row>
    <row r="96" spans="7:20" x14ac:dyDescent="0.25">
      <c r="G96" s="399">
        <v>95</v>
      </c>
      <c r="H96" s="399"/>
      <c r="I96" s="399" t="str">
        <f t="shared" si="5"/>
        <v>TowerRec=95</v>
      </c>
      <c r="J96" s="406" t="str">
        <f ca="1">IFERROR(ROW(INDEX(INDIRECT("'TNX File'!A$1:A" &amp; $H$2),MATCH('TNX File Parse'!I96,'TNX File'!A:A,0))),"")</f>
        <v/>
      </c>
      <c r="K96" s="399" t="s">
        <v>1415</v>
      </c>
      <c r="L96" s="399" t="str">
        <f ca="1">IFERROR(ROW(INDEX(INDIRECT("'TNX File'!A" &amp; $J96 &amp; ":A" &amp; $H$2),MATCH('TNX File Parse'!K96 &amp; "*",INDIRECT("'TNX File'!A" &amp; $J96 &amp; ":A" &amp; $H$2),0))),"")</f>
        <v/>
      </c>
      <c r="M96" s="399" t="str">
        <f ca="1">IFERROR(INDEX('TNX File'!A:A,L96,1),"")</f>
        <v/>
      </c>
      <c r="N96" s="399" t="str">
        <f t="shared" ca="1" si="6"/>
        <v/>
      </c>
      <c r="O96" s="399" t="s">
        <v>1417</v>
      </c>
      <c r="P96" s="399" t="str">
        <f ca="1">IFERROR(ROW(INDEX(INDIRECT("'TNX File'!A" &amp; $J96 &amp; ":A" &amp; $H$2),MATCH('TNX File Parse'!O96 &amp; "*",INDIRECT("'TNX File'!A" &amp; $J96 &amp; ":A" &amp; $H$2),0))),"")</f>
        <v/>
      </c>
      <c r="Q96" s="399" t="str">
        <f ca="1">IFERROR(INDEX('TNX File'!A:A,P96,1),"")</f>
        <v/>
      </c>
      <c r="R96" s="399" t="str">
        <f t="shared" ca="1" si="7"/>
        <v/>
      </c>
      <c r="S96" s="399" t="str">
        <f t="shared" ca="1" si="8"/>
        <v/>
      </c>
      <c r="T96" s="399" t="str">
        <f t="shared" ca="1" si="9"/>
        <v/>
      </c>
    </row>
    <row r="97" spans="7:20" x14ac:dyDescent="0.25">
      <c r="G97" s="399">
        <v>96</v>
      </c>
      <c r="H97" s="399"/>
      <c r="I97" s="399" t="str">
        <f t="shared" si="5"/>
        <v>TowerRec=96</v>
      </c>
      <c r="J97" s="406" t="str">
        <f ca="1">IFERROR(ROW(INDEX(INDIRECT("'TNX File'!A$1:A" &amp; $H$2),MATCH('TNX File Parse'!I97,'TNX File'!A:A,0))),"")</f>
        <v/>
      </c>
      <c r="K97" s="399" t="s">
        <v>1415</v>
      </c>
      <c r="L97" s="399" t="str">
        <f ca="1">IFERROR(ROW(INDEX(INDIRECT("'TNX File'!A" &amp; $J97 &amp; ":A" &amp; $H$2),MATCH('TNX File Parse'!K97 &amp; "*",INDIRECT("'TNX File'!A" &amp; $J97 &amp; ":A" &amp; $H$2),0))),"")</f>
        <v/>
      </c>
      <c r="M97" s="399" t="str">
        <f ca="1">IFERROR(INDEX('TNX File'!A:A,L97,1),"")</f>
        <v/>
      </c>
      <c r="N97" s="399" t="str">
        <f t="shared" ca="1" si="6"/>
        <v/>
      </c>
      <c r="O97" s="399" t="s">
        <v>1417</v>
      </c>
      <c r="P97" s="399" t="str">
        <f ca="1">IFERROR(ROW(INDEX(INDIRECT("'TNX File'!A" &amp; $J97 &amp; ":A" &amp; $H$2),MATCH('TNX File Parse'!O97 &amp; "*",INDIRECT("'TNX File'!A" &amp; $J97 &amp; ":A" &amp; $H$2),0))),"")</f>
        <v/>
      </c>
      <c r="Q97" s="399" t="str">
        <f ca="1">IFERROR(INDEX('TNX File'!A:A,P97,1),"")</f>
        <v/>
      </c>
      <c r="R97" s="399" t="str">
        <f t="shared" ca="1" si="7"/>
        <v/>
      </c>
      <c r="S97" s="399" t="str">
        <f t="shared" ca="1" si="8"/>
        <v/>
      </c>
      <c r="T97" s="399" t="str">
        <f t="shared" ca="1" si="9"/>
        <v/>
      </c>
    </row>
    <row r="98" spans="7:20" x14ac:dyDescent="0.25">
      <c r="G98" s="399">
        <v>97</v>
      </c>
      <c r="H98" s="399"/>
      <c r="I98" s="399" t="str">
        <f t="shared" si="5"/>
        <v>TowerRec=97</v>
      </c>
      <c r="J98" s="406" t="str">
        <f ca="1">IFERROR(ROW(INDEX(INDIRECT("'TNX File'!A$1:A" &amp; $H$2),MATCH('TNX File Parse'!I98,'TNX File'!A:A,0))),"")</f>
        <v/>
      </c>
      <c r="K98" s="399" t="s">
        <v>1415</v>
      </c>
      <c r="L98" s="399" t="str">
        <f ca="1">IFERROR(ROW(INDEX(INDIRECT("'TNX File'!A" &amp; $J98 &amp; ":A" &amp; $H$2),MATCH('TNX File Parse'!K98 &amp; "*",INDIRECT("'TNX File'!A" &amp; $J98 &amp; ":A" &amp; $H$2),0))),"")</f>
        <v/>
      </c>
      <c r="M98" s="399" t="str">
        <f ca="1">IFERROR(INDEX('TNX File'!A:A,L98,1),"")</f>
        <v/>
      </c>
      <c r="N98" s="399" t="str">
        <f t="shared" ca="1" si="6"/>
        <v/>
      </c>
      <c r="O98" s="399" t="s">
        <v>1417</v>
      </c>
      <c r="P98" s="399" t="str">
        <f ca="1">IFERROR(ROW(INDEX(INDIRECT("'TNX File'!A" &amp; $J98 &amp; ":A" &amp; $H$2),MATCH('TNX File Parse'!O98 &amp; "*",INDIRECT("'TNX File'!A" &amp; $J98 &amp; ":A" &amp; $H$2),0))),"")</f>
        <v/>
      </c>
      <c r="Q98" s="399" t="str">
        <f ca="1">IFERROR(INDEX('TNX File'!A:A,P98,1),"")</f>
        <v/>
      </c>
      <c r="R98" s="399" t="str">
        <f t="shared" ca="1" si="7"/>
        <v/>
      </c>
      <c r="S98" s="399" t="str">
        <f t="shared" ca="1" si="8"/>
        <v/>
      </c>
      <c r="T98" s="399" t="str">
        <f t="shared" ca="1" si="9"/>
        <v/>
      </c>
    </row>
    <row r="99" spans="7:20" x14ac:dyDescent="0.25">
      <c r="G99" s="399">
        <v>98</v>
      </c>
      <c r="H99" s="399"/>
      <c r="I99" s="399" t="str">
        <f t="shared" si="5"/>
        <v>TowerRec=98</v>
      </c>
      <c r="J99" s="406" t="str">
        <f ca="1">IFERROR(ROW(INDEX(INDIRECT("'TNX File'!A$1:A" &amp; $H$2),MATCH('TNX File Parse'!I99,'TNX File'!A:A,0))),"")</f>
        <v/>
      </c>
      <c r="K99" s="399" t="s">
        <v>1415</v>
      </c>
      <c r="L99" s="399" t="str">
        <f ca="1">IFERROR(ROW(INDEX(INDIRECT("'TNX File'!A" &amp; $J99 &amp; ":A" &amp; $H$2),MATCH('TNX File Parse'!K99 &amp; "*",INDIRECT("'TNX File'!A" &amp; $J99 &amp; ":A" &amp; $H$2),0))),"")</f>
        <v/>
      </c>
      <c r="M99" s="399" t="str">
        <f ca="1">IFERROR(INDEX('TNX File'!A:A,L99,1),"")</f>
        <v/>
      </c>
      <c r="N99" s="399" t="str">
        <f t="shared" ca="1" si="6"/>
        <v/>
      </c>
      <c r="O99" s="399" t="s">
        <v>1417</v>
      </c>
      <c r="P99" s="399" t="str">
        <f ca="1">IFERROR(ROW(INDEX(INDIRECT("'TNX File'!A" &amp; $J99 &amp; ":A" &amp; $H$2),MATCH('TNX File Parse'!O99 &amp; "*",INDIRECT("'TNX File'!A" &amp; $J99 &amp; ":A" &amp; $H$2),0))),"")</f>
        <v/>
      </c>
      <c r="Q99" s="399" t="str">
        <f ca="1">IFERROR(INDEX('TNX File'!A:A,P99,1),"")</f>
        <v/>
      </c>
      <c r="R99" s="399" t="str">
        <f t="shared" ca="1" si="7"/>
        <v/>
      </c>
      <c r="S99" s="399" t="str">
        <f t="shared" ca="1" si="8"/>
        <v/>
      </c>
      <c r="T99" s="399" t="str">
        <f t="shared" ca="1" si="9"/>
        <v/>
      </c>
    </row>
    <row r="100" spans="7:20" x14ac:dyDescent="0.25">
      <c r="G100" s="399">
        <v>99</v>
      </c>
      <c r="H100" s="399"/>
      <c r="I100" s="399" t="str">
        <f t="shared" si="5"/>
        <v>TowerRec=99</v>
      </c>
      <c r="J100" s="406" t="str">
        <f ca="1">IFERROR(ROW(INDEX(INDIRECT("'TNX File'!A$1:A" &amp; $H$2),MATCH('TNX File Parse'!I100,'TNX File'!A:A,0))),"")</f>
        <v/>
      </c>
      <c r="K100" s="399" t="s">
        <v>1415</v>
      </c>
      <c r="L100" s="399" t="str">
        <f ca="1">IFERROR(ROW(INDEX(INDIRECT("'TNX File'!A" &amp; $J100 &amp; ":A" &amp; $H$2),MATCH('TNX File Parse'!K100 &amp; "*",INDIRECT("'TNX File'!A" &amp; $J100 &amp; ":A" &amp; $H$2),0))),"")</f>
        <v/>
      </c>
      <c r="M100" s="399" t="str">
        <f ca="1">IFERROR(INDEX('TNX File'!A:A,L100,1),"")</f>
        <v/>
      </c>
      <c r="N100" s="399" t="str">
        <f t="shared" ca="1" si="6"/>
        <v/>
      </c>
      <c r="O100" s="399" t="s">
        <v>1417</v>
      </c>
      <c r="P100" s="399" t="str">
        <f ca="1">IFERROR(ROW(INDEX(INDIRECT("'TNX File'!A" &amp; $J100 &amp; ":A" &amp; $H$2),MATCH('TNX File Parse'!O100 &amp; "*",INDIRECT("'TNX File'!A" &amp; $J100 &amp; ":A" &amp; $H$2),0))),"")</f>
        <v/>
      </c>
      <c r="Q100" s="399" t="str">
        <f ca="1">IFERROR(INDEX('TNX File'!A:A,P100,1),"")</f>
        <v/>
      </c>
      <c r="R100" s="399" t="str">
        <f t="shared" ca="1" si="7"/>
        <v/>
      </c>
      <c r="S100" s="399" t="str">
        <f t="shared" ca="1" si="8"/>
        <v/>
      </c>
      <c r="T100" s="399" t="str">
        <f t="shared" ca="1" si="9"/>
        <v/>
      </c>
    </row>
    <row r="101" spans="7:20" x14ac:dyDescent="0.25">
      <c r="G101" s="399">
        <v>100</v>
      </c>
      <c r="H101" s="399"/>
      <c r="I101" s="399" t="str">
        <f t="shared" si="5"/>
        <v>TowerRec=100</v>
      </c>
      <c r="J101" s="406" t="str">
        <f ca="1">IFERROR(ROW(INDEX(INDIRECT("'TNX File'!A$1:A" &amp; $H$2),MATCH('TNX File Parse'!I101,'TNX File'!A:A,0))),"")</f>
        <v/>
      </c>
      <c r="K101" s="399" t="s">
        <v>1415</v>
      </c>
      <c r="L101" s="399" t="str">
        <f ca="1">IFERROR(ROW(INDEX(INDIRECT("'TNX File'!A" &amp; $J101 &amp; ":A" &amp; $H$2),MATCH('TNX File Parse'!K101 &amp; "*",INDIRECT("'TNX File'!A" &amp; $J101 &amp; ":A" &amp; $H$2),0))),"")</f>
        <v/>
      </c>
      <c r="M101" s="399" t="str">
        <f ca="1">IFERROR(INDEX('TNX File'!A:A,L101,1),"")</f>
        <v/>
      </c>
      <c r="N101" s="399" t="str">
        <f t="shared" ca="1" si="6"/>
        <v/>
      </c>
      <c r="O101" s="399" t="s">
        <v>1417</v>
      </c>
      <c r="P101" s="399" t="str">
        <f ca="1">IFERROR(ROW(INDEX(INDIRECT("'TNX File'!A" &amp; $J101 &amp; ":A" &amp; $H$2),MATCH('TNX File Parse'!O101 &amp; "*",INDIRECT("'TNX File'!A" &amp; $J101 &amp; ":A" &amp; $H$2),0))),"")</f>
        <v/>
      </c>
      <c r="Q101" s="399" t="str">
        <f ca="1">IFERROR(INDEX('TNX File'!A:A,P101,1),"")</f>
        <v/>
      </c>
      <c r="R101" s="399" t="str">
        <f t="shared" ca="1" si="7"/>
        <v/>
      </c>
      <c r="S101" s="399" t="str">
        <f t="shared" ca="1" si="8"/>
        <v/>
      </c>
      <c r="T101" s="399" t="str">
        <f t="shared" ca="1" si="9"/>
        <v/>
      </c>
    </row>
    <row r="102" spans="7:20" x14ac:dyDescent="0.25">
      <c r="G102" s="399">
        <v>101</v>
      </c>
      <c r="H102" s="399"/>
      <c r="I102" s="399" t="str">
        <f t="shared" si="5"/>
        <v>TowerRec=101</v>
      </c>
      <c r="J102" s="406" t="str">
        <f ca="1">IFERROR(ROW(INDEX(INDIRECT("'TNX File'!A$1:A" &amp; $H$2),MATCH('TNX File Parse'!I102,'TNX File'!A:A,0))),"")</f>
        <v/>
      </c>
      <c r="K102" s="399" t="s">
        <v>1415</v>
      </c>
      <c r="L102" s="399" t="str">
        <f ca="1">IFERROR(ROW(INDEX(INDIRECT("'TNX File'!A" &amp; $J102 &amp; ":A" &amp; $H$2),MATCH('TNX File Parse'!K102 &amp; "*",INDIRECT("'TNX File'!A" &amp; $J102 &amp; ":A" &amp; $H$2),0))),"")</f>
        <v/>
      </c>
      <c r="M102" s="399" t="str">
        <f ca="1">IFERROR(INDEX('TNX File'!A:A,L102,1),"")</f>
        <v/>
      </c>
      <c r="N102" s="399" t="str">
        <f t="shared" ca="1" si="6"/>
        <v/>
      </c>
      <c r="O102" s="399" t="s">
        <v>1417</v>
      </c>
      <c r="P102" s="399" t="str">
        <f ca="1">IFERROR(ROW(INDEX(INDIRECT("'TNX File'!A" &amp; $J102 &amp; ":A" &amp; $H$2),MATCH('TNX File Parse'!O102 &amp; "*",INDIRECT("'TNX File'!A" &amp; $J102 &amp; ":A" &amp; $H$2),0))),"")</f>
        <v/>
      </c>
      <c r="Q102" s="399" t="str">
        <f ca="1">IFERROR(INDEX('TNX File'!A:A,P102,1),"")</f>
        <v/>
      </c>
      <c r="R102" s="399" t="str">
        <f t="shared" ca="1" si="7"/>
        <v/>
      </c>
      <c r="S102" s="399" t="str">
        <f t="shared" ca="1" si="8"/>
        <v/>
      </c>
      <c r="T102" s="399" t="str">
        <f t="shared" ca="1" si="9"/>
        <v/>
      </c>
    </row>
    <row r="103" spans="7:20" x14ac:dyDescent="0.25">
      <c r="G103" s="399">
        <v>102</v>
      </c>
      <c r="H103" s="399"/>
      <c r="I103" s="399" t="str">
        <f t="shared" si="5"/>
        <v>TowerRec=102</v>
      </c>
      <c r="J103" s="406" t="str">
        <f ca="1">IFERROR(ROW(INDEX(INDIRECT("'TNX File'!A$1:A" &amp; $H$2),MATCH('TNX File Parse'!I103,'TNX File'!A:A,0))),"")</f>
        <v/>
      </c>
      <c r="K103" s="399" t="s">
        <v>1415</v>
      </c>
      <c r="L103" s="399" t="str">
        <f ca="1">IFERROR(ROW(INDEX(INDIRECT("'TNX File'!A" &amp; $J103 &amp; ":A" &amp; $H$2),MATCH('TNX File Parse'!K103 &amp; "*",INDIRECT("'TNX File'!A" &amp; $J103 &amp; ":A" &amp; $H$2),0))),"")</f>
        <v/>
      </c>
      <c r="M103" s="399" t="str">
        <f ca="1">IFERROR(INDEX('TNX File'!A:A,L103,1),"")</f>
        <v/>
      </c>
      <c r="N103" s="399" t="str">
        <f t="shared" ca="1" si="6"/>
        <v/>
      </c>
      <c r="O103" s="399" t="s">
        <v>1417</v>
      </c>
      <c r="P103" s="399" t="str">
        <f ca="1">IFERROR(ROW(INDEX(INDIRECT("'TNX File'!A" &amp; $J103 &amp; ":A" &amp; $H$2),MATCH('TNX File Parse'!O103 &amp; "*",INDIRECT("'TNX File'!A" &amp; $J103 &amp; ":A" &amp; $H$2),0))),"")</f>
        <v/>
      </c>
      <c r="Q103" s="399" t="str">
        <f ca="1">IFERROR(INDEX('TNX File'!A:A,P103,1),"")</f>
        <v/>
      </c>
      <c r="R103" s="399" t="str">
        <f t="shared" ca="1" si="7"/>
        <v/>
      </c>
      <c r="S103" s="399" t="str">
        <f t="shared" ca="1" si="8"/>
        <v/>
      </c>
      <c r="T103" s="399" t="str">
        <f t="shared" ca="1" si="9"/>
        <v/>
      </c>
    </row>
    <row r="104" spans="7:20" x14ac:dyDescent="0.25">
      <c r="G104" s="399">
        <v>103</v>
      </c>
      <c r="H104" s="399"/>
      <c r="I104" s="399" t="str">
        <f t="shared" si="5"/>
        <v>TowerRec=103</v>
      </c>
      <c r="J104" s="406" t="str">
        <f ca="1">IFERROR(ROW(INDEX(INDIRECT("'TNX File'!A$1:A" &amp; $H$2),MATCH('TNX File Parse'!I104,'TNX File'!A:A,0))),"")</f>
        <v/>
      </c>
      <c r="K104" s="399" t="s">
        <v>1415</v>
      </c>
      <c r="L104" s="399" t="str">
        <f ca="1">IFERROR(ROW(INDEX(INDIRECT("'TNX File'!A" &amp; $J104 &amp; ":A" &amp; $H$2),MATCH('TNX File Parse'!K104 &amp; "*",INDIRECT("'TNX File'!A" &amp; $J104 &amp; ":A" &amp; $H$2),0))),"")</f>
        <v/>
      </c>
      <c r="M104" s="399" t="str">
        <f ca="1">IFERROR(INDEX('TNX File'!A:A,L104,1),"")</f>
        <v/>
      </c>
      <c r="N104" s="399" t="str">
        <f t="shared" ca="1" si="6"/>
        <v/>
      </c>
      <c r="O104" s="399" t="s">
        <v>1417</v>
      </c>
      <c r="P104" s="399" t="str">
        <f ca="1">IFERROR(ROW(INDEX(INDIRECT("'TNX File'!A" &amp; $J104 &amp; ":A" &amp; $H$2),MATCH('TNX File Parse'!O104 &amp; "*",INDIRECT("'TNX File'!A" &amp; $J104 &amp; ":A" &amp; $H$2),0))),"")</f>
        <v/>
      </c>
      <c r="Q104" s="399" t="str">
        <f ca="1">IFERROR(INDEX('TNX File'!A:A,P104,1),"")</f>
        <v/>
      </c>
      <c r="R104" s="399" t="str">
        <f t="shared" ca="1" si="7"/>
        <v/>
      </c>
      <c r="S104" s="399" t="str">
        <f t="shared" ca="1" si="8"/>
        <v/>
      </c>
      <c r="T104" s="399" t="str">
        <f t="shared" ca="1" si="9"/>
        <v/>
      </c>
    </row>
    <row r="105" spans="7:20" x14ac:dyDescent="0.25">
      <c r="G105" s="399">
        <v>104</v>
      </c>
      <c r="H105" s="399"/>
      <c r="I105" s="399" t="str">
        <f t="shared" si="5"/>
        <v>TowerRec=104</v>
      </c>
      <c r="J105" s="406" t="str">
        <f ca="1">IFERROR(ROW(INDEX(INDIRECT("'TNX File'!A$1:A" &amp; $H$2),MATCH('TNX File Parse'!I105,'TNX File'!A:A,0))),"")</f>
        <v/>
      </c>
      <c r="K105" s="399" t="s">
        <v>1415</v>
      </c>
      <c r="L105" s="399" t="str">
        <f ca="1">IFERROR(ROW(INDEX(INDIRECT("'TNX File'!A" &amp; $J105 &amp; ":A" &amp; $H$2),MATCH('TNX File Parse'!K105 &amp; "*",INDIRECT("'TNX File'!A" &amp; $J105 &amp; ":A" &amp; $H$2),0))),"")</f>
        <v/>
      </c>
      <c r="M105" s="399" t="str">
        <f ca="1">IFERROR(INDEX('TNX File'!A:A,L105,1),"")</f>
        <v/>
      </c>
      <c r="N105" s="399" t="str">
        <f t="shared" ca="1" si="6"/>
        <v/>
      </c>
      <c r="O105" s="399" t="s">
        <v>1417</v>
      </c>
      <c r="P105" s="399" t="str">
        <f ca="1">IFERROR(ROW(INDEX(INDIRECT("'TNX File'!A" &amp; $J105 &amp; ":A" &amp; $H$2),MATCH('TNX File Parse'!O105 &amp; "*",INDIRECT("'TNX File'!A" &amp; $J105 &amp; ":A" &amp; $H$2),0))),"")</f>
        <v/>
      </c>
      <c r="Q105" s="399" t="str">
        <f ca="1">IFERROR(INDEX('TNX File'!A:A,P105,1),"")</f>
        <v/>
      </c>
      <c r="R105" s="399" t="str">
        <f t="shared" ca="1" si="7"/>
        <v/>
      </c>
      <c r="S105" s="399" t="str">
        <f t="shared" ca="1" si="8"/>
        <v/>
      </c>
      <c r="T105" s="399" t="str">
        <f t="shared" ca="1" si="9"/>
        <v/>
      </c>
    </row>
    <row r="106" spans="7:20" x14ac:dyDescent="0.25">
      <c r="G106" s="399">
        <v>105</v>
      </c>
      <c r="H106" s="399"/>
      <c r="I106" s="399" t="str">
        <f t="shared" si="5"/>
        <v>TowerRec=105</v>
      </c>
      <c r="J106" s="406" t="str">
        <f ca="1">IFERROR(ROW(INDEX(INDIRECT("'TNX File'!A$1:A" &amp; $H$2),MATCH('TNX File Parse'!I106,'TNX File'!A:A,0))),"")</f>
        <v/>
      </c>
      <c r="K106" s="399" t="s">
        <v>1415</v>
      </c>
      <c r="L106" s="399" t="str">
        <f ca="1">IFERROR(ROW(INDEX(INDIRECT("'TNX File'!A" &amp; $J106 &amp; ":A" &amp; $H$2),MATCH('TNX File Parse'!K106 &amp; "*",INDIRECT("'TNX File'!A" &amp; $J106 &amp; ":A" &amp; $H$2),0))),"")</f>
        <v/>
      </c>
      <c r="M106" s="399" t="str">
        <f ca="1">IFERROR(INDEX('TNX File'!A:A,L106,1),"")</f>
        <v/>
      </c>
      <c r="N106" s="399" t="str">
        <f t="shared" ca="1" si="6"/>
        <v/>
      </c>
      <c r="O106" s="399" t="s">
        <v>1417</v>
      </c>
      <c r="P106" s="399" t="str">
        <f ca="1">IFERROR(ROW(INDEX(INDIRECT("'TNX File'!A" &amp; $J106 &amp; ":A" &amp; $H$2),MATCH('TNX File Parse'!O106 &amp; "*",INDIRECT("'TNX File'!A" &amp; $J106 &amp; ":A" &amp; $H$2),0))),"")</f>
        <v/>
      </c>
      <c r="Q106" s="399" t="str">
        <f ca="1">IFERROR(INDEX('TNX File'!A:A,P106,1),"")</f>
        <v/>
      </c>
      <c r="R106" s="399" t="str">
        <f t="shared" ca="1" si="7"/>
        <v/>
      </c>
      <c r="S106" s="399" t="str">
        <f t="shared" ca="1" si="8"/>
        <v/>
      </c>
      <c r="T106" s="399" t="str">
        <f t="shared" ca="1" si="9"/>
        <v/>
      </c>
    </row>
    <row r="107" spans="7:20" x14ac:dyDescent="0.25">
      <c r="G107" s="399">
        <v>106</v>
      </c>
      <c r="H107" s="399"/>
      <c r="I107" s="399" t="str">
        <f t="shared" si="5"/>
        <v>TowerRec=106</v>
      </c>
      <c r="J107" s="406" t="str">
        <f ca="1">IFERROR(ROW(INDEX(INDIRECT("'TNX File'!A$1:A" &amp; $H$2),MATCH('TNX File Parse'!I107,'TNX File'!A:A,0))),"")</f>
        <v/>
      </c>
      <c r="K107" s="399" t="s">
        <v>1415</v>
      </c>
      <c r="L107" s="399" t="str">
        <f ca="1">IFERROR(ROW(INDEX(INDIRECT("'TNX File'!A" &amp; $J107 &amp; ":A" &amp; $H$2),MATCH('TNX File Parse'!K107 &amp; "*",INDIRECT("'TNX File'!A" &amp; $J107 &amp; ":A" &amp; $H$2),0))),"")</f>
        <v/>
      </c>
      <c r="M107" s="399" t="str">
        <f ca="1">IFERROR(INDEX('TNX File'!A:A,L107,1),"")</f>
        <v/>
      </c>
      <c r="N107" s="399" t="str">
        <f t="shared" ca="1" si="6"/>
        <v/>
      </c>
      <c r="O107" s="399" t="s">
        <v>1417</v>
      </c>
      <c r="P107" s="399" t="str">
        <f ca="1">IFERROR(ROW(INDEX(INDIRECT("'TNX File'!A" &amp; $J107 &amp; ":A" &amp; $H$2),MATCH('TNX File Parse'!O107 &amp; "*",INDIRECT("'TNX File'!A" &amp; $J107 &amp; ":A" &amp; $H$2),0))),"")</f>
        <v/>
      </c>
      <c r="Q107" s="399" t="str">
        <f ca="1">IFERROR(INDEX('TNX File'!A:A,P107,1),"")</f>
        <v/>
      </c>
      <c r="R107" s="399" t="str">
        <f t="shared" ca="1" si="7"/>
        <v/>
      </c>
      <c r="S107" s="399" t="str">
        <f t="shared" ca="1" si="8"/>
        <v/>
      </c>
      <c r="T107" s="399" t="str">
        <f t="shared" ca="1" si="9"/>
        <v/>
      </c>
    </row>
    <row r="108" spans="7:20" x14ac:dyDescent="0.25">
      <c r="G108" s="399">
        <v>107</v>
      </c>
      <c r="H108" s="399"/>
      <c r="I108" s="399" t="str">
        <f t="shared" si="5"/>
        <v>TowerRec=107</v>
      </c>
      <c r="J108" s="406" t="str">
        <f ca="1">IFERROR(ROW(INDEX(INDIRECT("'TNX File'!A$1:A" &amp; $H$2),MATCH('TNX File Parse'!I108,'TNX File'!A:A,0))),"")</f>
        <v/>
      </c>
      <c r="K108" s="399" t="s">
        <v>1415</v>
      </c>
      <c r="L108" s="399" t="str">
        <f ca="1">IFERROR(ROW(INDEX(INDIRECT("'TNX File'!A" &amp; $J108 &amp; ":A" &amp; $H$2),MATCH('TNX File Parse'!K108 &amp; "*",INDIRECT("'TNX File'!A" &amp; $J108 &amp; ":A" &amp; $H$2),0))),"")</f>
        <v/>
      </c>
      <c r="M108" s="399" t="str">
        <f ca="1">IFERROR(INDEX('TNX File'!A:A,L108,1),"")</f>
        <v/>
      </c>
      <c r="N108" s="399" t="str">
        <f t="shared" ca="1" si="6"/>
        <v/>
      </c>
      <c r="O108" s="399" t="s">
        <v>1417</v>
      </c>
      <c r="P108" s="399" t="str">
        <f ca="1">IFERROR(ROW(INDEX(INDIRECT("'TNX File'!A" &amp; $J108 &amp; ":A" &amp; $H$2),MATCH('TNX File Parse'!O108 &amp; "*",INDIRECT("'TNX File'!A" &amp; $J108 &amp; ":A" &amp; $H$2),0))),"")</f>
        <v/>
      </c>
      <c r="Q108" s="399" t="str">
        <f ca="1">IFERROR(INDEX('TNX File'!A:A,P108,1),"")</f>
        <v/>
      </c>
      <c r="R108" s="399" t="str">
        <f t="shared" ca="1" si="7"/>
        <v/>
      </c>
      <c r="S108" s="399" t="str">
        <f t="shared" ca="1" si="8"/>
        <v/>
      </c>
      <c r="T108" s="399" t="str">
        <f t="shared" ca="1" si="9"/>
        <v/>
      </c>
    </row>
    <row r="109" spans="7:20" x14ac:dyDescent="0.25">
      <c r="G109" s="399">
        <v>108</v>
      </c>
      <c r="H109" s="399"/>
      <c r="I109" s="399" t="str">
        <f t="shared" si="5"/>
        <v>TowerRec=108</v>
      </c>
      <c r="J109" s="406" t="str">
        <f ca="1">IFERROR(ROW(INDEX(INDIRECT("'TNX File'!A$1:A" &amp; $H$2),MATCH('TNX File Parse'!I109,'TNX File'!A:A,0))),"")</f>
        <v/>
      </c>
      <c r="K109" s="399" t="s">
        <v>1415</v>
      </c>
      <c r="L109" s="399" t="str">
        <f ca="1">IFERROR(ROW(INDEX(INDIRECT("'TNX File'!A" &amp; $J109 &amp; ":A" &amp; $H$2),MATCH('TNX File Parse'!K109 &amp; "*",INDIRECT("'TNX File'!A" &amp; $J109 &amp; ":A" &amp; $H$2),0))),"")</f>
        <v/>
      </c>
      <c r="M109" s="399" t="str">
        <f ca="1">IFERROR(INDEX('TNX File'!A:A,L109,1),"")</f>
        <v/>
      </c>
      <c r="N109" s="399" t="str">
        <f t="shared" ca="1" si="6"/>
        <v/>
      </c>
      <c r="O109" s="399" t="s">
        <v>1417</v>
      </c>
      <c r="P109" s="399" t="str">
        <f ca="1">IFERROR(ROW(INDEX(INDIRECT("'TNX File'!A" &amp; $J109 &amp; ":A" &amp; $H$2),MATCH('TNX File Parse'!O109 &amp; "*",INDIRECT("'TNX File'!A" &amp; $J109 &amp; ":A" &amp; $H$2),0))),"")</f>
        <v/>
      </c>
      <c r="Q109" s="399" t="str">
        <f ca="1">IFERROR(INDEX('TNX File'!A:A,P109,1),"")</f>
        <v/>
      </c>
      <c r="R109" s="399" t="str">
        <f t="shared" ca="1" si="7"/>
        <v/>
      </c>
      <c r="S109" s="399" t="str">
        <f t="shared" ca="1" si="8"/>
        <v/>
      </c>
      <c r="T109" s="399" t="str">
        <f t="shared" ca="1" si="9"/>
        <v/>
      </c>
    </row>
    <row r="110" spans="7:20" x14ac:dyDescent="0.25">
      <c r="G110" s="399">
        <v>109</v>
      </c>
      <c r="H110" s="399"/>
      <c r="I110" s="399" t="str">
        <f t="shared" si="5"/>
        <v>TowerRec=109</v>
      </c>
      <c r="J110" s="406" t="str">
        <f ca="1">IFERROR(ROW(INDEX(INDIRECT("'TNX File'!A$1:A" &amp; $H$2),MATCH('TNX File Parse'!I110,'TNX File'!A:A,0))),"")</f>
        <v/>
      </c>
      <c r="K110" s="399" t="s">
        <v>1415</v>
      </c>
      <c r="L110" s="399" t="str">
        <f ca="1">IFERROR(ROW(INDEX(INDIRECT("'TNX File'!A" &amp; $J110 &amp; ":A" &amp; $H$2),MATCH('TNX File Parse'!K110 &amp; "*",INDIRECT("'TNX File'!A" &amp; $J110 &amp; ":A" &amp; $H$2),0))),"")</f>
        <v/>
      </c>
      <c r="M110" s="399" t="str">
        <f ca="1">IFERROR(INDEX('TNX File'!A:A,L110,1),"")</f>
        <v/>
      </c>
      <c r="N110" s="399" t="str">
        <f t="shared" ca="1" si="6"/>
        <v/>
      </c>
      <c r="O110" s="399" t="s">
        <v>1417</v>
      </c>
      <c r="P110" s="399" t="str">
        <f ca="1">IFERROR(ROW(INDEX(INDIRECT("'TNX File'!A" &amp; $J110 &amp; ":A" &amp; $H$2),MATCH('TNX File Parse'!O110 &amp; "*",INDIRECT("'TNX File'!A" &amp; $J110 &amp; ":A" &amp; $H$2),0))),"")</f>
        <v/>
      </c>
      <c r="Q110" s="399" t="str">
        <f ca="1">IFERROR(INDEX('TNX File'!A:A,P110,1),"")</f>
        <v/>
      </c>
      <c r="R110" s="399" t="str">
        <f t="shared" ca="1" si="7"/>
        <v/>
      </c>
      <c r="S110" s="399" t="str">
        <f t="shared" ca="1" si="8"/>
        <v/>
      </c>
      <c r="T110" s="399" t="str">
        <f t="shared" ca="1" si="9"/>
        <v/>
      </c>
    </row>
    <row r="111" spans="7:20" x14ac:dyDescent="0.25">
      <c r="G111" s="399">
        <v>110</v>
      </c>
      <c r="H111" s="399"/>
      <c r="I111" s="399" t="str">
        <f t="shared" si="5"/>
        <v>TowerRec=110</v>
      </c>
      <c r="J111" s="406" t="str">
        <f ca="1">IFERROR(ROW(INDEX(INDIRECT("'TNX File'!A$1:A" &amp; $H$2),MATCH('TNX File Parse'!I111,'TNX File'!A:A,0))),"")</f>
        <v/>
      </c>
      <c r="K111" s="399" t="s">
        <v>1415</v>
      </c>
      <c r="L111" s="399" t="str">
        <f ca="1">IFERROR(ROW(INDEX(INDIRECT("'TNX File'!A" &amp; $J111 &amp; ":A" &amp; $H$2),MATCH('TNX File Parse'!K111 &amp; "*",INDIRECT("'TNX File'!A" &amp; $J111 &amp; ":A" &amp; $H$2),0))),"")</f>
        <v/>
      </c>
      <c r="M111" s="399" t="str">
        <f ca="1">IFERROR(INDEX('TNX File'!A:A,L111,1),"")</f>
        <v/>
      </c>
      <c r="N111" s="399" t="str">
        <f t="shared" ca="1" si="6"/>
        <v/>
      </c>
      <c r="O111" s="399" t="s">
        <v>1417</v>
      </c>
      <c r="P111" s="399" t="str">
        <f ca="1">IFERROR(ROW(INDEX(INDIRECT("'TNX File'!A" &amp; $J111 &amp; ":A" &amp; $H$2),MATCH('TNX File Parse'!O111 &amp; "*",INDIRECT("'TNX File'!A" &amp; $J111 &amp; ":A" &amp; $H$2),0))),"")</f>
        <v/>
      </c>
      <c r="Q111" s="399" t="str">
        <f ca="1">IFERROR(INDEX('TNX File'!A:A,P111,1),"")</f>
        <v/>
      </c>
      <c r="R111" s="399" t="str">
        <f t="shared" ca="1" si="7"/>
        <v/>
      </c>
      <c r="S111" s="399" t="str">
        <f t="shared" ca="1" si="8"/>
        <v/>
      </c>
      <c r="T111" s="399" t="str">
        <f t="shared" ca="1" si="9"/>
        <v/>
      </c>
    </row>
    <row r="112" spans="7:20" x14ac:dyDescent="0.25">
      <c r="G112" s="399">
        <v>111</v>
      </c>
      <c r="H112" s="399"/>
      <c r="I112" s="399" t="str">
        <f t="shared" si="5"/>
        <v>TowerRec=111</v>
      </c>
      <c r="J112" s="406" t="str">
        <f ca="1">IFERROR(ROW(INDEX(INDIRECT("'TNX File'!A$1:A" &amp; $H$2),MATCH('TNX File Parse'!I112,'TNX File'!A:A,0))),"")</f>
        <v/>
      </c>
      <c r="K112" s="399" t="s">
        <v>1415</v>
      </c>
      <c r="L112" s="399" t="str">
        <f ca="1">IFERROR(ROW(INDEX(INDIRECT("'TNX File'!A" &amp; $J112 &amp; ":A" &amp; $H$2),MATCH('TNX File Parse'!K112 &amp; "*",INDIRECT("'TNX File'!A" &amp; $J112 &amp; ":A" &amp; $H$2),0))),"")</f>
        <v/>
      </c>
      <c r="M112" s="399" t="str">
        <f ca="1">IFERROR(INDEX('TNX File'!A:A,L112,1),"")</f>
        <v/>
      </c>
      <c r="N112" s="399" t="str">
        <f t="shared" ca="1" si="6"/>
        <v/>
      </c>
      <c r="O112" s="399" t="s">
        <v>1417</v>
      </c>
      <c r="P112" s="399" t="str">
        <f ca="1">IFERROR(ROW(INDEX(INDIRECT("'TNX File'!A" &amp; $J112 &amp; ":A" &amp; $H$2),MATCH('TNX File Parse'!O112 &amp; "*",INDIRECT("'TNX File'!A" &amp; $J112 &amp; ":A" &amp; $H$2),0))),"")</f>
        <v/>
      </c>
      <c r="Q112" s="399" t="str">
        <f ca="1">IFERROR(INDEX('TNX File'!A:A,P112,1),"")</f>
        <v/>
      </c>
      <c r="R112" s="399" t="str">
        <f t="shared" ca="1" si="7"/>
        <v/>
      </c>
      <c r="S112" s="399" t="str">
        <f t="shared" ca="1" si="8"/>
        <v/>
      </c>
      <c r="T112" s="399" t="str">
        <f t="shared" ca="1" si="9"/>
        <v/>
      </c>
    </row>
    <row r="113" spans="7:20" x14ac:dyDescent="0.25">
      <c r="G113" s="399">
        <v>112</v>
      </c>
      <c r="H113" s="399"/>
      <c r="I113" s="399" t="str">
        <f t="shared" si="5"/>
        <v>TowerRec=112</v>
      </c>
      <c r="J113" s="406" t="str">
        <f ca="1">IFERROR(ROW(INDEX(INDIRECT("'TNX File'!A$1:A" &amp; $H$2),MATCH('TNX File Parse'!I113,'TNX File'!A:A,0))),"")</f>
        <v/>
      </c>
      <c r="K113" s="399" t="s">
        <v>1415</v>
      </c>
      <c r="L113" s="399" t="str">
        <f ca="1">IFERROR(ROW(INDEX(INDIRECT("'TNX File'!A" &amp; $J113 &amp; ":A" &amp; $H$2),MATCH('TNX File Parse'!K113 &amp; "*",INDIRECT("'TNX File'!A" &amp; $J113 &amp; ":A" &amp; $H$2),0))),"")</f>
        <v/>
      </c>
      <c r="M113" s="399" t="str">
        <f ca="1">IFERROR(INDEX('TNX File'!A:A,L113,1),"")</f>
        <v/>
      </c>
      <c r="N113" s="399" t="str">
        <f t="shared" ca="1" si="6"/>
        <v/>
      </c>
      <c r="O113" s="399" t="s">
        <v>1417</v>
      </c>
      <c r="P113" s="399" t="str">
        <f ca="1">IFERROR(ROW(INDEX(INDIRECT("'TNX File'!A" &amp; $J113 &amp; ":A" &amp; $H$2),MATCH('TNX File Parse'!O113 &amp; "*",INDIRECT("'TNX File'!A" &amp; $J113 &amp; ":A" &amp; $H$2),0))),"")</f>
        <v/>
      </c>
      <c r="Q113" s="399" t="str">
        <f ca="1">IFERROR(INDEX('TNX File'!A:A,P113,1),"")</f>
        <v/>
      </c>
      <c r="R113" s="399" t="str">
        <f t="shared" ca="1" si="7"/>
        <v/>
      </c>
      <c r="S113" s="399" t="str">
        <f t="shared" ca="1" si="8"/>
        <v/>
      </c>
      <c r="T113" s="399" t="str">
        <f t="shared" ca="1" si="9"/>
        <v/>
      </c>
    </row>
    <row r="114" spans="7:20" x14ac:dyDescent="0.25">
      <c r="G114" s="399">
        <v>113</v>
      </c>
      <c r="H114" s="399"/>
      <c r="I114" s="399" t="str">
        <f t="shared" si="5"/>
        <v>TowerRec=113</v>
      </c>
      <c r="J114" s="406" t="str">
        <f ca="1">IFERROR(ROW(INDEX(INDIRECT("'TNX File'!A$1:A" &amp; $H$2),MATCH('TNX File Parse'!I114,'TNX File'!A:A,0))),"")</f>
        <v/>
      </c>
      <c r="K114" s="399" t="s">
        <v>1415</v>
      </c>
      <c r="L114" s="399" t="str">
        <f ca="1">IFERROR(ROW(INDEX(INDIRECT("'TNX File'!A" &amp; $J114 &amp; ":A" &amp; $H$2),MATCH('TNX File Parse'!K114 &amp; "*",INDIRECT("'TNX File'!A" &amp; $J114 &amp; ":A" &amp; $H$2),0))),"")</f>
        <v/>
      </c>
      <c r="M114" s="399" t="str">
        <f ca="1">IFERROR(INDEX('TNX File'!A:A,L114,1),"")</f>
        <v/>
      </c>
      <c r="N114" s="399" t="str">
        <f t="shared" ca="1" si="6"/>
        <v/>
      </c>
      <c r="O114" s="399" t="s">
        <v>1417</v>
      </c>
      <c r="P114" s="399" t="str">
        <f ca="1">IFERROR(ROW(INDEX(INDIRECT("'TNX File'!A" &amp; $J114 &amp; ":A" &amp; $H$2),MATCH('TNX File Parse'!O114 &amp; "*",INDIRECT("'TNX File'!A" &amp; $J114 &amp; ":A" &amp; $H$2),0))),"")</f>
        <v/>
      </c>
      <c r="Q114" s="399" t="str">
        <f ca="1">IFERROR(INDEX('TNX File'!A:A,P114,1),"")</f>
        <v/>
      </c>
      <c r="R114" s="399" t="str">
        <f t="shared" ca="1" si="7"/>
        <v/>
      </c>
      <c r="S114" s="399" t="str">
        <f t="shared" ca="1" si="8"/>
        <v/>
      </c>
      <c r="T114" s="399" t="str">
        <f t="shared" ca="1" si="9"/>
        <v/>
      </c>
    </row>
    <row r="115" spans="7:20" x14ac:dyDescent="0.25">
      <c r="G115" s="399">
        <v>114</v>
      </c>
      <c r="H115" s="399"/>
      <c r="I115" s="399" t="str">
        <f t="shared" si="5"/>
        <v>TowerRec=114</v>
      </c>
      <c r="J115" s="406" t="str">
        <f ca="1">IFERROR(ROW(INDEX(INDIRECT("'TNX File'!A$1:A" &amp; $H$2),MATCH('TNX File Parse'!I115,'TNX File'!A:A,0))),"")</f>
        <v/>
      </c>
      <c r="K115" s="399" t="s">
        <v>1415</v>
      </c>
      <c r="L115" s="399" t="str">
        <f ca="1">IFERROR(ROW(INDEX(INDIRECT("'TNX File'!A" &amp; $J115 &amp; ":A" &amp; $H$2),MATCH('TNX File Parse'!K115 &amp; "*",INDIRECT("'TNX File'!A" &amp; $J115 &amp; ":A" &amp; $H$2),0))),"")</f>
        <v/>
      </c>
      <c r="M115" s="399" t="str">
        <f ca="1">IFERROR(INDEX('TNX File'!A:A,L115,1),"")</f>
        <v/>
      </c>
      <c r="N115" s="399" t="str">
        <f t="shared" ca="1" si="6"/>
        <v/>
      </c>
      <c r="O115" s="399" t="s">
        <v>1417</v>
      </c>
      <c r="P115" s="399" t="str">
        <f ca="1">IFERROR(ROW(INDEX(INDIRECT("'TNX File'!A" &amp; $J115 &amp; ":A" &amp; $H$2),MATCH('TNX File Parse'!O115 &amp; "*",INDIRECT("'TNX File'!A" &amp; $J115 &amp; ":A" &amp; $H$2),0))),"")</f>
        <v/>
      </c>
      <c r="Q115" s="399" t="str">
        <f ca="1">IFERROR(INDEX('TNX File'!A:A,P115,1),"")</f>
        <v/>
      </c>
      <c r="R115" s="399" t="str">
        <f t="shared" ca="1" si="7"/>
        <v/>
      </c>
      <c r="S115" s="399" t="str">
        <f t="shared" ca="1" si="8"/>
        <v/>
      </c>
      <c r="T115" s="399" t="str">
        <f t="shared" ca="1" si="9"/>
        <v/>
      </c>
    </row>
    <row r="116" spans="7:20" x14ac:dyDescent="0.25">
      <c r="G116" s="399">
        <v>115</v>
      </c>
      <c r="H116" s="399"/>
      <c r="I116" s="399" t="str">
        <f t="shared" si="5"/>
        <v>TowerRec=115</v>
      </c>
      <c r="J116" s="406" t="str">
        <f ca="1">IFERROR(ROW(INDEX(INDIRECT("'TNX File'!A$1:A" &amp; $H$2),MATCH('TNX File Parse'!I116,'TNX File'!A:A,0))),"")</f>
        <v/>
      </c>
      <c r="K116" s="399" t="s">
        <v>1415</v>
      </c>
      <c r="L116" s="399" t="str">
        <f ca="1">IFERROR(ROW(INDEX(INDIRECT("'TNX File'!A" &amp; $J116 &amp; ":A" &amp; $H$2),MATCH('TNX File Parse'!K116 &amp; "*",INDIRECT("'TNX File'!A" &amp; $J116 &amp; ":A" &amp; $H$2),0))),"")</f>
        <v/>
      </c>
      <c r="M116" s="399" t="str">
        <f ca="1">IFERROR(INDEX('TNX File'!A:A,L116,1),"")</f>
        <v/>
      </c>
      <c r="N116" s="399" t="str">
        <f t="shared" ca="1" si="6"/>
        <v/>
      </c>
      <c r="O116" s="399" t="s">
        <v>1417</v>
      </c>
      <c r="P116" s="399" t="str">
        <f ca="1">IFERROR(ROW(INDEX(INDIRECT("'TNX File'!A" &amp; $J116 &amp; ":A" &amp; $H$2),MATCH('TNX File Parse'!O116 &amp; "*",INDIRECT("'TNX File'!A" &amp; $J116 &amp; ":A" &amp; $H$2),0))),"")</f>
        <v/>
      </c>
      <c r="Q116" s="399" t="str">
        <f ca="1">IFERROR(INDEX('TNX File'!A:A,P116,1),"")</f>
        <v/>
      </c>
      <c r="R116" s="399" t="str">
        <f t="shared" ca="1" si="7"/>
        <v/>
      </c>
      <c r="S116" s="399" t="str">
        <f t="shared" ca="1" si="8"/>
        <v/>
      </c>
      <c r="T116" s="399" t="str">
        <f t="shared" ca="1" si="9"/>
        <v/>
      </c>
    </row>
    <row r="117" spans="7:20" x14ac:dyDescent="0.25">
      <c r="G117" s="399">
        <v>116</v>
      </c>
      <c r="H117" s="399"/>
      <c r="I117" s="399" t="str">
        <f t="shared" si="5"/>
        <v>TowerRec=116</v>
      </c>
      <c r="J117" s="406" t="str">
        <f ca="1">IFERROR(ROW(INDEX(INDIRECT("'TNX File'!A$1:A" &amp; $H$2),MATCH('TNX File Parse'!I117,'TNX File'!A:A,0))),"")</f>
        <v/>
      </c>
      <c r="K117" s="399" t="s">
        <v>1415</v>
      </c>
      <c r="L117" s="399" t="str">
        <f ca="1">IFERROR(ROW(INDEX(INDIRECT("'TNX File'!A" &amp; $J117 &amp; ":A" &amp; $H$2),MATCH('TNX File Parse'!K117 &amp; "*",INDIRECT("'TNX File'!A" &amp; $J117 &amp; ":A" &amp; $H$2),0))),"")</f>
        <v/>
      </c>
      <c r="M117" s="399" t="str">
        <f ca="1">IFERROR(INDEX('TNX File'!A:A,L117,1),"")</f>
        <v/>
      </c>
      <c r="N117" s="399" t="str">
        <f t="shared" ca="1" si="6"/>
        <v/>
      </c>
      <c r="O117" s="399" t="s">
        <v>1417</v>
      </c>
      <c r="P117" s="399" t="str">
        <f ca="1">IFERROR(ROW(INDEX(INDIRECT("'TNX File'!A" &amp; $J117 &amp; ":A" &amp; $H$2),MATCH('TNX File Parse'!O117 &amp; "*",INDIRECT("'TNX File'!A" &amp; $J117 &amp; ":A" &amp; $H$2),0))),"")</f>
        <v/>
      </c>
      <c r="Q117" s="399" t="str">
        <f ca="1">IFERROR(INDEX('TNX File'!A:A,P117,1),"")</f>
        <v/>
      </c>
      <c r="R117" s="399" t="str">
        <f t="shared" ca="1" si="7"/>
        <v/>
      </c>
      <c r="S117" s="399" t="str">
        <f t="shared" ca="1" si="8"/>
        <v/>
      </c>
      <c r="T117" s="399" t="str">
        <f t="shared" ca="1" si="9"/>
        <v/>
      </c>
    </row>
    <row r="118" spans="7:20" x14ac:dyDescent="0.25">
      <c r="G118" s="399">
        <v>117</v>
      </c>
      <c r="H118" s="399"/>
      <c r="I118" s="399" t="str">
        <f t="shared" si="5"/>
        <v>TowerRec=117</v>
      </c>
      <c r="J118" s="406" t="str">
        <f ca="1">IFERROR(ROW(INDEX(INDIRECT("'TNX File'!A$1:A" &amp; $H$2),MATCH('TNX File Parse'!I118,'TNX File'!A:A,0))),"")</f>
        <v/>
      </c>
      <c r="K118" s="399" t="s">
        <v>1415</v>
      </c>
      <c r="L118" s="399" t="str">
        <f ca="1">IFERROR(ROW(INDEX(INDIRECT("'TNX File'!A" &amp; $J118 &amp; ":A" &amp; $H$2),MATCH('TNX File Parse'!K118 &amp; "*",INDIRECT("'TNX File'!A" &amp; $J118 &amp; ":A" &amp; $H$2),0))),"")</f>
        <v/>
      </c>
      <c r="M118" s="399" t="str">
        <f ca="1">IFERROR(INDEX('TNX File'!A:A,L118,1),"")</f>
        <v/>
      </c>
      <c r="N118" s="399" t="str">
        <f t="shared" ca="1" si="6"/>
        <v/>
      </c>
      <c r="O118" s="399" t="s">
        <v>1417</v>
      </c>
      <c r="P118" s="399" t="str">
        <f ca="1">IFERROR(ROW(INDEX(INDIRECT("'TNX File'!A" &amp; $J118 &amp; ":A" &amp; $H$2),MATCH('TNX File Parse'!O118 &amp; "*",INDIRECT("'TNX File'!A" &amp; $J118 &amp; ":A" &amp; $H$2),0))),"")</f>
        <v/>
      </c>
      <c r="Q118" s="399" t="str">
        <f ca="1">IFERROR(INDEX('TNX File'!A:A,P118,1),"")</f>
        <v/>
      </c>
      <c r="R118" s="399" t="str">
        <f t="shared" ca="1" si="7"/>
        <v/>
      </c>
      <c r="S118" s="399" t="str">
        <f t="shared" ca="1" si="8"/>
        <v/>
      </c>
      <c r="T118" s="399" t="str">
        <f t="shared" ca="1" si="9"/>
        <v/>
      </c>
    </row>
    <row r="119" spans="7:20" x14ac:dyDescent="0.25">
      <c r="G119" s="399">
        <v>118</v>
      </c>
      <c r="H119" s="399"/>
      <c r="I119" s="399" t="str">
        <f t="shared" si="5"/>
        <v>TowerRec=118</v>
      </c>
      <c r="J119" s="406" t="str">
        <f ca="1">IFERROR(ROW(INDEX(INDIRECT("'TNX File'!A$1:A" &amp; $H$2),MATCH('TNX File Parse'!I119,'TNX File'!A:A,0))),"")</f>
        <v/>
      </c>
      <c r="K119" s="399" t="s">
        <v>1415</v>
      </c>
      <c r="L119" s="399" t="str">
        <f ca="1">IFERROR(ROW(INDEX(INDIRECT("'TNX File'!A" &amp; $J119 &amp; ":A" &amp; $H$2),MATCH('TNX File Parse'!K119 &amp; "*",INDIRECT("'TNX File'!A" &amp; $J119 &amp; ":A" &amp; $H$2),0))),"")</f>
        <v/>
      </c>
      <c r="M119" s="399" t="str">
        <f ca="1">IFERROR(INDEX('TNX File'!A:A,L119,1),"")</f>
        <v/>
      </c>
      <c r="N119" s="399" t="str">
        <f t="shared" ca="1" si="6"/>
        <v/>
      </c>
      <c r="O119" s="399" t="s">
        <v>1417</v>
      </c>
      <c r="P119" s="399" t="str">
        <f ca="1">IFERROR(ROW(INDEX(INDIRECT("'TNX File'!A" &amp; $J119 &amp; ":A" &amp; $H$2),MATCH('TNX File Parse'!O119 &amp; "*",INDIRECT("'TNX File'!A" &amp; $J119 &amp; ":A" &amp; $H$2),0))),"")</f>
        <v/>
      </c>
      <c r="Q119" s="399" t="str">
        <f ca="1">IFERROR(INDEX('TNX File'!A:A,P119,1),"")</f>
        <v/>
      </c>
      <c r="R119" s="399" t="str">
        <f t="shared" ca="1" si="7"/>
        <v/>
      </c>
      <c r="S119" s="399" t="str">
        <f t="shared" ca="1" si="8"/>
        <v/>
      </c>
      <c r="T119" s="399" t="str">
        <f t="shared" ca="1" si="9"/>
        <v/>
      </c>
    </row>
    <row r="120" spans="7:20" x14ac:dyDescent="0.25">
      <c r="G120" s="399">
        <v>119</v>
      </c>
      <c r="H120" s="399"/>
      <c r="I120" s="399" t="str">
        <f t="shared" si="5"/>
        <v>TowerRec=119</v>
      </c>
      <c r="J120" s="406" t="str">
        <f ca="1">IFERROR(ROW(INDEX(INDIRECT("'TNX File'!A$1:A" &amp; $H$2),MATCH('TNX File Parse'!I120,'TNX File'!A:A,0))),"")</f>
        <v/>
      </c>
      <c r="K120" s="399" t="s">
        <v>1415</v>
      </c>
      <c r="L120" s="399" t="str">
        <f ca="1">IFERROR(ROW(INDEX(INDIRECT("'TNX File'!A" &amp; $J120 &amp; ":A" &amp; $H$2),MATCH('TNX File Parse'!K120 &amp; "*",INDIRECT("'TNX File'!A" &amp; $J120 &amp; ":A" &amp; $H$2),0))),"")</f>
        <v/>
      </c>
      <c r="M120" s="399" t="str">
        <f ca="1">IFERROR(INDEX('TNX File'!A:A,L120,1),"")</f>
        <v/>
      </c>
      <c r="N120" s="399" t="str">
        <f t="shared" ca="1" si="6"/>
        <v/>
      </c>
      <c r="O120" s="399" t="s">
        <v>1417</v>
      </c>
      <c r="P120" s="399" t="str">
        <f ca="1">IFERROR(ROW(INDEX(INDIRECT("'TNX File'!A" &amp; $J120 &amp; ":A" &amp; $H$2),MATCH('TNX File Parse'!O120 &amp; "*",INDIRECT("'TNX File'!A" &amp; $J120 &amp; ":A" &amp; $H$2),0))),"")</f>
        <v/>
      </c>
      <c r="Q120" s="399" t="str">
        <f ca="1">IFERROR(INDEX('TNX File'!A:A,P120,1),"")</f>
        <v/>
      </c>
      <c r="R120" s="399" t="str">
        <f t="shared" ca="1" si="7"/>
        <v/>
      </c>
      <c r="S120" s="399" t="str">
        <f t="shared" ca="1" si="8"/>
        <v/>
      </c>
      <c r="T120" s="399" t="str">
        <f t="shared" ca="1" si="9"/>
        <v/>
      </c>
    </row>
    <row r="121" spans="7:20" x14ac:dyDescent="0.25">
      <c r="G121" s="399">
        <v>120</v>
      </c>
      <c r="H121" s="399"/>
      <c r="I121" s="399" t="str">
        <f t="shared" si="5"/>
        <v>TowerRec=120</v>
      </c>
      <c r="J121" s="406" t="str">
        <f ca="1">IFERROR(ROW(INDEX(INDIRECT("'TNX File'!A$1:A" &amp; $H$2),MATCH('TNX File Parse'!I121,'TNX File'!A:A,0))),"")</f>
        <v/>
      </c>
      <c r="K121" s="399" t="s">
        <v>1415</v>
      </c>
      <c r="L121" s="399" t="str">
        <f ca="1">IFERROR(ROW(INDEX(INDIRECT("'TNX File'!A" &amp; $J121 &amp; ":A" &amp; $H$2),MATCH('TNX File Parse'!K121 &amp; "*",INDIRECT("'TNX File'!A" &amp; $J121 &amp; ":A" &amp; $H$2),0))),"")</f>
        <v/>
      </c>
      <c r="M121" s="399" t="str">
        <f ca="1">IFERROR(INDEX('TNX File'!A:A,L121,1),"")</f>
        <v/>
      </c>
      <c r="N121" s="399" t="str">
        <f t="shared" ca="1" si="6"/>
        <v/>
      </c>
      <c r="O121" s="399" t="s">
        <v>1417</v>
      </c>
      <c r="P121" s="399" t="str">
        <f ca="1">IFERROR(ROW(INDEX(INDIRECT("'TNX File'!A" &amp; $J121 &amp; ":A" &amp; $H$2),MATCH('TNX File Parse'!O121 &amp; "*",INDIRECT("'TNX File'!A" &amp; $J121 &amp; ":A" &amp; $H$2),0))),"")</f>
        <v/>
      </c>
      <c r="Q121" s="399" t="str">
        <f ca="1">IFERROR(INDEX('TNX File'!A:A,P121,1),"")</f>
        <v/>
      </c>
      <c r="R121" s="399" t="str">
        <f t="shared" ca="1" si="7"/>
        <v/>
      </c>
      <c r="S121" s="399" t="str">
        <f t="shared" ca="1" si="8"/>
        <v/>
      </c>
      <c r="T121" s="399" t="str">
        <f t="shared" ca="1" si="9"/>
        <v/>
      </c>
    </row>
    <row r="122" spans="7:20" x14ac:dyDescent="0.25">
      <c r="G122" s="399">
        <v>121</v>
      </c>
      <c r="H122" s="399"/>
      <c r="I122" s="399" t="str">
        <f t="shared" si="5"/>
        <v>TowerRec=121</v>
      </c>
      <c r="J122" s="406" t="str">
        <f ca="1">IFERROR(ROW(INDEX(INDIRECT("'TNX File'!A$1:A" &amp; $H$2),MATCH('TNX File Parse'!I122,'TNX File'!A:A,0))),"")</f>
        <v/>
      </c>
      <c r="K122" s="399" t="s">
        <v>1415</v>
      </c>
      <c r="L122" s="399" t="str">
        <f ca="1">IFERROR(ROW(INDEX(INDIRECT("'TNX File'!A" &amp; $J122 &amp; ":A" &amp; $H$2),MATCH('TNX File Parse'!K122 &amp; "*",INDIRECT("'TNX File'!A" &amp; $J122 &amp; ":A" &amp; $H$2),0))),"")</f>
        <v/>
      </c>
      <c r="M122" s="399" t="str">
        <f ca="1">IFERROR(INDEX('TNX File'!A:A,L122,1),"")</f>
        <v/>
      </c>
      <c r="N122" s="399" t="str">
        <f t="shared" ca="1" si="6"/>
        <v/>
      </c>
      <c r="O122" s="399" t="s">
        <v>1417</v>
      </c>
      <c r="P122" s="399" t="str">
        <f ca="1">IFERROR(ROW(INDEX(INDIRECT("'TNX File'!A" &amp; $J122 &amp; ":A" &amp; $H$2),MATCH('TNX File Parse'!O122 &amp; "*",INDIRECT("'TNX File'!A" &amp; $J122 &amp; ":A" &amp; $H$2),0))),"")</f>
        <v/>
      </c>
      <c r="Q122" s="399" t="str">
        <f ca="1">IFERROR(INDEX('TNX File'!A:A,P122,1),"")</f>
        <v/>
      </c>
      <c r="R122" s="399" t="str">
        <f t="shared" ca="1" si="7"/>
        <v/>
      </c>
      <c r="S122" s="399" t="str">
        <f t="shared" ca="1" si="8"/>
        <v/>
      </c>
      <c r="T122" s="399" t="str">
        <f t="shared" ca="1" si="9"/>
        <v/>
      </c>
    </row>
    <row r="123" spans="7:20" x14ac:dyDescent="0.25">
      <c r="G123" s="399">
        <v>122</v>
      </c>
      <c r="H123" s="399"/>
      <c r="I123" s="399" t="str">
        <f t="shared" si="5"/>
        <v>TowerRec=122</v>
      </c>
      <c r="J123" s="406" t="str">
        <f ca="1">IFERROR(ROW(INDEX(INDIRECT("'TNX File'!A$1:A" &amp; $H$2),MATCH('TNX File Parse'!I123,'TNX File'!A:A,0))),"")</f>
        <v/>
      </c>
      <c r="K123" s="399" t="s">
        <v>1415</v>
      </c>
      <c r="L123" s="399" t="str">
        <f ca="1">IFERROR(ROW(INDEX(INDIRECT("'TNX File'!A" &amp; $J123 &amp; ":A" &amp; $H$2),MATCH('TNX File Parse'!K123 &amp; "*",INDIRECT("'TNX File'!A" &amp; $J123 &amp; ":A" &amp; $H$2),0))),"")</f>
        <v/>
      </c>
      <c r="M123" s="399" t="str">
        <f ca="1">IFERROR(INDEX('TNX File'!A:A,L123,1),"")</f>
        <v/>
      </c>
      <c r="N123" s="399" t="str">
        <f t="shared" ca="1" si="6"/>
        <v/>
      </c>
      <c r="O123" s="399" t="s">
        <v>1417</v>
      </c>
      <c r="P123" s="399" t="str">
        <f ca="1">IFERROR(ROW(INDEX(INDIRECT("'TNX File'!A" &amp; $J123 &amp; ":A" &amp; $H$2),MATCH('TNX File Parse'!O123 &amp; "*",INDIRECT("'TNX File'!A" &amp; $J123 &amp; ":A" &amp; $H$2),0))),"")</f>
        <v/>
      </c>
      <c r="Q123" s="399" t="str">
        <f ca="1">IFERROR(INDEX('TNX File'!A:A,P123,1),"")</f>
        <v/>
      </c>
      <c r="R123" s="399" t="str">
        <f t="shared" ca="1" si="7"/>
        <v/>
      </c>
      <c r="S123" s="399" t="str">
        <f t="shared" ca="1" si="8"/>
        <v/>
      </c>
      <c r="T123" s="399" t="str">
        <f t="shared" ca="1" si="9"/>
        <v/>
      </c>
    </row>
    <row r="124" spans="7:20" x14ac:dyDescent="0.25">
      <c r="G124" s="399">
        <v>123</v>
      </c>
      <c r="H124" s="399"/>
      <c r="I124" s="399" t="str">
        <f t="shared" si="5"/>
        <v>TowerRec=123</v>
      </c>
      <c r="J124" s="406" t="str">
        <f ca="1">IFERROR(ROW(INDEX(INDIRECT("'TNX File'!A$1:A" &amp; $H$2),MATCH('TNX File Parse'!I124,'TNX File'!A:A,0))),"")</f>
        <v/>
      </c>
      <c r="K124" s="399" t="s">
        <v>1415</v>
      </c>
      <c r="L124" s="399" t="str">
        <f ca="1">IFERROR(ROW(INDEX(INDIRECT("'TNX File'!A" &amp; $J124 &amp; ":A" &amp; $H$2),MATCH('TNX File Parse'!K124 &amp; "*",INDIRECT("'TNX File'!A" &amp; $J124 &amp; ":A" &amp; $H$2),0))),"")</f>
        <v/>
      </c>
      <c r="M124" s="399" t="str">
        <f ca="1">IFERROR(INDEX('TNX File'!A:A,L124,1),"")</f>
        <v/>
      </c>
      <c r="N124" s="399" t="str">
        <f t="shared" ca="1" si="6"/>
        <v/>
      </c>
      <c r="O124" s="399" t="s">
        <v>1417</v>
      </c>
      <c r="P124" s="399" t="str">
        <f ca="1">IFERROR(ROW(INDEX(INDIRECT("'TNX File'!A" &amp; $J124 &amp; ":A" &amp; $H$2),MATCH('TNX File Parse'!O124 &amp; "*",INDIRECT("'TNX File'!A" &amp; $J124 &amp; ":A" &amp; $H$2),0))),"")</f>
        <v/>
      </c>
      <c r="Q124" s="399" t="str">
        <f ca="1">IFERROR(INDEX('TNX File'!A:A,P124,1),"")</f>
        <v/>
      </c>
      <c r="R124" s="399" t="str">
        <f t="shared" ca="1" si="7"/>
        <v/>
      </c>
      <c r="S124" s="399" t="str">
        <f t="shared" ca="1" si="8"/>
        <v/>
      </c>
      <c r="T124" s="399" t="str">
        <f t="shared" ca="1" si="9"/>
        <v/>
      </c>
    </row>
    <row r="125" spans="7:20" x14ac:dyDescent="0.25">
      <c r="G125" s="399">
        <v>124</v>
      </c>
      <c r="H125" s="399"/>
      <c r="I125" s="399" t="str">
        <f t="shared" si="5"/>
        <v>TowerRec=124</v>
      </c>
      <c r="J125" s="406" t="str">
        <f ca="1">IFERROR(ROW(INDEX(INDIRECT("'TNX File'!A$1:A" &amp; $H$2),MATCH('TNX File Parse'!I125,'TNX File'!A:A,0))),"")</f>
        <v/>
      </c>
      <c r="K125" s="399" t="s">
        <v>1415</v>
      </c>
      <c r="L125" s="399" t="str">
        <f ca="1">IFERROR(ROW(INDEX(INDIRECT("'TNX File'!A" &amp; $J125 &amp; ":A" &amp; $H$2),MATCH('TNX File Parse'!K125 &amp; "*",INDIRECT("'TNX File'!A" &amp; $J125 &amp; ":A" &amp; $H$2),0))),"")</f>
        <v/>
      </c>
      <c r="M125" s="399" t="str">
        <f ca="1">IFERROR(INDEX('TNX File'!A:A,L125,1),"")</f>
        <v/>
      </c>
      <c r="N125" s="399" t="str">
        <f t="shared" ca="1" si="6"/>
        <v/>
      </c>
      <c r="O125" s="399" t="s">
        <v>1417</v>
      </c>
      <c r="P125" s="399" t="str">
        <f ca="1">IFERROR(ROW(INDEX(INDIRECT("'TNX File'!A" &amp; $J125 &amp; ":A" &amp; $H$2),MATCH('TNX File Parse'!O125 &amp; "*",INDIRECT("'TNX File'!A" &amp; $J125 &amp; ":A" &amp; $H$2),0))),"")</f>
        <v/>
      </c>
      <c r="Q125" s="399" t="str">
        <f ca="1">IFERROR(INDEX('TNX File'!A:A,P125,1),"")</f>
        <v/>
      </c>
      <c r="R125" s="399" t="str">
        <f t="shared" ca="1" si="7"/>
        <v/>
      </c>
      <c r="S125" s="399" t="str">
        <f t="shared" ca="1" si="8"/>
        <v/>
      </c>
      <c r="T125" s="399" t="str">
        <f t="shared" ca="1" si="9"/>
        <v/>
      </c>
    </row>
    <row r="126" spans="7:20" x14ac:dyDescent="0.25">
      <c r="G126" s="399">
        <v>125</v>
      </c>
      <c r="H126" s="399"/>
      <c r="I126" s="399" t="str">
        <f t="shared" si="5"/>
        <v>TowerRec=125</v>
      </c>
      <c r="J126" s="406" t="str">
        <f ca="1">IFERROR(ROW(INDEX(INDIRECT("'TNX File'!A$1:A" &amp; $H$2),MATCH('TNX File Parse'!I126,'TNX File'!A:A,0))),"")</f>
        <v/>
      </c>
      <c r="K126" s="399" t="s">
        <v>1415</v>
      </c>
      <c r="L126" s="399" t="str">
        <f ca="1">IFERROR(ROW(INDEX(INDIRECT("'TNX File'!A" &amp; $J126 &amp; ":A" &amp; $H$2),MATCH('TNX File Parse'!K126 &amp; "*",INDIRECT("'TNX File'!A" &amp; $J126 &amp; ":A" &amp; $H$2),0))),"")</f>
        <v/>
      </c>
      <c r="M126" s="399" t="str">
        <f ca="1">IFERROR(INDEX('TNX File'!A:A,L126,1),"")</f>
        <v/>
      </c>
      <c r="N126" s="399" t="str">
        <f t="shared" ca="1" si="6"/>
        <v/>
      </c>
      <c r="O126" s="399" t="s">
        <v>1417</v>
      </c>
      <c r="P126" s="399" t="str">
        <f ca="1">IFERROR(ROW(INDEX(INDIRECT("'TNX File'!A" &amp; $J126 &amp; ":A" &amp; $H$2),MATCH('TNX File Parse'!O126 &amp; "*",INDIRECT("'TNX File'!A" &amp; $J126 &amp; ":A" &amp; $H$2),0))),"")</f>
        <v/>
      </c>
      <c r="Q126" s="399" t="str">
        <f ca="1">IFERROR(INDEX('TNX File'!A:A,P126,1),"")</f>
        <v/>
      </c>
      <c r="R126" s="399" t="str">
        <f t="shared" ca="1" si="7"/>
        <v/>
      </c>
      <c r="S126" s="399" t="str">
        <f t="shared" ca="1" si="8"/>
        <v/>
      </c>
      <c r="T126" s="399" t="str">
        <f t="shared" ca="1" si="9"/>
        <v/>
      </c>
    </row>
    <row r="127" spans="7:20" x14ac:dyDescent="0.25">
      <c r="G127" s="399">
        <v>126</v>
      </c>
      <c r="H127" s="399"/>
      <c r="I127" s="399" t="str">
        <f t="shared" si="5"/>
        <v>TowerRec=126</v>
      </c>
      <c r="J127" s="406" t="str">
        <f ca="1">IFERROR(ROW(INDEX(INDIRECT("'TNX File'!A$1:A" &amp; $H$2),MATCH('TNX File Parse'!I127,'TNX File'!A:A,0))),"")</f>
        <v/>
      </c>
      <c r="K127" s="399" t="s">
        <v>1415</v>
      </c>
      <c r="L127" s="399" t="str">
        <f ca="1">IFERROR(ROW(INDEX(INDIRECT("'TNX File'!A" &amp; $J127 &amp; ":A" &amp; $H$2),MATCH('TNX File Parse'!K127 &amp; "*",INDIRECT("'TNX File'!A" &amp; $J127 &amp; ":A" &amp; $H$2),0))),"")</f>
        <v/>
      </c>
      <c r="M127" s="399" t="str">
        <f ca="1">IFERROR(INDEX('TNX File'!A:A,L127,1),"")</f>
        <v/>
      </c>
      <c r="N127" s="399" t="str">
        <f t="shared" ca="1" si="6"/>
        <v/>
      </c>
      <c r="O127" s="399" t="s">
        <v>1417</v>
      </c>
      <c r="P127" s="399" t="str">
        <f ca="1">IFERROR(ROW(INDEX(INDIRECT("'TNX File'!A" &amp; $J127 &amp; ":A" &amp; $H$2),MATCH('TNX File Parse'!O127 &amp; "*",INDIRECT("'TNX File'!A" &amp; $J127 &amp; ":A" &amp; $H$2),0))),"")</f>
        <v/>
      </c>
      <c r="Q127" s="399" t="str">
        <f ca="1">IFERROR(INDEX('TNX File'!A:A,P127,1),"")</f>
        <v/>
      </c>
      <c r="R127" s="399" t="str">
        <f t="shared" ca="1" si="7"/>
        <v/>
      </c>
      <c r="S127" s="399" t="str">
        <f t="shared" ca="1" si="8"/>
        <v/>
      </c>
      <c r="T127" s="399" t="str">
        <f t="shared" ca="1" si="9"/>
        <v/>
      </c>
    </row>
    <row r="128" spans="7:20" x14ac:dyDescent="0.25">
      <c r="G128" s="399">
        <v>127</v>
      </c>
      <c r="H128" s="399"/>
      <c r="I128" s="399" t="str">
        <f t="shared" si="5"/>
        <v>TowerRec=127</v>
      </c>
      <c r="J128" s="406" t="str">
        <f ca="1">IFERROR(ROW(INDEX(INDIRECT("'TNX File'!A$1:A" &amp; $H$2),MATCH('TNX File Parse'!I128,'TNX File'!A:A,0))),"")</f>
        <v/>
      </c>
      <c r="K128" s="399" t="s">
        <v>1415</v>
      </c>
      <c r="L128" s="399" t="str">
        <f ca="1">IFERROR(ROW(INDEX(INDIRECT("'TNX File'!A" &amp; $J128 &amp; ":A" &amp; $H$2),MATCH('TNX File Parse'!K128 &amp; "*",INDIRECT("'TNX File'!A" &amp; $J128 &amp; ":A" &amp; $H$2),0))),"")</f>
        <v/>
      </c>
      <c r="M128" s="399" t="str">
        <f ca="1">IFERROR(INDEX('TNX File'!A:A,L128,1),"")</f>
        <v/>
      </c>
      <c r="N128" s="399" t="str">
        <f t="shared" ca="1" si="6"/>
        <v/>
      </c>
      <c r="O128" s="399" t="s">
        <v>1417</v>
      </c>
      <c r="P128" s="399" t="str">
        <f ca="1">IFERROR(ROW(INDEX(INDIRECT("'TNX File'!A" &amp; $J128 &amp; ":A" &amp; $H$2),MATCH('TNX File Parse'!O128 &amp; "*",INDIRECT("'TNX File'!A" &amp; $J128 &amp; ":A" &amp; $H$2),0))),"")</f>
        <v/>
      </c>
      <c r="Q128" s="399" t="str">
        <f ca="1">IFERROR(INDEX('TNX File'!A:A,P128,1),"")</f>
        <v/>
      </c>
      <c r="R128" s="399" t="str">
        <f t="shared" ca="1" si="7"/>
        <v/>
      </c>
      <c r="S128" s="399" t="str">
        <f t="shared" ca="1" si="8"/>
        <v/>
      </c>
      <c r="T128" s="399" t="str">
        <f t="shared" ca="1" si="9"/>
        <v/>
      </c>
    </row>
    <row r="129" spans="7:20" x14ac:dyDescent="0.25">
      <c r="G129" s="399">
        <v>128</v>
      </c>
      <c r="H129" s="399"/>
      <c r="I129" s="399" t="str">
        <f t="shared" si="5"/>
        <v>TowerRec=128</v>
      </c>
      <c r="J129" s="406" t="str">
        <f ca="1">IFERROR(ROW(INDEX(INDIRECT("'TNX File'!A$1:A" &amp; $H$2),MATCH('TNX File Parse'!I129,'TNX File'!A:A,0))),"")</f>
        <v/>
      </c>
      <c r="K129" s="399" t="s">
        <v>1415</v>
      </c>
      <c r="L129" s="399" t="str">
        <f ca="1">IFERROR(ROW(INDEX(INDIRECT("'TNX File'!A" &amp; $J129 &amp; ":A" &amp; $H$2),MATCH('TNX File Parse'!K129 &amp; "*",INDIRECT("'TNX File'!A" &amp; $J129 &amp; ":A" &amp; $H$2),0))),"")</f>
        <v/>
      </c>
      <c r="M129" s="399" t="str">
        <f ca="1">IFERROR(INDEX('TNX File'!A:A,L129,1),"")</f>
        <v/>
      </c>
      <c r="N129" s="399" t="str">
        <f t="shared" ca="1" si="6"/>
        <v/>
      </c>
      <c r="O129" s="399" t="s">
        <v>1417</v>
      </c>
      <c r="P129" s="399" t="str">
        <f ca="1">IFERROR(ROW(INDEX(INDIRECT("'TNX File'!A" &amp; $J129 &amp; ":A" &amp; $H$2),MATCH('TNX File Parse'!O129 &amp; "*",INDIRECT("'TNX File'!A" &amp; $J129 &amp; ":A" &amp; $H$2),0))),"")</f>
        <v/>
      </c>
      <c r="Q129" s="399" t="str">
        <f ca="1">IFERROR(INDEX('TNX File'!A:A,P129,1),"")</f>
        <v/>
      </c>
      <c r="R129" s="399" t="str">
        <f t="shared" ca="1" si="7"/>
        <v/>
      </c>
      <c r="S129" s="399" t="str">
        <f t="shared" ca="1" si="8"/>
        <v/>
      </c>
      <c r="T129" s="399" t="str">
        <f t="shared" ca="1" si="9"/>
        <v/>
      </c>
    </row>
    <row r="130" spans="7:20" x14ac:dyDescent="0.25">
      <c r="G130" s="399">
        <v>129</v>
      </c>
      <c r="H130" s="399"/>
      <c r="I130" s="399" t="str">
        <f t="shared" si="5"/>
        <v>TowerRec=129</v>
      </c>
      <c r="J130" s="406" t="str">
        <f ca="1">IFERROR(ROW(INDEX(INDIRECT("'TNX File'!A$1:A" &amp; $H$2),MATCH('TNX File Parse'!I130,'TNX File'!A:A,0))),"")</f>
        <v/>
      </c>
      <c r="K130" s="399" t="s">
        <v>1415</v>
      </c>
      <c r="L130" s="399" t="str">
        <f ca="1">IFERROR(ROW(INDEX(INDIRECT("'TNX File'!A" &amp; $J130 &amp; ":A" &amp; $H$2),MATCH('TNX File Parse'!K130 &amp; "*",INDIRECT("'TNX File'!A" &amp; $J130 &amp; ":A" &amp; $H$2),0))),"")</f>
        <v/>
      </c>
      <c r="M130" s="399" t="str">
        <f ca="1">IFERROR(INDEX('TNX File'!A:A,L130,1),"")</f>
        <v/>
      </c>
      <c r="N130" s="399" t="str">
        <f t="shared" ca="1" si="6"/>
        <v/>
      </c>
      <c r="O130" s="399" t="s">
        <v>1417</v>
      </c>
      <c r="P130" s="399" t="str">
        <f ca="1">IFERROR(ROW(INDEX(INDIRECT("'TNX File'!A" &amp; $J130 &amp; ":A" &amp; $H$2),MATCH('TNX File Parse'!O130 &amp; "*",INDIRECT("'TNX File'!A" &amp; $J130 &amp; ":A" &amp; $H$2),0))),"")</f>
        <v/>
      </c>
      <c r="Q130" s="399" t="str">
        <f ca="1">IFERROR(INDEX('TNX File'!A:A,P130,1),"")</f>
        <v/>
      </c>
      <c r="R130" s="399" t="str">
        <f t="shared" ca="1" si="7"/>
        <v/>
      </c>
      <c r="S130" s="399" t="str">
        <f t="shared" ca="1" si="8"/>
        <v/>
      </c>
      <c r="T130" s="399" t="str">
        <f t="shared" ca="1" si="9"/>
        <v/>
      </c>
    </row>
    <row r="131" spans="7:20" x14ac:dyDescent="0.25">
      <c r="G131" s="399">
        <v>130</v>
      </c>
      <c r="H131" s="399"/>
      <c r="I131" s="399" t="str">
        <f t="shared" ref="I131:I194" si="10">CONCATENATE("TowerRec=",G131)</f>
        <v>TowerRec=130</v>
      </c>
      <c r="J131" s="406" t="str">
        <f ca="1">IFERROR(ROW(INDEX(INDIRECT("'TNX File'!A$1:A" &amp; $H$2),MATCH('TNX File Parse'!I131,'TNX File'!A:A,0))),"")</f>
        <v/>
      </c>
      <c r="K131" s="399" t="s">
        <v>1415</v>
      </c>
      <c r="L131" s="399" t="str">
        <f ca="1">IFERROR(ROW(INDEX(INDIRECT("'TNX File'!A" &amp; $J131 &amp; ":A" &amp; $H$2),MATCH('TNX File Parse'!K131 &amp; "*",INDIRECT("'TNX File'!A" &amp; $J131 &amp; ":A" &amp; $H$2),0))),"")</f>
        <v/>
      </c>
      <c r="M131" s="399" t="str">
        <f ca="1">IFERROR(INDEX('TNX File'!A:A,L131,1),"")</f>
        <v/>
      </c>
      <c r="N131" s="399" t="str">
        <f t="shared" ref="N131:N194" ca="1" si="11">IFERROR(FIND("=",M131,1),"")</f>
        <v/>
      </c>
      <c r="O131" s="399" t="s">
        <v>1417</v>
      </c>
      <c r="P131" s="399" t="str">
        <f ca="1">IFERROR(ROW(INDEX(INDIRECT("'TNX File'!A" &amp; $J131 &amp; ":A" &amp; $H$2),MATCH('TNX File Parse'!O131 &amp; "*",INDIRECT("'TNX File'!A" &amp; $J131 &amp; ":A" &amp; $H$2),0))),"")</f>
        <v/>
      </c>
      <c r="Q131" s="399" t="str">
        <f ca="1">IFERROR(INDEX('TNX File'!A:A,P131,1),"")</f>
        <v/>
      </c>
      <c r="R131" s="399" t="str">
        <f t="shared" ref="R131:R194" ca="1" si="12">IFERROR(FIND("=",Q131,1),"")</f>
        <v/>
      </c>
      <c r="S131" s="399" t="str">
        <f t="shared" ref="S131:S194" ca="1" si="13">IFERROR(VALUE(RIGHT(M131,LEN(M131)-N131)),"")</f>
        <v/>
      </c>
      <c r="T131" s="399" t="str">
        <f t="shared" ref="T131:T194" ca="1" si="14">IFERROR(S131-VALUE(RIGHT(Q131,LEN(Q131)-R131)),"")</f>
        <v/>
      </c>
    </row>
    <row r="132" spans="7:20" x14ac:dyDescent="0.25">
      <c r="G132" s="399">
        <v>131</v>
      </c>
      <c r="H132" s="399"/>
      <c r="I132" s="399" t="str">
        <f t="shared" si="10"/>
        <v>TowerRec=131</v>
      </c>
      <c r="J132" s="406" t="str">
        <f ca="1">IFERROR(ROW(INDEX(INDIRECT("'TNX File'!A$1:A" &amp; $H$2),MATCH('TNX File Parse'!I132,'TNX File'!A:A,0))),"")</f>
        <v/>
      </c>
      <c r="K132" s="399" t="s">
        <v>1415</v>
      </c>
      <c r="L132" s="399" t="str">
        <f ca="1">IFERROR(ROW(INDEX(INDIRECT("'TNX File'!A" &amp; $J132 &amp; ":A" &amp; $H$2),MATCH('TNX File Parse'!K132 &amp; "*",INDIRECT("'TNX File'!A" &amp; $J132 &amp; ":A" &amp; $H$2),0))),"")</f>
        <v/>
      </c>
      <c r="M132" s="399" t="str">
        <f ca="1">IFERROR(INDEX('TNX File'!A:A,L132,1),"")</f>
        <v/>
      </c>
      <c r="N132" s="399" t="str">
        <f t="shared" ca="1" si="11"/>
        <v/>
      </c>
      <c r="O132" s="399" t="s">
        <v>1417</v>
      </c>
      <c r="P132" s="399" t="str">
        <f ca="1">IFERROR(ROW(INDEX(INDIRECT("'TNX File'!A" &amp; $J132 &amp; ":A" &amp; $H$2),MATCH('TNX File Parse'!O132 &amp; "*",INDIRECT("'TNX File'!A" &amp; $J132 &amp; ":A" &amp; $H$2),0))),"")</f>
        <v/>
      </c>
      <c r="Q132" s="399" t="str">
        <f ca="1">IFERROR(INDEX('TNX File'!A:A,P132,1),"")</f>
        <v/>
      </c>
      <c r="R132" s="399" t="str">
        <f t="shared" ca="1" si="12"/>
        <v/>
      </c>
      <c r="S132" s="399" t="str">
        <f t="shared" ca="1" si="13"/>
        <v/>
      </c>
      <c r="T132" s="399" t="str">
        <f t="shared" ca="1" si="14"/>
        <v/>
      </c>
    </row>
    <row r="133" spans="7:20" x14ac:dyDescent="0.25">
      <c r="G133" s="399">
        <v>132</v>
      </c>
      <c r="H133" s="399"/>
      <c r="I133" s="399" t="str">
        <f t="shared" si="10"/>
        <v>TowerRec=132</v>
      </c>
      <c r="J133" s="406" t="str">
        <f ca="1">IFERROR(ROW(INDEX(INDIRECT("'TNX File'!A$1:A" &amp; $H$2),MATCH('TNX File Parse'!I133,'TNX File'!A:A,0))),"")</f>
        <v/>
      </c>
      <c r="K133" s="399" t="s">
        <v>1415</v>
      </c>
      <c r="L133" s="399" t="str">
        <f ca="1">IFERROR(ROW(INDEX(INDIRECT("'TNX File'!A" &amp; $J133 &amp; ":A" &amp; $H$2),MATCH('TNX File Parse'!K133 &amp; "*",INDIRECT("'TNX File'!A" &amp; $J133 &amp; ":A" &amp; $H$2),0))),"")</f>
        <v/>
      </c>
      <c r="M133" s="399" t="str">
        <f ca="1">IFERROR(INDEX('TNX File'!A:A,L133,1),"")</f>
        <v/>
      </c>
      <c r="N133" s="399" t="str">
        <f t="shared" ca="1" si="11"/>
        <v/>
      </c>
      <c r="O133" s="399" t="s">
        <v>1417</v>
      </c>
      <c r="P133" s="399" t="str">
        <f ca="1">IFERROR(ROW(INDEX(INDIRECT("'TNX File'!A" &amp; $J133 &amp; ":A" &amp; $H$2),MATCH('TNX File Parse'!O133 &amp; "*",INDIRECT("'TNX File'!A" &amp; $J133 &amp; ":A" &amp; $H$2),0))),"")</f>
        <v/>
      </c>
      <c r="Q133" s="399" t="str">
        <f ca="1">IFERROR(INDEX('TNX File'!A:A,P133,1),"")</f>
        <v/>
      </c>
      <c r="R133" s="399" t="str">
        <f t="shared" ca="1" si="12"/>
        <v/>
      </c>
      <c r="S133" s="399" t="str">
        <f t="shared" ca="1" si="13"/>
        <v/>
      </c>
      <c r="T133" s="399" t="str">
        <f t="shared" ca="1" si="14"/>
        <v/>
      </c>
    </row>
    <row r="134" spans="7:20" x14ac:dyDescent="0.25">
      <c r="G134" s="399">
        <v>133</v>
      </c>
      <c r="H134" s="399"/>
      <c r="I134" s="399" t="str">
        <f t="shared" si="10"/>
        <v>TowerRec=133</v>
      </c>
      <c r="J134" s="406" t="str">
        <f ca="1">IFERROR(ROW(INDEX(INDIRECT("'TNX File'!A$1:A" &amp; $H$2),MATCH('TNX File Parse'!I134,'TNX File'!A:A,0))),"")</f>
        <v/>
      </c>
      <c r="K134" s="399" t="s">
        <v>1415</v>
      </c>
      <c r="L134" s="399" t="str">
        <f ca="1">IFERROR(ROW(INDEX(INDIRECT("'TNX File'!A" &amp; $J134 &amp; ":A" &amp; $H$2),MATCH('TNX File Parse'!K134 &amp; "*",INDIRECT("'TNX File'!A" &amp; $J134 &amp; ":A" &amp; $H$2),0))),"")</f>
        <v/>
      </c>
      <c r="M134" s="399" t="str">
        <f ca="1">IFERROR(INDEX('TNX File'!A:A,L134,1),"")</f>
        <v/>
      </c>
      <c r="N134" s="399" t="str">
        <f t="shared" ca="1" si="11"/>
        <v/>
      </c>
      <c r="O134" s="399" t="s">
        <v>1417</v>
      </c>
      <c r="P134" s="399" t="str">
        <f ca="1">IFERROR(ROW(INDEX(INDIRECT("'TNX File'!A" &amp; $J134 &amp; ":A" &amp; $H$2),MATCH('TNX File Parse'!O134 &amp; "*",INDIRECT("'TNX File'!A" &amp; $J134 &amp; ":A" &amp; $H$2),0))),"")</f>
        <v/>
      </c>
      <c r="Q134" s="399" t="str">
        <f ca="1">IFERROR(INDEX('TNX File'!A:A,P134,1),"")</f>
        <v/>
      </c>
      <c r="R134" s="399" t="str">
        <f t="shared" ca="1" si="12"/>
        <v/>
      </c>
      <c r="S134" s="399" t="str">
        <f t="shared" ca="1" si="13"/>
        <v/>
      </c>
      <c r="T134" s="399" t="str">
        <f t="shared" ca="1" si="14"/>
        <v/>
      </c>
    </row>
    <row r="135" spans="7:20" x14ac:dyDescent="0.25">
      <c r="G135" s="399">
        <v>134</v>
      </c>
      <c r="H135" s="399"/>
      <c r="I135" s="399" t="str">
        <f t="shared" si="10"/>
        <v>TowerRec=134</v>
      </c>
      <c r="J135" s="406" t="str">
        <f ca="1">IFERROR(ROW(INDEX(INDIRECT("'TNX File'!A$1:A" &amp; $H$2),MATCH('TNX File Parse'!I135,'TNX File'!A:A,0))),"")</f>
        <v/>
      </c>
      <c r="K135" s="399" t="s">
        <v>1415</v>
      </c>
      <c r="L135" s="399" t="str">
        <f ca="1">IFERROR(ROW(INDEX(INDIRECT("'TNX File'!A" &amp; $J135 &amp; ":A" &amp; $H$2),MATCH('TNX File Parse'!K135 &amp; "*",INDIRECT("'TNX File'!A" &amp; $J135 &amp; ":A" &amp; $H$2),0))),"")</f>
        <v/>
      </c>
      <c r="M135" s="399" t="str">
        <f ca="1">IFERROR(INDEX('TNX File'!A:A,L135,1),"")</f>
        <v/>
      </c>
      <c r="N135" s="399" t="str">
        <f t="shared" ca="1" si="11"/>
        <v/>
      </c>
      <c r="O135" s="399" t="s">
        <v>1417</v>
      </c>
      <c r="P135" s="399" t="str">
        <f ca="1">IFERROR(ROW(INDEX(INDIRECT("'TNX File'!A" &amp; $J135 &amp; ":A" &amp; $H$2),MATCH('TNX File Parse'!O135 &amp; "*",INDIRECT("'TNX File'!A" &amp; $J135 &amp; ":A" &amp; $H$2),0))),"")</f>
        <v/>
      </c>
      <c r="Q135" s="399" t="str">
        <f ca="1">IFERROR(INDEX('TNX File'!A:A,P135,1),"")</f>
        <v/>
      </c>
      <c r="R135" s="399" t="str">
        <f t="shared" ca="1" si="12"/>
        <v/>
      </c>
      <c r="S135" s="399" t="str">
        <f t="shared" ca="1" si="13"/>
        <v/>
      </c>
      <c r="T135" s="399" t="str">
        <f t="shared" ca="1" si="14"/>
        <v/>
      </c>
    </row>
    <row r="136" spans="7:20" x14ac:dyDescent="0.25">
      <c r="G136" s="399">
        <v>135</v>
      </c>
      <c r="H136" s="399"/>
      <c r="I136" s="399" t="str">
        <f t="shared" si="10"/>
        <v>TowerRec=135</v>
      </c>
      <c r="J136" s="406" t="str">
        <f ca="1">IFERROR(ROW(INDEX(INDIRECT("'TNX File'!A$1:A" &amp; $H$2),MATCH('TNX File Parse'!I136,'TNX File'!A:A,0))),"")</f>
        <v/>
      </c>
      <c r="K136" s="399" t="s">
        <v>1415</v>
      </c>
      <c r="L136" s="399" t="str">
        <f ca="1">IFERROR(ROW(INDEX(INDIRECT("'TNX File'!A" &amp; $J136 &amp; ":A" &amp; $H$2),MATCH('TNX File Parse'!K136 &amp; "*",INDIRECT("'TNX File'!A" &amp; $J136 &amp; ":A" &amp; $H$2),0))),"")</f>
        <v/>
      </c>
      <c r="M136" s="399" t="str">
        <f ca="1">IFERROR(INDEX('TNX File'!A:A,L136,1),"")</f>
        <v/>
      </c>
      <c r="N136" s="399" t="str">
        <f t="shared" ca="1" si="11"/>
        <v/>
      </c>
      <c r="O136" s="399" t="s">
        <v>1417</v>
      </c>
      <c r="P136" s="399" t="str">
        <f ca="1">IFERROR(ROW(INDEX(INDIRECT("'TNX File'!A" &amp; $J136 &amp; ":A" &amp; $H$2),MATCH('TNX File Parse'!O136 &amp; "*",INDIRECT("'TNX File'!A" &amp; $J136 &amp; ":A" &amp; $H$2),0))),"")</f>
        <v/>
      </c>
      <c r="Q136" s="399" t="str">
        <f ca="1">IFERROR(INDEX('TNX File'!A:A,P136,1),"")</f>
        <v/>
      </c>
      <c r="R136" s="399" t="str">
        <f t="shared" ca="1" si="12"/>
        <v/>
      </c>
      <c r="S136" s="399" t="str">
        <f t="shared" ca="1" si="13"/>
        <v/>
      </c>
      <c r="T136" s="399" t="str">
        <f t="shared" ca="1" si="14"/>
        <v/>
      </c>
    </row>
    <row r="137" spans="7:20" x14ac:dyDescent="0.25">
      <c r="G137" s="399">
        <v>136</v>
      </c>
      <c r="H137" s="399"/>
      <c r="I137" s="399" t="str">
        <f t="shared" si="10"/>
        <v>TowerRec=136</v>
      </c>
      <c r="J137" s="406" t="str">
        <f ca="1">IFERROR(ROW(INDEX(INDIRECT("'TNX File'!A$1:A" &amp; $H$2),MATCH('TNX File Parse'!I137,'TNX File'!A:A,0))),"")</f>
        <v/>
      </c>
      <c r="K137" s="399" t="s">
        <v>1415</v>
      </c>
      <c r="L137" s="399" t="str">
        <f ca="1">IFERROR(ROW(INDEX(INDIRECT("'TNX File'!A" &amp; $J137 &amp; ":A" &amp; $H$2),MATCH('TNX File Parse'!K137 &amp; "*",INDIRECT("'TNX File'!A" &amp; $J137 &amp; ":A" &amp; $H$2),0))),"")</f>
        <v/>
      </c>
      <c r="M137" s="399" t="str">
        <f ca="1">IFERROR(INDEX('TNX File'!A:A,L137,1),"")</f>
        <v/>
      </c>
      <c r="N137" s="399" t="str">
        <f t="shared" ca="1" si="11"/>
        <v/>
      </c>
      <c r="O137" s="399" t="s">
        <v>1417</v>
      </c>
      <c r="P137" s="399" t="str">
        <f ca="1">IFERROR(ROW(INDEX(INDIRECT("'TNX File'!A" &amp; $J137 &amp; ":A" &amp; $H$2),MATCH('TNX File Parse'!O137 &amp; "*",INDIRECT("'TNX File'!A" &amp; $J137 &amp; ":A" &amp; $H$2),0))),"")</f>
        <v/>
      </c>
      <c r="Q137" s="399" t="str">
        <f ca="1">IFERROR(INDEX('TNX File'!A:A,P137,1),"")</f>
        <v/>
      </c>
      <c r="R137" s="399" t="str">
        <f t="shared" ca="1" si="12"/>
        <v/>
      </c>
      <c r="S137" s="399" t="str">
        <f t="shared" ca="1" si="13"/>
        <v/>
      </c>
      <c r="T137" s="399" t="str">
        <f t="shared" ca="1" si="14"/>
        <v/>
      </c>
    </row>
    <row r="138" spans="7:20" x14ac:dyDescent="0.25">
      <c r="G138" s="399">
        <v>137</v>
      </c>
      <c r="H138" s="399"/>
      <c r="I138" s="399" t="str">
        <f t="shared" si="10"/>
        <v>TowerRec=137</v>
      </c>
      <c r="J138" s="406" t="str">
        <f ca="1">IFERROR(ROW(INDEX(INDIRECT("'TNX File'!A$1:A" &amp; $H$2),MATCH('TNX File Parse'!I138,'TNX File'!A:A,0))),"")</f>
        <v/>
      </c>
      <c r="K138" s="399" t="s">
        <v>1415</v>
      </c>
      <c r="L138" s="399" t="str">
        <f ca="1">IFERROR(ROW(INDEX(INDIRECT("'TNX File'!A" &amp; $J138 &amp; ":A" &amp; $H$2),MATCH('TNX File Parse'!K138 &amp; "*",INDIRECT("'TNX File'!A" &amp; $J138 &amp; ":A" &amp; $H$2),0))),"")</f>
        <v/>
      </c>
      <c r="M138" s="399" t="str">
        <f ca="1">IFERROR(INDEX('TNX File'!A:A,L138,1),"")</f>
        <v/>
      </c>
      <c r="N138" s="399" t="str">
        <f t="shared" ca="1" si="11"/>
        <v/>
      </c>
      <c r="O138" s="399" t="s">
        <v>1417</v>
      </c>
      <c r="P138" s="399" t="str">
        <f ca="1">IFERROR(ROW(INDEX(INDIRECT("'TNX File'!A" &amp; $J138 &amp; ":A" &amp; $H$2),MATCH('TNX File Parse'!O138 &amp; "*",INDIRECT("'TNX File'!A" &amp; $J138 &amp; ":A" &amp; $H$2),0))),"")</f>
        <v/>
      </c>
      <c r="Q138" s="399" t="str">
        <f ca="1">IFERROR(INDEX('TNX File'!A:A,P138,1),"")</f>
        <v/>
      </c>
      <c r="R138" s="399" t="str">
        <f t="shared" ca="1" si="12"/>
        <v/>
      </c>
      <c r="S138" s="399" t="str">
        <f t="shared" ca="1" si="13"/>
        <v/>
      </c>
      <c r="T138" s="399" t="str">
        <f t="shared" ca="1" si="14"/>
        <v/>
      </c>
    </row>
    <row r="139" spans="7:20" x14ac:dyDescent="0.25">
      <c r="G139" s="399">
        <v>138</v>
      </c>
      <c r="H139" s="399"/>
      <c r="I139" s="399" t="str">
        <f t="shared" si="10"/>
        <v>TowerRec=138</v>
      </c>
      <c r="J139" s="406" t="str">
        <f ca="1">IFERROR(ROW(INDEX(INDIRECT("'TNX File'!A$1:A" &amp; $H$2),MATCH('TNX File Parse'!I139,'TNX File'!A:A,0))),"")</f>
        <v/>
      </c>
      <c r="K139" s="399" t="s">
        <v>1415</v>
      </c>
      <c r="L139" s="399" t="str">
        <f ca="1">IFERROR(ROW(INDEX(INDIRECT("'TNX File'!A" &amp; $J139 &amp; ":A" &amp; $H$2),MATCH('TNX File Parse'!K139 &amp; "*",INDIRECT("'TNX File'!A" &amp; $J139 &amp; ":A" &amp; $H$2),0))),"")</f>
        <v/>
      </c>
      <c r="M139" s="399" t="str">
        <f ca="1">IFERROR(INDEX('TNX File'!A:A,L139,1),"")</f>
        <v/>
      </c>
      <c r="N139" s="399" t="str">
        <f t="shared" ca="1" si="11"/>
        <v/>
      </c>
      <c r="O139" s="399" t="s">
        <v>1417</v>
      </c>
      <c r="P139" s="399" t="str">
        <f ca="1">IFERROR(ROW(INDEX(INDIRECT("'TNX File'!A" &amp; $J139 &amp; ":A" &amp; $H$2),MATCH('TNX File Parse'!O139 &amp; "*",INDIRECT("'TNX File'!A" &amp; $J139 &amp; ":A" &amp; $H$2),0))),"")</f>
        <v/>
      </c>
      <c r="Q139" s="399" t="str">
        <f ca="1">IFERROR(INDEX('TNX File'!A:A,P139,1),"")</f>
        <v/>
      </c>
      <c r="R139" s="399" t="str">
        <f t="shared" ca="1" si="12"/>
        <v/>
      </c>
      <c r="S139" s="399" t="str">
        <f t="shared" ca="1" si="13"/>
        <v/>
      </c>
      <c r="T139" s="399" t="str">
        <f t="shared" ca="1" si="14"/>
        <v/>
      </c>
    </row>
    <row r="140" spans="7:20" x14ac:dyDescent="0.25">
      <c r="G140" s="399">
        <v>139</v>
      </c>
      <c r="H140" s="399"/>
      <c r="I140" s="399" t="str">
        <f t="shared" si="10"/>
        <v>TowerRec=139</v>
      </c>
      <c r="J140" s="406" t="str">
        <f ca="1">IFERROR(ROW(INDEX(INDIRECT("'TNX File'!A$1:A" &amp; $H$2),MATCH('TNX File Parse'!I140,'TNX File'!A:A,0))),"")</f>
        <v/>
      </c>
      <c r="K140" s="399" t="s">
        <v>1415</v>
      </c>
      <c r="L140" s="399" t="str">
        <f ca="1">IFERROR(ROW(INDEX(INDIRECT("'TNX File'!A" &amp; $J140 &amp; ":A" &amp; $H$2),MATCH('TNX File Parse'!K140 &amp; "*",INDIRECT("'TNX File'!A" &amp; $J140 &amp; ":A" &amp; $H$2),0))),"")</f>
        <v/>
      </c>
      <c r="M140" s="399" t="str">
        <f ca="1">IFERROR(INDEX('TNX File'!A:A,L140,1),"")</f>
        <v/>
      </c>
      <c r="N140" s="399" t="str">
        <f t="shared" ca="1" si="11"/>
        <v/>
      </c>
      <c r="O140" s="399" t="s">
        <v>1417</v>
      </c>
      <c r="P140" s="399" t="str">
        <f ca="1">IFERROR(ROW(INDEX(INDIRECT("'TNX File'!A" &amp; $J140 &amp; ":A" &amp; $H$2),MATCH('TNX File Parse'!O140 &amp; "*",INDIRECT("'TNX File'!A" &amp; $J140 &amp; ":A" &amp; $H$2),0))),"")</f>
        <v/>
      </c>
      <c r="Q140" s="399" t="str">
        <f ca="1">IFERROR(INDEX('TNX File'!A:A,P140,1),"")</f>
        <v/>
      </c>
      <c r="R140" s="399" t="str">
        <f t="shared" ca="1" si="12"/>
        <v/>
      </c>
      <c r="S140" s="399" t="str">
        <f t="shared" ca="1" si="13"/>
        <v/>
      </c>
      <c r="T140" s="399" t="str">
        <f t="shared" ca="1" si="14"/>
        <v/>
      </c>
    </row>
    <row r="141" spans="7:20" x14ac:dyDescent="0.25">
      <c r="G141" s="399">
        <v>140</v>
      </c>
      <c r="H141" s="399"/>
      <c r="I141" s="399" t="str">
        <f t="shared" si="10"/>
        <v>TowerRec=140</v>
      </c>
      <c r="J141" s="406" t="str">
        <f ca="1">IFERROR(ROW(INDEX(INDIRECT("'TNX File'!A$1:A" &amp; $H$2),MATCH('TNX File Parse'!I141,'TNX File'!A:A,0))),"")</f>
        <v/>
      </c>
      <c r="K141" s="399" t="s">
        <v>1415</v>
      </c>
      <c r="L141" s="399" t="str">
        <f ca="1">IFERROR(ROW(INDEX(INDIRECT("'TNX File'!A" &amp; $J141 &amp; ":A" &amp; $H$2),MATCH('TNX File Parse'!K141 &amp; "*",INDIRECT("'TNX File'!A" &amp; $J141 &amp; ":A" &amp; $H$2),0))),"")</f>
        <v/>
      </c>
      <c r="M141" s="399" t="str">
        <f ca="1">IFERROR(INDEX('TNX File'!A:A,L141,1),"")</f>
        <v/>
      </c>
      <c r="N141" s="399" t="str">
        <f t="shared" ca="1" si="11"/>
        <v/>
      </c>
      <c r="O141" s="399" t="s">
        <v>1417</v>
      </c>
      <c r="P141" s="399" t="str">
        <f ca="1">IFERROR(ROW(INDEX(INDIRECT("'TNX File'!A" &amp; $J141 &amp; ":A" &amp; $H$2),MATCH('TNX File Parse'!O141 &amp; "*",INDIRECT("'TNX File'!A" &amp; $J141 &amp; ":A" &amp; $H$2),0))),"")</f>
        <v/>
      </c>
      <c r="Q141" s="399" t="str">
        <f ca="1">IFERROR(INDEX('TNX File'!A:A,P141,1),"")</f>
        <v/>
      </c>
      <c r="R141" s="399" t="str">
        <f t="shared" ca="1" si="12"/>
        <v/>
      </c>
      <c r="S141" s="399" t="str">
        <f t="shared" ca="1" si="13"/>
        <v/>
      </c>
      <c r="T141" s="399" t="str">
        <f t="shared" ca="1" si="14"/>
        <v/>
      </c>
    </row>
    <row r="142" spans="7:20" x14ac:dyDescent="0.25">
      <c r="G142" s="399">
        <v>141</v>
      </c>
      <c r="H142" s="399"/>
      <c r="I142" s="399" t="str">
        <f t="shared" si="10"/>
        <v>TowerRec=141</v>
      </c>
      <c r="J142" s="406" t="str">
        <f ca="1">IFERROR(ROW(INDEX(INDIRECT("'TNX File'!A$1:A" &amp; $H$2),MATCH('TNX File Parse'!I142,'TNX File'!A:A,0))),"")</f>
        <v/>
      </c>
      <c r="K142" s="399" t="s">
        <v>1415</v>
      </c>
      <c r="L142" s="399" t="str">
        <f ca="1">IFERROR(ROW(INDEX(INDIRECT("'TNX File'!A" &amp; $J142 &amp; ":A" &amp; $H$2),MATCH('TNX File Parse'!K142 &amp; "*",INDIRECT("'TNX File'!A" &amp; $J142 &amp; ":A" &amp; $H$2),0))),"")</f>
        <v/>
      </c>
      <c r="M142" s="399" t="str">
        <f ca="1">IFERROR(INDEX('TNX File'!A:A,L142,1),"")</f>
        <v/>
      </c>
      <c r="N142" s="399" t="str">
        <f t="shared" ca="1" si="11"/>
        <v/>
      </c>
      <c r="O142" s="399" t="s">
        <v>1417</v>
      </c>
      <c r="P142" s="399" t="str">
        <f ca="1">IFERROR(ROW(INDEX(INDIRECT("'TNX File'!A" &amp; $J142 &amp; ":A" &amp; $H$2),MATCH('TNX File Parse'!O142 &amp; "*",INDIRECT("'TNX File'!A" &amp; $J142 &amp; ":A" &amp; $H$2),0))),"")</f>
        <v/>
      </c>
      <c r="Q142" s="399" t="str">
        <f ca="1">IFERROR(INDEX('TNX File'!A:A,P142,1),"")</f>
        <v/>
      </c>
      <c r="R142" s="399" t="str">
        <f t="shared" ca="1" si="12"/>
        <v/>
      </c>
      <c r="S142" s="399" t="str">
        <f t="shared" ca="1" si="13"/>
        <v/>
      </c>
      <c r="T142" s="399" t="str">
        <f t="shared" ca="1" si="14"/>
        <v/>
      </c>
    </row>
    <row r="143" spans="7:20" x14ac:dyDescent="0.25">
      <c r="G143" s="399">
        <v>142</v>
      </c>
      <c r="H143" s="399"/>
      <c r="I143" s="399" t="str">
        <f t="shared" si="10"/>
        <v>TowerRec=142</v>
      </c>
      <c r="J143" s="406" t="str">
        <f ca="1">IFERROR(ROW(INDEX(INDIRECT("'TNX File'!A$1:A" &amp; $H$2),MATCH('TNX File Parse'!I143,'TNX File'!A:A,0))),"")</f>
        <v/>
      </c>
      <c r="K143" s="399" t="s">
        <v>1415</v>
      </c>
      <c r="L143" s="399" t="str">
        <f ca="1">IFERROR(ROW(INDEX(INDIRECT("'TNX File'!A" &amp; $J143 &amp; ":A" &amp; $H$2),MATCH('TNX File Parse'!K143 &amp; "*",INDIRECT("'TNX File'!A" &amp; $J143 &amp; ":A" &amp; $H$2),0))),"")</f>
        <v/>
      </c>
      <c r="M143" s="399" t="str">
        <f ca="1">IFERROR(INDEX('TNX File'!A:A,L143,1),"")</f>
        <v/>
      </c>
      <c r="N143" s="399" t="str">
        <f t="shared" ca="1" si="11"/>
        <v/>
      </c>
      <c r="O143" s="399" t="s">
        <v>1417</v>
      </c>
      <c r="P143" s="399" t="str">
        <f ca="1">IFERROR(ROW(INDEX(INDIRECT("'TNX File'!A" &amp; $J143 &amp; ":A" &amp; $H$2),MATCH('TNX File Parse'!O143 &amp; "*",INDIRECT("'TNX File'!A" &amp; $J143 &amp; ":A" &amp; $H$2),0))),"")</f>
        <v/>
      </c>
      <c r="Q143" s="399" t="str">
        <f ca="1">IFERROR(INDEX('TNX File'!A:A,P143,1),"")</f>
        <v/>
      </c>
      <c r="R143" s="399" t="str">
        <f t="shared" ca="1" si="12"/>
        <v/>
      </c>
      <c r="S143" s="399" t="str">
        <f t="shared" ca="1" si="13"/>
        <v/>
      </c>
      <c r="T143" s="399" t="str">
        <f t="shared" ca="1" si="14"/>
        <v/>
      </c>
    </row>
    <row r="144" spans="7:20" x14ac:dyDescent="0.25">
      <c r="G144" s="399">
        <v>143</v>
      </c>
      <c r="H144" s="399"/>
      <c r="I144" s="399" t="str">
        <f t="shared" si="10"/>
        <v>TowerRec=143</v>
      </c>
      <c r="J144" s="406" t="str">
        <f ca="1">IFERROR(ROW(INDEX(INDIRECT("'TNX File'!A$1:A" &amp; $H$2),MATCH('TNX File Parse'!I144,'TNX File'!A:A,0))),"")</f>
        <v/>
      </c>
      <c r="K144" s="399" t="s">
        <v>1415</v>
      </c>
      <c r="L144" s="399" t="str">
        <f ca="1">IFERROR(ROW(INDEX(INDIRECT("'TNX File'!A" &amp; $J144 &amp; ":A" &amp; $H$2),MATCH('TNX File Parse'!K144 &amp; "*",INDIRECT("'TNX File'!A" &amp; $J144 &amp; ":A" &amp; $H$2),0))),"")</f>
        <v/>
      </c>
      <c r="M144" s="399" t="str">
        <f ca="1">IFERROR(INDEX('TNX File'!A:A,L144,1),"")</f>
        <v/>
      </c>
      <c r="N144" s="399" t="str">
        <f t="shared" ca="1" si="11"/>
        <v/>
      </c>
      <c r="O144" s="399" t="s">
        <v>1417</v>
      </c>
      <c r="P144" s="399" t="str">
        <f ca="1">IFERROR(ROW(INDEX(INDIRECT("'TNX File'!A" &amp; $J144 &amp; ":A" &amp; $H$2),MATCH('TNX File Parse'!O144 &amp; "*",INDIRECT("'TNX File'!A" &amp; $J144 &amp; ":A" &amp; $H$2),0))),"")</f>
        <v/>
      </c>
      <c r="Q144" s="399" t="str">
        <f ca="1">IFERROR(INDEX('TNX File'!A:A,P144,1),"")</f>
        <v/>
      </c>
      <c r="R144" s="399" t="str">
        <f t="shared" ca="1" si="12"/>
        <v/>
      </c>
      <c r="S144" s="399" t="str">
        <f t="shared" ca="1" si="13"/>
        <v/>
      </c>
      <c r="T144" s="399" t="str">
        <f t="shared" ca="1" si="14"/>
        <v/>
      </c>
    </row>
    <row r="145" spans="7:20" x14ac:dyDescent="0.25">
      <c r="G145" s="399">
        <v>144</v>
      </c>
      <c r="H145" s="399"/>
      <c r="I145" s="399" t="str">
        <f t="shared" si="10"/>
        <v>TowerRec=144</v>
      </c>
      <c r="J145" s="406" t="str">
        <f ca="1">IFERROR(ROW(INDEX(INDIRECT("'TNX File'!A$1:A" &amp; $H$2),MATCH('TNX File Parse'!I145,'TNX File'!A:A,0))),"")</f>
        <v/>
      </c>
      <c r="K145" s="399" t="s">
        <v>1415</v>
      </c>
      <c r="L145" s="399" t="str">
        <f ca="1">IFERROR(ROW(INDEX(INDIRECT("'TNX File'!A" &amp; $J145 &amp; ":A" &amp; $H$2),MATCH('TNX File Parse'!K145 &amp; "*",INDIRECT("'TNX File'!A" &amp; $J145 &amp; ":A" &amp; $H$2),0))),"")</f>
        <v/>
      </c>
      <c r="M145" s="399" t="str">
        <f ca="1">IFERROR(INDEX('TNX File'!A:A,L145,1),"")</f>
        <v/>
      </c>
      <c r="N145" s="399" t="str">
        <f t="shared" ca="1" si="11"/>
        <v/>
      </c>
      <c r="O145" s="399" t="s">
        <v>1417</v>
      </c>
      <c r="P145" s="399" t="str">
        <f ca="1">IFERROR(ROW(INDEX(INDIRECT("'TNX File'!A" &amp; $J145 &amp; ":A" &amp; $H$2),MATCH('TNX File Parse'!O145 &amp; "*",INDIRECT("'TNX File'!A" &amp; $J145 &amp; ":A" &amp; $H$2),0))),"")</f>
        <v/>
      </c>
      <c r="Q145" s="399" t="str">
        <f ca="1">IFERROR(INDEX('TNX File'!A:A,P145,1),"")</f>
        <v/>
      </c>
      <c r="R145" s="399" t="str">
        <f t="shared" ca="1" si="12"/>
        <v/>
      </c>
      <c r="S145" s="399" t="str">
        <f t="shared" ca="1" si="13"/>
        <v/>
      </c>
      <c r="T145" s="399" t="str">
        <f t="shared" ca="1" si="14"/>
        <v/>
      </c>
    </row>
    <row r="146" spans="7:20" x14ac:dyDescent="0.25">
      <c r="G146" s="399">
        <v>145</v>
      </c>
      <c r="H146" s="399"/>
      <c r="I146" s="399" t="str">
        <f t="shared" si="10"/>
        <v>TowerRec=145</v>
      </c>
      <c r="J146" s="406" t="str">
        <f ca="1">IFERROR(ROW(INDEX(INDIRECT("'TNX File'!A$1:A" &amp; $H$2),MATCH('TNX File Parse'!I146,'TNX File'!A:A,0))),"")</f>
        <v/>
      </c>
      <c r="K146" s="399" t="s">
        <v>1415</v>
      </c>
      <c r="L146" s="399" t="str">
        <f ca="1">IFERROR(ROW(INDEX(INDIRECT("'TNX File'!A" &amp; $J146 &amp; ":A" &amp; $H$2),MATCH('TNX File Parse'!K146 &amp; "*",INDIRECT("'TNX File'!A" &amp; $J146 &amp; ":A" &amp; $H$2),0))),"")</f>
        <v/>
      </c>
      <c r="M146" s="399" t="str">
        <f ca="1">IFERROR(INDEX('TNX File'!A:A,L146,1),"")</f>
        <v/>
      </c>
      <c r="N146" s="399" t="str">
        <f t="shared" ca="1" si="11"/>
        <v/>
      </c>
      <c r="O146" s="399" t="s">
        <v>1417</v>
      </c>
      <c r="P146" s="399" t="str">
        <f ca="1">IFERROR(ROW(INDEX(INDIRECT("'TNX File'!A" &amp; $J146 &amp; ":A" &amp; $H$2),MATCH('TNX File Parse'!O146 &amp; "*",INDIRECT("'TNX File'!A" &amp; $J146 &amp; ":A" &amp; $H$2),0))),"")</f>
        <v/>
      </c>
      <c r="Q146" s="399" t="str">
        <f ca="1">IFERROR(INDEX('TNX File'!A:A,P146,1),"")</f>
        <v/>
      </c>
      <c r="R146" s="399" t="str">
        <f t="shared" ca="1" si="12"/>
        <v/>
      </c>
      <c r="S146" s="399" t="str">
        <f t="shared" ca="1" si="13"/>
        <v/>
      </c>
      <c r="T146" s="399" t="str">
        <f t="shared" ca="1" si="14"/>
        <v/>
      </c>
    </row>
    <row r="147" spans="7:20" x14ac:dyDescent="0.25">
      <c r="G147" s="399">
        <v>146</v>
      </c>
      <c r="H147" s="399"/>
      <c r="I147" s="399" t="str">
        <f t="shared" si="10"/>
        <v>TowerRec=146</v>
      </c>
      <c r="J147" s="406" t="str">
        <f ca="1">IFERROR(ROW(INDEX(INDIRECT("'TNX File'!A$1:A" &amp; $H$2),MATCH('TNX File Parse'!I147,'TNX File'!A:A,0))),"")</f>
        <v/>
      </c>
      <c r="K147" s="399" t="s">
        <v>1415</v>
      </c>
      <c r="L147" s="399" t="str">
        <f ca="1">IFERROR(ROW(INDEX(INDIRECT("'TNX File'!A" &amp; $J147 &amp; ":A" &amp; $H$2),MATCH('TNX File Parse'!K147 &amp; "*",INDIRECT("'TNX File'!A" &amp; $J147 &amp; ":A" &amp; $H$2),0))),"")</f>
        <v/>
      </c>
      <c r="M147" s="399" t="str">
        <f ca="1">IFERROR(INDEX('TNX File'!A:A,L147,1),"")</f>
        <v/>
      </c>
      <c r="N147" s="399" t="str">
        <f t="shared" ca="1" si="11"/>
        <v/>
      </c>
      <c r="O147" s="399" t="s">
        <v>1417</v>
      </c>
      <c r="P147" s="399" t="str">
        <f ca="1">IFERROR(ROW(INDEX(INDIRECT("'TNX File'!A" &amp; $J147 &amp; ":A" &amp; $H$2),MATCH('TNX File Parse'!O147 &amp; "*",INDIRECT("'TNX File'!A" &amp; $J147 &amp; ":A" &amp; $H$2),0))),"")</f>
        <v/>
      </c>
      <c r="Q147" s="399" t="str">
        <f ca="1">IFERROR(INDEX('TNX File'!A:A,P147,1),"")</f>
        <v/>
      </c>
      <c r="R147" s="399" t="str">
        <f t="shared" ca="1" si="12"/>
        <v/>
      </c>
      <c r="S147" s="399" t="str">
        <f t="shared" ca="1" si="13"/>
        <v/>
      </c>
      <c r="T147" s="399" t="str">
        <f t="shared" ca="1" si="14"/>
        <v/>
      </c>
    </row>
    <row r="148" spans="7:20" x14ac:dyDescent="0.25">
      <c r="G148" s="399">
        <v>147</v>
      </c>
      <c r="H148" s="399"/>
      <c r="I148" s="399" t="str">
        <f t="shared" si="10"/>
        <v>TowerRec=147</v>
      </c>
      <c r="J148" s="406" t="str">
        <f ca="1">IFERROR(ROW(INDEX(INDIRECT("'TNX File'!A$1:A" &amp; $H$2),MATCH('TNX File Parse'!I148,'TNX File'!A:A,0))),"")</f>
        <v/>
      </c>
      <c r="K148" s="399" t="s">
        <v>1415</v>
      </c>
      <c r="L148" s="399" t="str">
        <f ca="1">IFERROR(ROW(INDEX(INDIRECT("'TNX File'!A" &amp; $J148 &amp; ":A" &amp; $H$2),MATCH('TNX File Parse'!K148 &amp; "*",INDIRECT("'TNX File'!A" &amp; $J148 &amp; ":A" &amp; $H$2),0))),"")</f>
        <v/>
      </c>
      <c r="M148" s="399" t="str">
        <f ca="1">IFERROR(INDEX('TNX File'!A:A,L148,1),"")</f>
        <v/>
      </c>
      <c r="N148" s="399" t="str">
        <f t="shared" ca="1" si="11"/>
        <v/>
      </c>
      <c r="O148" s="399" t="s">
        <v>1417</v>
      </c>
      <c r="P148" s="399" t="str">
        <f ca="1">IFERROR(ROW(INDEX(INDIRECT("'TNX File'!A" &amp; $J148 &amp; ":A" &amp; $H$2),MATCH('TNX File Parse'!O148 &amp; "*",INDIRECT("'TNX File'!A" &amp; $J148 &amp; ":A" &amp; $H$2),0))),"")</f>
        <v/>
      </c>
      <c r="Q148" s="399" t="str">
        <f ca="1">IFERROR(INDEX('TNX File'!A:A,P148,1),"")</f>
        <v/>
      </c>
      <c r="R148" s="399" t="str">
        <f t="shared" ca="1" si="12"/>
        <v/>
      </c>
      <c r="S148" s="399" t="str">
        <f t="shared" ca="1" si="13"/>
        <v/>
      </c>
      <c r="T148" s="399" t="str">
        <f t="shared" ca="1" si="14"/>
        <v/>
      </c>
    </row>
    <row r="149" spans="7:20" x14ac:dyDescent="0.25">
      <c r="G149" s="399">
        <v>148</v>
      </c>
      <c r="H149" s="399"/>
      <c r="I149" s="399" t="str">
        <f t="shared" si="10"/>
        <v>TowerRec=148</v>
      </c>
      <c r="J149" s="406" t="str">
        <f ca="1">IFERROR(ROW(INDEX(INDIRECT("'TNX File'!A$1:A" &amp; $H$2),MATCH('TNX File Parse'!I149,'TNX File'!A:A,0))),"")</f>
        <v/>
      </c>
      <c r="K149" s="399" t="s">
        <v>1415</v>
      </c>
      <c r="L149" s="399" t="str">
        <f ca="1">IFERROR(ROW(INDEX(INDIRECT("'TNX File'!A" &amp; $J149 &amp; ":A" &amp; $H$2),MATCH('TNX File Parse'!K149 &amp; "*",INDIRECT("'TNX File'!A" &amp; $J149 &amp; ":A" &amp; $H$2),0))),"")</f>
        <v/>
      </c>
      <c r="M149" s="399" t="str">
        <f ca="1">IFERROR(INDEX('TNX File'!A:A,L149,1),"")</f>
        <v/>
      </c>
      <c r="N149" s="399" t="str">
        <f t="shared" ca="1" si="11"/>
        <v/>
      </c>
      <c r="O149" s="399" t="s">
        <v>1417</v>
      </c>
      <c r="P149" s="399" t="str">
        <f ca="1">IFERROR(ROW(INDEX(INDIRECT("'TNX File'!A" &amp; $J149 &amp; ":A" &amp; $H$2),MATCH('TNX File Parse'!O149 &amp; "*",INDIRECT("'TNX File'!A" &amp; $J149 &amp; ":A" &amp; $H$2),0))),"")</f>
        <v/>
      </c>
      <c r="Q149" s="399" t="str">
        <f ca="1">IFERROR(INDEX('TNX File'!A:A,P149,1),"")</f>
        <v/>
      </c>
      <c r="R149" s="399" t="str">
        <f t="shared" ca="1" si="12"/>
        <v/>
      </c>
      <c r="S149" s="399" t="str">
        <f t="shared" ca="1" si="13"/>
        <v/>
      </c>
      <c r="T149" s="399" t="str">
        <f t="shared" ca="1" si="14"/>
        <v/>
      </c>
    </row>
    <row r="150" spans="7:20" x14ac:dyDescent="0.25">
      <c r="G150" s="399">
        <v>149</v>
      </c>
      <c r="H150" s="399"/>
      <c r="I150" s="399" t="str">
        <f t="shared" si="10"/>
        <v>TowerRec=149</v>
      </c>
      <c r="J150" s="406" t="str">
        <f ca="1">IFERROR(ROW(INDEX(INDIRECT("'TNX File'!A$1:A" &amp; $H$2),MATCH('TNX File Parse'!I150,'TNX File'!A:A,0))),"")</f>
        <v/>
      </c>
      <c r="K150" s="399" t="s">
        <v>1415</v>
      </c>
      <c r="L150" s="399" t="str">
        <f ca="1">IFERROR(ROW(INDEX(INDIRECT("'TNX File'!A" &amp; $J150 &amp; ":A" &amp; $H$2),MATCH('TNX File Parse'!K150 &amp; "*",INDIRECT("'TNX File'!A" &amp; $J150 &amp; ":A" &amp; $H$2),0))),"")</f>
        <v/>
      </c>
      <c r="M150" s="399" t="str">
        <f ca="1">IFERROR(INDEX('TNX File'!A:A,L150,1),"")</f>
        <v/>
      </c>
      <c r="N150" s="399" t="str">
        <f t="shared" ca="1" si="11"/>
        <v/>
      </c>
      <c r="O150" s="399" t="s">
        <v>1417</v>
      </c>
      <c r="P150" s="399" t="str">
        <f ca="1">IFERROR(ROW(INDEX(INDIRECT("'TNX File'!A" &amp; $J150 &amp; ":A" &amp; $H$2),MATCH('TNX File Parse'!O150 &amp; "*",INDIRECT("'TNX File'!A" &amp; $J150 &amp; ":A" &amp; $H$2),0))),"")</f>
        <v/>
      </c>
      <c r="Q150" s="399" t="str">
        <f ca="1">IFERROR(INDEX('TNX File'!A:A,P150,1),"")</f>
        <v/>
      </c>
      <c r="R150" s="399" t="str">
        <f t="shared" ca="1" si="12"/>
        <v/>
      </c>
      <c r="S150" s="399" t="str">
        <f t="shared" ca="1" si="13"/>
        <v/>
      </c>
      <c r="T150" s="399" t="str">
        <f t="shared" ca="1" si="14"/>
        <v/>
      </c>
    </row>
    <row r="151" spans="7:20" x14ac:dyDescent="0.25">
      <c r="G151" s="399">
        <v>150</v>
      </c>
      <c r="H151" s="399"/>
      <c r="I151" s="399" t="str">
        <f t="shared" si="10"/>
        <v>TowerRec=150</v>
      </c>
      <c r="J151" s="406" t="str">
        <f ca="1">IFERROR(ROW(INDEX(INDIRECT("'TNX File'!A$1:A" &amp; $H$2),MATCH('TNX File Parse'!I151,'TNX File'!A:A,0))),"")</f>
        <v/>
      </c>
      <c r="K151" s="399" t="s">
        <v>1415</v>
      </c>
      <c r="L151" s="399" t="str">
        <f ca="1">IFERROR(ROW(INDEX(INDIRECT("'TNX File'!A" &amp; $J151 &amp; ":A" &amp; $H$2),MATCH('TNX File Parse'!K151 &amp; "*",INDIRECT("'TNX File'!A" &amp; $J151 &amp; ":A" &amp; $H$2),0))),"")</f>
        <v/>
      </c>
      <c r="M151" s="399" t="str">
        <f ca="1">IFERROR(INDEX('TNX File'!A:A,L151,1),"")</f>
        <v/>
      </c>
      <c r="N151" s="399" t="str">
        <f t="shared" ca="1" si="11"/>
        <v/>
      </c>
      <c r="O151" s="399" t="s">
        <v>1417</v>
      </c>
      <c r="P151" s="399" t="str">
        <f ca="1">IFERROR(ROW(INDEX(INDIRECT("'TNX File'!A" &amp; $J151 &amp; ":A" &amp; $H$2),MATCH('TNX File Parse'!O151 &amp; "*",INDIRECT("'TNX File'!A" &amp; $J151 &amp; ":A" &amp; $H$2),0))),"")</f>
        <v/>
      </c>
      <c r="Q151" s="399" t="str">
        <f ca="1">IFERROR(INDEX('TNX File'!A:A,P151,1),"")</f>
        <v/>
      </c>
      <c r="R151" s="399" t="str">
        <f t="shared" ca="1" si="12"/>
        <v/>
      </c>
      <c r="S151" s="399" t="str">
        <f t="shared" ca="1" si="13"/>
        <v/>
      </c>
      <c r="T151" s="399" t="str">
        <f t="shared" ca="1" si="14"/>
        <v/>
      </c>
    </row>
    <row r="152" spans="7:20" x14ac:dyDescent="0.25">
      <c r="G152" s="399">
        <v>151</v>
      </c>
      <c r="H152" s="399"/>
      <c r="I152" s="399" t="str">
        <f t="shared" si="10"/>
        <v>TowerRec=151</v>
      </c>
      <c r="J152" s="406" t="str">
        <f ca="1">IFERROR(ROW(INDEX(INDIRECT("'TNX File'!A$1:A" &amp; $H$2),MATCH('TNX File Parse'!I152,'TNX File'!A:A,0))),"")</f>
        <v/>
      </c>
      <c r="K152" s="399" t="s">
        <v>1415</v>
      </c>
      <c r="L152" s="399" t="str">
        <f ca="1">IFERROR(ROW(INDEX(INDIRECT("'TNX File'!A" &amp; $J152 &amp; ":A" &amp; $H$2),MATCH('TNX File Parse'!K152 &amp; "*",INDIRECT("'TNX File'!A" &amp; $J152 &amp; ":A" &amp; $H$2),0))),"")</f>
        <v/>
      </c>
      <c r="M152" s="399" t="str">
        <f ca="1">IFERROR(INDEX('TNX File'!A:A,L152,1),"")</f>
        <v/>
      </c>
      <c r="N152" s="399" t="str">
        <f t="shared" ca="1" si="11"/>
        <v/>
      </c>
      <c r="O152" s="399" t="s">
        <v>1417</v>
      </c>
      <c r="P152" s="399" t="str">
        <f ca="1">IFERROR(ROW(INDEX(INDIRECT("'TNX File'!A" &amp; $J152 &amp; ":A" &amp; $H$2),MATCH('TNX File Parse'!O152 &amp; "*",INDIRECT("'TNX File'!A" &amp; $J152 &amp; ":A" &amp; $H$2),0))),"")</f>
        <v/>
      </c>
      <c r="Q152" s="399" t="str">
        <f ca="1">IFERROR(INDEX('TNX File'!A:A,P152,1),"")</f>
        <v/>
      </c>
      <c r="R152" s="399" t="str">
        <f t="shared" ca="1" si="12"/>
        <v/>
      </c>
      <c r="S152" s="399" t="str">
        <f t="shared" ca="1" si="13"/>
        <v/>
      </c>
      <c r="T152" s="399" t="str">
        <f t="shared" ca="1" si="14"/>
        <v/>
      </c>
    </row>
    <row r="153" spans="7:20" x14ac:dyDescent="0.25">
      <c r="G153" s="399">
        <v>152</v>
      </c>
      <c r="H153" s="399"/>
      <c r="I153" s="399" t="str">
        <f t="shared" si="10"/>
        <v>TowerRec=152</v>
      </c>
      <c r="J153" s="406" t="str">
        <f ca="1">IFERROR(ROW(INDEX(INDIRECT("'TNX File'!A$1:A" &amp; $H$2),MATCH('TNX File Parse'!I153,'TNX File'!A:A,0))),"")</f>
        <v/>
      </c>
      <c r="K153" s="399" t="s">
        <v>1415</v>
      </c>
      <c r="L153" s="399" t="str">
        <f ca="1">IFERROR(ROW(INDEX(INDIRECT("'TNX File'!A" &amp; $J153 &amp; ":A" &amp; $H$2),MATCH('TNX File Parse'!K153 &amp; "*",INDIRECT("'TNX File'!A" &amp; $J153 &amp; ":A" &amp; $H$2),0))),"")</f>
        <v/>
      </c>
      <c r="M153" s="399" t="str">
        <f ca="1">IFERROR(INDEX('TNX File'!A:A,L153,1),"")</f>
        <v/>
      </c>
      <c r="N153" s="399" t="str">
        <f t="shared" ca="1" si="11"/>
        <v/>
      </c>
      <c r="O153" s="399" t="s">
        <v>1417</v>
      </c>
      <c r="P153" s="399" t="str">
        <f ca="1">IFERROR(ROW(INDEX(INDIRECT("'TNX File'!A" &amp; $J153 &amp; ":A" &amp; $H$2),MATCH('TNX File Parse'!O153 &amp; "*",INDIRECT("'TNX File'!A" &amp; $J153 &amp; ":A" &amp; $H$2),0))),"")</f>
        <v/>
      </c>
      <c r="Q153" s="399" t="str">
        <f ca="1">IFERROR(INDEX('TNX File'!A:A,P153,1),"")</f>
        <v/>
      </c>
      <c r="R153" s="399" t="str">
        <f t="shared" ca="1" si="12"/>
        <v/>
      </c>
      <c r="S153" s="399" t="str">
        <f t="shared" ca="1" si="13"/>
        <v/>
      </c>
      <c r="T153" s="399" t="str">
        <f t="shared" ca="1" si="14"/>
        <v/>
      </c>
    </row>
    <row r="154" spans="7:20" x14ac:dyDescent="0.25">
      <c r="G154" s="399">
        <v>153</v>
      </c>
      <c r="H154" s="399"/>
      <c r="I154" s="399" t="str">
        <f t="shared" si="10"/>
        <v>TowerRec=153</v>
      </c>
      <c r="J154" s="406" t="str">
        <f ca="1">IFERROR(ROW(INDEX(INDIRECT("'TNX File'!A$1:A" &amp; $H$2),MATCH('TNX File Parse'!I154,'TNX File'!A:A,0))),"")</f>
        <v/>
      </c>
      <c r="K154" s="399" t="s">
        <v>1415</v>
      </c>
      <c r="L154" s="399" t="str">
        <f ca="1">IFERROR(ROW(INDEX(INDIRECT("'TNX File'!A" &amp; $J154 &amp; ":A" &amp; $H$2),MATCH('TNX File Parse'!K154 &amp; "*",INDIRECT("'TNX File'!A" &amp; $J154 &amp; ":A" &amp; $H$2),0))),"")</f>
        <v/>
      </c>
      <c r="M154" s="399" t="str">
        <f ca="1">IFERROR(INDEX('TNX File'!A:A,L154,1),"")</f>
        <v/>
      </c>
      <c r="N154" s="399" t="str">
        <f t="shared" ca="1" si="11"/>
        <v/>
      </c>
      <c r="O154" s="399" t="s">
        <v>1417</v>
      </c>
      <c r="P154" s="399" t="str">
        <f ca="1">IFERROR(ROW(INDEX(INDIRECT("'TNX File'!A" &amp; $J154 &amp; ":A" &amp; $H$2),MATCH('TNX File Parse'!O154 &amp; "*",INDIRECT("'TNX File'!A" &amp; $J154 &amp; ":A" &amp; $H$2),0))),"")</f>
        <v/>
      </c>
      <c r="Q154" s="399" t="str">
        <f ca="1">IFERROR(INDEX('TNX File'!A:A,P154,1),"")</f>
        <v/>
      </c>
      <c r="R154" s="399" t="str">
        <f t="shared" ca="1" si="12"/>
        <v/>
      </c>
      <c r="S154" s="399" t="str">
        <f t="shared" ca="1" si="13"/>
        <v/>
      </c>
      <c r="T154" s="399" t="str">
        <f t="shared" ca="1" si="14"/>
        <v/>
      </c>
    </row>
    <row r="155" spans="7:20" x14ac:dyDescent="0.25">
      <c r="G155" s="399">
        <v>154</v>
      </c>
      <c r="H155" s="399"/>
      <c r="I155" s="399" t="str">
        <f t="shared" si="10"/>
        <v>TowerRec=154</v>
      </c>
      <c r="J155" s="406" t="str">
        <f ca="1">IFERROR(ROW(INDEX(INDIRECT("'TNX File'!A$1:A" &amp; $H$2),MATCH('TNX File Parse'!I155,'TNX File'!A:A,0))),"")</f>
        <v/>
      </c>
      <c r="K155" s="399" t="s">
        <v>1415</v>
      </c>
      <c r="L155" s="399" t="str">
        <f ca="1">IFERROR(ROW(INDEX(INDIRECT("'TNX File'!A" &amp; $J155 &amp; ":A" &amp; $H$2),MATCH('TNX File Parse'!K155 &amp; "*",INDIRECT("'TNX File'!A" &amp; $J155 &amp; ":A" &amp; $H$2),0))),"")</f>
        <v/>
      </c>
      <c r="M155" s="399" t="str">
        <f ca="1">IFERROR(INDEX('TNX File'!A:A,L155,1),"")</f>
        <v/>
      </c>
      <c r="N155" s="399" t="str">
        <f t="shared" ca="1" si="11"/>
        <v/>
      </c>
      <c r="O155" s="399" t="s">
        <v>1417</v>
      </c>
      <c r="P155" s="399" t="str">
        <f ca="1">IFERROR(ROW(INDEX(INDIRECT("'TNX File'!A" &amp; $J155 &amp; ":A" &amp; $H$2),MATCH('TNX File Parse'!O155 &amp; "*",INDIRECT("'TNX File'!A" &amp; $J155 &amp; ":A" &amp; $H$2),0))),"")</f>
        <v/>
      </c>
      <c r="Q155" s="399" t="str">
        <f ca="1">IFERROR(INDEX('TNX File'!A:A,P155,1),"")</f>
        <v/>
      </c>
      <c r="R155" s="399" t="str">
        <f t="shared" ca="1" si="12"/>
        <v/>
      </c>
      <c r="S155" s="399" t="str">
        <f t="shared" ca="1" si="13"/>
        <v/>
      </c>
      <c r="T155" s="399" t="str">
        <f t="shared" ca="1" si="14"/>
        <v/>
      </c>
    </row>
    <row r="156" spans="7:20" x14ac:dyDescent="0.25">
      <c r="G156" s="399">
        <v>155</v>
      </c>
      <c r="H156" s="399"/>
      <c r="I156" s="399" t="str">
        <f t="shared" si="10"/>
        <v>TowerRec=155</v>
      </c>
      <c r="J156" s="406" t="str">
        <f ca="1">IFERROR(ROW(INDEX(INDIRECT("'TNX File'!A$1:A" &amp; $H$2),MATCH('TNX File Parse'!I156,'TNX File'!A:A,0))),"")</f>
        <v/>
      </c>
      <c r="K156" s="399" t="s">
        <v>1415</v>
      </c>
      <c r="L156" s="399" t="str">
        <f ca="1">IFERROR(ROW(INDEX(INDIRECT("'TNX File'!A" &amp; $J156 &amp; ":A" &amp; $H$2),MATCH('TNX File Parse'!K156 &amp; "*",INDIRECT("'TNX File'!A" &amp; $J156 &amp; ":A" &amp; $H$2),0))),"")</f>
        <v/>
      </c>
      <c r="M156" s="399" t="str">
        <f ca="1">IFERROR(INDEX('TNX File'!A:A,L156,1),"")</f>
        <v/>
      </c>
      <c r="N156" s="399" t="str">
        <f t="shared" ca="1" si="11"/>
        <v/>
      </c>
      <c r="O156" s="399" t="s">
        <v>1417</v>
      </c>
      <c r="P156" s="399" t="str">
        <f ca="1">IFERROR(ROW(INDEX(INDIRECT("'TNX File'!A" &amp; $J156 &amp; ":A" &amp; $H$2),MATCH('TNX File Parse'!O156 &amp; "*",INDIRECT("'TNX File'!A" &amp; $J156 &amp; ":A" &amp; $H$2),0))),"")</f>
        <v/>
      </c>
      <c r="Q156" s="399" t="str">
        <f ca="1">IFERROR(INDEX('TNX File'!A:A,P156,1),"")</f>
        <v/>
      </c>
      <c r="R156" s="399" t="str">
        <f t="shared" ca="1" si="12"/>
        <v/>
      </c>
      <c r="S156" s="399" t="str">
        <f t="shared" ca="1" si="13"/>
        <v/>
      </c>
      <c r="T156" s="399" t="str">
        <f t="shared" ca="1" si="14"/>
        <v/>
      </c>
    </row>
    <row r="157" spans="7:20" x14ac:dyDescent="0.25">
      <c r="G157" s="399">
        <v>156</v>
      </c>
      <c r="H157" s="399"/>
      <c r="I157" s="399" t="str">
        <f t="shared" si="10"/>
        <v>TowerRec=156</v>
      </c>
      <c r="J157" s="406" t="str">
        <f ca="1">IFERROR(ROW(INDEX(INDIRECT("'TNX File'!A$1:A" &amp; $H$2),MATCH('TNX File Parse'!I157,'TNX File'!A:A,0))),"")</f>
        <v/>
      </c>
      <c r="K157" s="399" t="s">
        <v>1415</v>
      </c>
      <c r="L157" s="399" t="str">
        <f ca="1">IFERROR(ROW(INDEX(INDIRECT("'TNX File'!A" &amp; $J157 &amp; ":A" &amp; $H$2),MATCH('TNX File Parse'!K157 &amp; "*",INDIRECT("'TNX File'!A" &amp; $J157 &amp; ":A" &amp; $H$2),0))),"")</f>
        <v/>
      </c>
      <c r="M157" s="399" t="str">
        <f ca="1">IFERROR(INDEX('TNX File'!A:A,L157,1),"")</f>
        <v/>
      </c>
      <c r="N157" s="399" t="str">
        <f t="shared" ca="1" si="11"/>
        <v/>
      </c>
      <c r="O157" s="399" t="s">
        <v>1417</v>
      </c>
      <c r="P157" s="399" t="str">
        <f ca="1">IFERROR(ROW(INDEX(INDIRECT("'TNX File'!A" &amp; $J157 &amp; ":A" &amp; $H$2),MATCH('TNX File Parse'!O157 &amp; "*",INDIRECT("'TNX File'!A" &amp; $J157 &amp; ":A" &amp; $H$2),0))),"")</f>
        <v/>
      </c>
      <c r="Q157" s="399" t="str">
        <f ca="1">IFERROR(INDEX('TNX File'!A:A,P157,1),"")</f>
        <v/>
      </c>
      <c r="R157" s="399" t="str">
        <f t="shared" ca="1" si="12"/>
        <v/>
      </c>
      <c r="S157" s="399" t="str">
        <f t="shared" ca="1" si="13"/>
        <v/>
      </c>
      <c r="T157" s="399" t="str">
        <f t="shared" ca="1" si="14"/>
        <v/>
      </c>
    </row>
    <row r="158" spans="7:20" x14ac:dyDescent="0.25">
      <c r="G158" s="399">
        <v>157</v>
      </c>
      <c r="H158" s="399"/>
      <c r="I158" s="399" t="str">
        <f t="shared" si="10"/>
        <v>TowerRec=157</v>
      </c>
      <c r="J158" s="406" t="str">
        <f ca="1">IFERROR(ROW(INDEX(INDIRECT("'TNX File'!A$1:A" &amp; $H$2),MATCH('TNX File Parse'!I158,'TNX File'!A:A,0))),"")</f>
        <v/>
      </c>
      <c r="K158" s="399" t="s">
        <v>1415</v>
      </c>
      <c r="L158" s="399" t="str">
        <f ca="1">IFERROR(ROW(INDEX(INDIRECT("'TNX File'!A" &amp; $J158 &amp; ":A" &amp; $H$2),MATCH('TNX File Parse'!K158 &amp; "*",INDIRECT("'TNX File'!A" &amp; $J158 &amp; ":A" &amp; $H$2),0))),"")</f>
        <v/>
      </c>
      <c r="M158" s="399" t="str">
        <f ca="1">IFERROR(INDEX('TNX File'!A:A,L158,1),"")</f>
        <v/>
      </c>
      <c r="N158" s="399" t="str">
        <f t="shared" ca="1" si="11"/>
        <v/>
      </c>
      <c r="O158" s="399" t="s">
        <v>1417</v>
      </c>
      <c r="P158" s="399" t="str">
        <f ca="1">IFERROR(ROW(INDEX(INDIRECT("'TNX File'!A" &amp; $J158 &amp; ":A" &amp; $H$2),MATCH('TNX File Parse'!O158 &amp; "*",INDIRECT("'TNX File'!A" &amp; $J158 &amp; ":A" &amp; $H$2),0))),"")</f>
        <v/>
      </c>
      <c r="Q158" s="399" t="str">
        <f ca="1">IFERROR(INDEX('TNX File'!A:A,P158,1),"")</f>
        <v/>
      </c>
      <c r="R158" s="399" t="str">
        <f t="shared" ca="1" si="12"/>
        <v/>
      </c>
      <c r="S158" s="399" t="str">
        <f t="shared" ca="1" si="13"/>
        <v/>
      </c>
      <c r="T158" s="399" t="str">
        <f t="shared" ca="1" si="14"/>
        <v/>
      </c>
    </row>
    <row r="159" spans="7:20" x14ac:dyDescent="0.25">
      <c r="G159" s="399">
        <v>158</v>
      </c>
      <c r="H159" s="399"/>
      <c r="I159" s="399" t="str">
        <f t="shared" si="10"/>
        <v>TowerRec=158</v>
      </c>
      <c r="J159" s="406" t="str">
        <f ca="1">IFERROR(ROW(INDEX(INDIRECT("'TNX File'!A$1:A" &amp; $H$2),MATCH('TNX File Parse'!I159,'TNX File'!A:A,0))),"")</f>
        <v/>
      </c>
      <c r="K159" s="399" t="s">
        <v>1415</v>
      </c>
      <c r="L159" s="399" t="str">
        <f ca="1">IFERROR(ROW(INDEX(INDIRECT("'TNX File'!A" &amp; $J159 &amp; ":A" &amp; $H$2),MATCH('TNX File Parse'!K159 &amp; "*",INDIRECT("'TNX File'!A" &amp; $J159 &amp; ":A" &amp; $H$2),0))),"")</f>
        <v/>
      </c>
      <c r="M159" s="399" t="str">
        <f ca="1">IFERROR(INDEX('TNX File'!A:A,L159,1),"")</f>
        <v/>
      </c>
      <c r="N159" s="399" t="str">
        <f t="shared" ca="1" si="11"/>
        <v/>
      </c>
      <c r="O159" s="399" t="s">
        <v>1417</v>
      </c>
      <c r="P159" s="399" t="str">
        <f ca="1">IFERROR(ROW(INDEX(INDIRECT("'TNX File'!A" &amp; $J159 &amp; ":A" &amp; $H$2),MATCH('TNX File Parse'!O159 &amp; "*",INDIRECT("'TNX File'!A" &amp; $J159 &amp; ":A" &amp; $H$2),0))),"")</f>
        <v/>
      </c>
      <c r="Q159" s="399" t="str">
        <f ca="1">IFERROR(INDEX('TNX File'!A:A,P159,1),"")</f>
        <v/>
      </c>
      <c r="R159" s="399" t="str">
        <f t="shared" ca="1" si="12"/>
        <v/>
      </c>
      <c r="S159" s="399" t="str">
        <f t="shared" ca="1" si="13"/>
        <v/>
      </c>
      <c r="T159" s="399" t="str">
        <f t="shared" ca="1" si="14"/>
        <v/>
      </c>
    </row>
    <row r="160" spans="7:20" x14ac:dyDescent="0.25">
      <c r="G160" s="399">
        <v>159</v>
      </c>
      <c r="H160" s="399"/>
      <c r="I160" s="399" t="str">
        <f t="shared" si="10"/>
        <v>TowerRec=159</v>
      </c>
      <c r="J160" s="406" t="str">
        <f ca="1">IFERROR(ROW(INDEX(INDIRECT("'TNX File'!A$1:A" &amp; $H$2),MATCH('TNX File Parse'!I160,'TNX File'!A:A,0))),"")</f>
        <v/>
      </c>
      <c r="K160" s="399" t="s">
        <v>1415</v>
      </c>
      <c r="L160" s="399" t="str">
        <f ca="1">IFERROR(ROW(INDEX(INDIRECT("'TNX File'!A" &amp; $J160 &amp; ":A" &amp; $H$2),MATCH('TNX File Parse'!K160 &amp; "*",INDIRECT("'TNX File'!A" &amp; $J160 &amp; ":A" &amp; $H$2),0))),"")</f>
        <v/>
      </c>
      <c r="M160" s="399" t="str">
        <f ca="1">IFERROR(INDEX('TNX File'!A:A,L160,1),"")</f>
        <v/>
      </c>
      <c r="N160" s="399" t="str">
        <f t="shared" ca="1" si="11"/>
        <v/>
      </c>
      <c r="O160" s="399" t="s">
        <v>1417</v>
      </c>
      <c r="P160" s="399" t="str">
        <f ca="1">IFERROR(ROW(INDEX(INDIRECT("'TNX File'!A" &amp; $J160 &amp; ":A" &amp; $H$2),MATCH('TNX File Parse'!O160 &amp; "*",INDIRECT("'TNX File'!A" &amp; $J160 &amp; ":A" &amp; $H$2),0))),"")</f>
        <v/>
      </c>
      <c r="Q160" s="399" t="str">
        <f ca="1">IFERROR(INDEX('TNX File'!A:A,P160,1),"")</f>
        <v/>
      </c>
      <c r="R160" s="399" t="str">
        <f t="shared" ca="1" si="12"/>
        <v/>
      </c>
      <c r="S160" s="399" t="str">
        <f t="shared" ca="1" si="13"/>
        <v/>
      </c>
      <c r="T160" s="399" t="str">
        <f t="shared" ca="1" si="14"/>
        <v/>
      </c>
    </row>
    <row r="161" spans="7:20" x14ac:dyDescent="0.25">
      <c r="G161" s="399">
        <v>160</v>
      </c>
      <c r="H161" s="399"/>
      <c r="I161" s="399" t="str">
        <f t="shared" si="10"/>
        <v>TowerRec=160</v>
      </c>
      <c r="J161" s="406" t="str">
        <f ca="1">IFERROR(ROW(INDEX(INDIRECT("'TNX File'!A$1:A" &amp; $H$2),MATCH('TNX File Parse'!I161,'TNX File'!A:A,0))),"")</f>
        <v/>
      </c>
      <c r="K161" s="399" t="s">
        <v>1415</v>
      </c>
      <c r="L161" s="399" t="str">
        <f ca="1">IFERROR(ROW(INDEX(INDIRECT("'TNX File'!A" &amp; $J161 &amp; ":A" &amp; $H$2),MATCH('TNX File Parse'!K161 &amp; "*",INDIRECT("'TNX File'!A" &amp; $J161 &amp; ":A" &amp; $H$2),0))),"")</f>
        <v/>
      </c>
      <c r="M161" s="399" t="str">
        <f ca="1">IFERROR(INDEX('TNX File'!A:A,L161,1),"")</f>
        <v/>
      </c>
      <c r="N161" s="399" t="str">
        <f t="shared" ca="1" si="11"/>
        <v/>
      </c>
      <c r="O161" s="399" t="s">
        <v>1417</v>
      </c>
      <c r="P161" s="399" t="str">
        <f ca="1">IFERROR(ROW(INDEX(INDIRECT("'TNX File'!A" &amp; $J161 &amp; ":A" &amp; $H$2),MATCH('TNX File Parse'!O161 &amp; "*",INDIRECT("'TNX File'!A" &amp; $J161 &amp; ":A" &amp; $H$2),0))),"")</f>
        <v/>
      </c>
      <c r="Q161" s="399" t="str">
        <f ca="1">IFERROR(INDEX('TNX File'!A:A,P161,1),"")</f>
        <v/>
      </c>
      <c r="R161" s="399" t="str">
        <f t="shared" ca="1" si="12"/>
        <v/>
      </c>
      <c r="S161" s="399" t="str">
        <f t="shared" ca="1" si="13"/>
        <v/>
      </c>
      <c r="T161" s="399" t="str">
        <f t="shared" ca="1" si="14"/>
        <v/>
      </c>
    </row>
    <row r="162" spans="7:20" x14ac:dyDescent="0.25">
      <c r="G162" s="399">
        <v>161</v>
      </c>
      <c r="H162" s="399"/>
      <c r="I162" s="399" t="str">
        <f t="shared" si="10"/>
        <v>TowerRec=161</v>
      </c>
      <c r="J162" s="406" t="str">
        <f ca="1">IFERROR(ROW(INDEX(INDIRECT("'TNX File'!A$1:A" &amp; $H$2),MATCH('TNX File Parse'!I162,'TNX File'!A:A,0))),"")</f>
        <v/>
      </c>
      <c r="K162" s="399" t="s">
        <v>1415</v>
      </c>
      <c r="L162" s="399" t="str">
        <f ca="1">IFERROR(ROW(INDEX(INDIRECT("'TNX File'!A" &amp; $J162 &amp; ":A" &amp; $H$2),MATCH('TNX File Parse'!K162 &amp; "*",INDIRECT("'TNX File'!A" &amp; $J162 &amp; ":A" &amp; $H$2),0))),"")</f>
        <v/>
      </c>
      <c r="M162" s="399" t="str">
        <f ca="1">IFERROR(INDEX('TNX File'!A:A,L162,1),"")</f>
        <v/>
      </c>
      <c r="N162" s="399" t="str">
        <f t="shared" ca="1" si="11"/>
        <v/>
      </c>
      <c r="O162" s="399" t="s">
        <v>1417</v>
      </c>
      <c r="P162" s="399" t="str">
        <f ca="1">IFERROR(ROW(INDEX(INDIRECT("'TNX File'!A" &amp; $J162 &amp; ":A" &amp; $H$2),MATCH('TNX File Parse'!O162 &amp; "*",INDIRECT("'TNX File'!A" &amp; $J162 &amp; ":A" &amp; $H$2),0))),"")</f>
        <v/>
      </c>
      <c r="Q162" s="399" t="str">
        <f ca="1">IFERROR(INDEX('TNX File'!A:A,P162,1),"")</f>
        <v/>
      </c>
      <c r="R162" s="399" t="str">
        <f t="shared" ca="1" si="12"/>
        <v/>
      </c>
      <c r="S162" s="399" t="str">
        <f t="shared" ca="1" si="13"/>
        <v/>
      </c>
      <c r="T162" s="399" t="str">
        <f t="shared" ca="1" si="14"/>
        <v/>
      </c>
    </row>
    <row r="163" spans="7:20" x14ac:dyDescent="0.25">
      <c r="G163" s="399">
        <v>162</v>
      </c>
      <c r="H163" s="399"/>
      <c r="I163" s="399" t="str">
        <f t="shared" si="10"/>
        <v>TowerRec=162</v>
      </c>
      <c r="J163" s="406" t="str">
        <f ca="1">IFERROR(ROW(INDEX(INDIRECT("'TNX File'!A$1:A" &amp; $H$2),MATCH('TNX File Parse'!I163,'TNX File'!A:A,0))),"")</f>
        <v/>
      </c>
      <c r="K163" s="399" t="s">
        <v>1415</v>
      </c>
      <c r="L163" s="399" t="str">
        <f ca="1">IFERROR(ROW(INDEX(INDIRECT("'TNX File'!A" &amp; $J163 &amp; ":A" &amp; $H$2),MATCH('TNX File Parse'!K163 &amp; "*",INDIRECT("'TNX File'!A" &amp; $J163 &amp; ":A" &amp; $H$2),0))),"")</f>
        <v/>
      </c>
      <c r="M163" s="399" t="str">
        <f ca="1">IFERROR(INDEX('TNX File'!A:A,L163,1),"")</f>
        <v/>
      </c>
      <c r="N163" s="399" t="str">
        <f t="shared" ca="1" si="11"/>
        <v/>
      </c>
      <c r="O163" s="399" t="s">
        <v>1417</v>
      </c>
      <c r="P163" s="399" t="str">
        <f ca="1">IFERROR(ROW(INDEX(INDIRECT("'TNX File'!A" &amp; $J163 &amp; ":A" &amp; $H$2),MATCH('TNX File Parse'!O163 &amp; "*",INDIRECT("'TNX File'!A" &amp; $J163 &amp; ":A" &amp; $H$2),0))),"")</f>
        <v/>
      </c>
      <c r="Q163" s="399" t="str">
        <f ca="1">IFERROR(INDEX('TNX File'!A:A,P163,1),"")</f>
        <v/>
      </c>
      <c r="R163" s="399" t="str">
        <f t="shared" ca="1" si="12"/>
        <v/>
      </c>
      <c r="S163" s="399" t="str">
        <f t="shared" ca="1" si="13"/>
        <v/>
      </c>
      <c r="T163" s="399" t="str">
        <f t="shared" ca="1" si="14"/>
        <v/>
      </c>
    </row>
    <row r="164" spans="7:20" x14ac:dyDescent="0.25">
      <c r="G164" s="399">
        <v>163</v>
      </c>
      <c r="H164" s="399"/>
      <c r="I164" s="399" t="str">
        <f t="shared" si="10"/>
        <v>TowerRec=163</v>
      </c>
      <c r="J164" s="406" t="str">
        <f ca="1">IFERROR(ROW(INDEX(INDIRECT("'TNX File'!A$1:A" &amp; $H$2),MATCH('TNX File Parse'!I164,'TNX File'!A:A,0))),"")</f>
        <v/>
      </c>
      <c r="K164" s="399" t="s">
        <v>1415</v>
      </c>
      <c r="L164" s="399" t="str">
        <f ca="1">IFERROR(ROW(INDEX(INDIRECT("'TNX File'!A" &amp; $J164 &amp; ":A" &amp; $H$2),MATCH('TNX File Parse'!K164 &amp; "*",INDIRECT("'TNX File'!A" &amp; $J164 &amp; ":A" &amp; $H$2),0))),"")</f>
        <v/>
      </c>
      <c r="M164" s="399" t="str">
        <f ca="1">IFERROR(INDEX('TNX File'!A:A,L164,1),"")</f>
        <v/>
      </c>
      <c r="N164" s="399" t="str">
        <f t="shared" ca="1" si="11"/>
        <v/>
      </c>
      <c r="O164" s="399" t="s">
        <v>1417</v>
      </c>
      <c r="P164" s="399" t="str">
        <f ca="1">IFERROR(ROW(INDEX(INDIRECT("'TNX File'!A" &amp; $J164 &amp; ":A" &amp; $H$2),MATCH('TNX File Parse'!O164 &amp; "*",INDIRECT("'TNX File'!A" &amp; $J164 &amp; ":A" &amp; $H$2),0))),"")</f>
        <v/>
      </c>
      <c r="Q164" s="399" t="str">
        <f ca="1">IFERROR(INDEX('TNX File'!A:A,P164,1),"")</f>
        <v/>
      </c>
      <c r="R164" s="399" t="str">
        <f t="shared" ca="1" si="12"/>
        <v/>
      </c>
      <c r="S164" s="399" t="str">
        <f t="shared" ca="1" si="13"/>
        <v/>
      </c>
      <c r="T164" s="399" t="str">
        <f t="shared" ca="1" si="14"/>
        <v/>
      </c>
    </row>
    <row r="165" spans="7:20" x14ac:dyDescent="0.25">
      <c r="G165" s="399">
        <v>164</v>
      </c>
      <c r="H165" s="399"/>
      <c r="I165" s="399" t="str">
        <f t="shared" si="10"/>
        <v>TowerRec=164</v>
      </c>
      <c r="J165" s="406" t="str">
        <f ca="1">IFERROR(ROW(INDEX(INDIRECT("'TNX File'!A$1:A" &amp; $H$2),MATCH('TNX File Parse'!I165,'TNX File'!A:A,0))),"")</f>
        <v/>
      </c>
      <c r="K165" s="399" t="s">
        <v>1415</v>
      </c>
      <c r="L165" s="399" t="str">
        <f ca="1">IFERROR(ROW(INDEX(INDIRECT("'TNX File'!A" &amp; $J165 &amp; ":A" &amp; $H$2),MATCH('TNX File Parse'!K165 &amp; "*",INDIRECT("'TNX File'!A" &amp; $J165 &amp; ":A" &amp; $H$2),0))),"")</f>
        <v/>
      </c>
      <c r="M165" s="399" t="str">
        <f ca="1">IFERROR(INDEX('TNX File'!A:A,L165,1),"")</f>
        <v/>
      </c>
      <c r="N165" s="399" t="str">
        <f t="shared" ca="1" si="11"/>
        <v/>
      </c>
      <c r="O165" s="399" t="s">
        <v>1417</v>
      </c>
      <c r="P165" s="399" t="str">
        <f ca="1">IFERROR(ROW(INDEX(INDIRECT("'TNX File'!A" &amp; $J165 &amp; ":A" &amp; $H$2),MATCH('TNX File Parse'!O165 &amp; "*",INDIRECT("'TNX File'!A" &amp; $J165 &amp; ":A" &amp; $H$2),0))),"")</f>
        <v/>
      </c>
      <c r="Q165" s="399" t="str">
        <f ca="1">IFERROR(INDEX('TNX File'!A:A,P165,1),"")</f>
        <v/>
      </c>
      <c r="R165" s="399" t="str">
        <f t="shared" ca="1" si="12"/>
        <v/>
      </c>
      <c r="S165" s="399" t="str">
        <f t="shared" ca="1" si="13"/>
        <v/>
      </c>
      <c r="T165" s="399" t="str">
        <f t="shared" ca="1" si="14"/>
        <v/>
      </c>
    </row>
    <row r="166" spans="7:20" x14ac:dyDescent="0.25">
      <c r="G166" s="399">
        <v>165</v>
      </c>
      <c r="H166" s="399"/>
      <c r="I166" s="399" t="str">
        <f t="shared" si="10"/>
        <v>TowerRec=165</v>
      </c>
      <c r="J166" s="406" t="str">
        <f ca="1">IFERROR(ROW(INDEX(INDIRECT("'TNX File'!A$1:A" &amp; $H$2),MATCH('TNX File Parse'!I166,'TNX File'!A:A,0))),"")</f>
        <v/>
      </c>
      <c r="K166" s="399" t="s">
        <v>1415</v>
      </c>
      <c r="L166" s="399" t="str">
        <f ca="1">IFERROR(ROW(INDEX(INDIRECT("'TNX File'!A" &amp; $J166 &amp; ":A" &amp; $H$2),MATCH('TNX File Parse'!K166 &amp; "*",INDIRECT("'TNX File'!A" &amp; $J166 &amp; ":A" &amp; $H$2),0))),"")</f>
        <v/>
      </c>
      <c r="M166" s="399" t="str">
        <f ca="1">IFERROR(INDEX('TNX File'!A:A,L166,1),"")</f>
        <v/>
      </c>
      <c r="N166" s="399" t="str">
        <f t="shared" ca="1" si="11"/>
        <v/>
      </c>
      <c r="O166" s="399" t="s">
        <v>1417</v>
      </c>
      <c r="P166" s="399" t="str">
        <f ca="1">IFERROR(ROW(INDEX(INDIRECT("'TNX File'!A" &amp; $J166 &amp; ":A" &amp; $H$2),MATCH('TNX File Parse'!O166 &amp; "*",INDIRECT("'TNX File'!A" &amp; $J166 &amp; ":A" &amp; $H$2),0))),"")</f>
        <v/>
      </c>
      <c r="Q166" s="399" t="str">
        <f ca="1">IFERROR(INDEX('TNX File'!A:A,P166,1),"")</f>
        <v/>
      </c>
      <c r="R166" s="399" t="str">
        <f t="shared" ca="1" si="12"/>
        <v/>
      </c>
      <c r="S166" s="399" t="str">
        <f t="shared" ca="1" si="13"/>
        <v/>
      </c>
      <c r="T166" s="399" t="str">
        <f t="shared" ca="1" si="14"/>
        <v/>
      </c>
    </row>
    <row r="167" spans="7:20" x14ac:dyDescent="0.25">
      <c r="G167" s="399">
        <v>166</v>
      </c>
      <c r="H167" s="399"/>
      <c r="I167" s="399" t="str">
        <f t="shared" si="10"/>
        <v>TowerRec=166</v>
      </c>
      <c r="J167" s="406" t="str">
        <f ca="1">IFERROR(ROW(INDEX(INDIRECT("'TNX File'!A$1:A" &amp; $H$2),MATCH('TNX File Parse'!I167,'TNX File'!A:A,0))),"")</f>
        <v/>
      </c>
      <c r="K167" s="399" t="s">
        <v>1415</v>
      </c>
      <c r="L167" s="399" t="str">
        <f ca="1">IFERROR(ROW(INDEX(INDIRECT("'TNX File'!A" &amp; $J167 &amp; ":A" &amp; $H$2),MATCH('TNX File Parse'!K167 &amp; "*",INDIRECT("'TNX File'!A" &amp; $J167 &amp; ":A" &amp; $H$2),0))),"")</f>
        <v/>
      </c>
      <c r="M167" s="399" t="str">
        <f ca="1">IFERROR(INDEX('TNX File'!A:A,L167,1),"")</f>
        <v/>
      </c>
      <c r="N167" s="399" t="str">
        <f t="shared" ca="1" si="11"/>
        <v/>
      </c>
      <c r="O167" s="399" t="s">
        <v>1417</v>
      </c>
      <c r="P167" s="399" t="str">
        <f ca="1">IFERROR(ROW(INDEX(INDIRECT("'TNX File'!A" &amp; $J167 &amp; ":A" &amp; $H$2),MATCH('TNX File Parse'!O167 &amp; "*",INDIRECT("'TNX File'!A" &amp; $J167 &amp; ":A" &amp; $H$2),0))),"")</f>
        <v/>
      </c>
      <c r="Q167" s="399" t="str">
        <f ca="1">IFERROR(INDEX('TNX File'!A:A,P167,1),"")</f>
        <v/>
      </c>
      <c r="R167" s="399" t="str">
        <f t="shared" ca="1" si="12"/>
        <v/>
      </c>
      <c r="S167" s="399" t="str">
        <f t="shared" ca="1" si="13"/>
        <v/>
      </c>
      <c r="T167" s="399" t="str">
        <f t="shared" ca="1" si="14"/>
        <v/>
      </c>
    </row>
    <row r="168" spans="7:20" x14ac:dyDescent="0.25">
      <c r="G168" s="399">
        <v>167</v>
      </c>
      <c r="H168" s="399"/>
      <c r="I168" s="399" t="str">
        <f t="shared" si="10"/>
        <v>TowerRec=167</v>
      </c>
      <c r="J168" s="406" t="str">
        <f ca="1">IFERROR(ROW(INDEX(INDIRECT("'TNX File'!A$1:A" &amp; $H$2),MATCH('TNX File Parse'!I168,'TNX File'!A:A,0))),"")</f>
        <v/>
      </c>
      <c r="K168" s="399" t="s">
        <v>1415</v>
      </c>
      <c r="L168" s="399" t="str">
        <f ca="1">IFERROR(ROW(INDEX(INDIRECT("'TNX File'!A" &amp; $J168 &amp; ":A" &amp; $H$2),MATCH('TNX File Parse'!K168 &amp; "*",INDIRECT("'TNX File'!A" &amp; $J168 &amp; ":A" &amp; $H$2),0))),"")</f>
        <v/>
      </c>
      <c r="M168" s="399" t="str">
        <f ca="1">IFERROR(INDEX('TNX File'!A:A,L168,1),"")</f>
        <v/>
      </c>
      <c r="N168" s="399" t="str">
        <f t="shared" ca="1" si="11"/>
        <v/>
      </c>
      <c r="O168" s="399" t="s">
        <v>1417</v>
      </c>
      <c r="P168" s="399" t="str">
        <f ca="1">IFERROR(ROW(INDEX(INDIRECT("'TNX File'!A" &amp; $J168 &amp; ":A" &amp; $H$2),MATCH('TNX File Parse'!O168 &amp; "*",INDIRECT("'TNX File'!A" &amp; $J168 &amp; ":A" &amp; $H$2),0))),"")</f>
        <v/>
      </c>
      <c r="Q168" s="399" t="str">
        <f ca="1">IFERROR(INDEX('TNX File'!A:A,P168,1),"")</f>
        <v/>
      </c>
      <c r="R168" s="399" t="str">
        <f t="shared" ca="1" si="12"/>
        <v/>
      </c>
      <c r="S168" s="399" t="str">
        <f t="shared" ca="1" si="13"/>
        <v/>
      </c>
      <c r="T168" s="399" t="str">
        <f t="shared" ca="1" si="14"/>
        <v/>
      </c>
    </row>
    <row r="169" spans="7:20" x14ac:dyDescent="0.25">
      <c r="G169" s="399">
        <v>168</v>
      </c>
      <c r="H169" s="399"/>
      <c r="I169" s="399" t="str">
        <f t="shared" si="10"/>
        <v>TowerRec=168</v>
      </c>
      <c r="J169" s="406" t="str">
        <f ca="1">IFERROR(ROW(INDEX(INDIRECT("'TNX File'!A$1:A" &amp; $H$2),MATCH('TNX File Parse'!I169,'TNX File'!A:A,0))),"")</f>
        <v/>
      </c>
      <c r="K169" s="399" t="s">
        <v>1415</v>
      </c>
      <c r="L169" s="399" t="str">
        <f ca="1">IFERROR(ROW(INDEX(INDIRECT("'TNX File'!A" &amp; $J169 &amp; ":A" &amp; $H$2),MATCH('TNX File Parse'!K169 &amp; "*",INDIRECT("'TNX File'!A" &amp; $J169 &amp; ":A" &amp; $H$2),0))),"")</f>
        <v/>
      </c>
      <c r="M169" s="399" t="str">
        <f ca="1">IFERROR(INDEX('TNX File'!A:A,L169,1),"")</f>
        <v/>
      </c>
      <c r="N169" s="399" t="str">
        <f t="shared" ca="1" si="11"/>
        <v/>
      </c>
      <c r="O169" s="399" t="s">
        <v>1417</v>
      </c>
      <c r="P169" s="399" t="str">
        <f ca="1">IFERROR(ROW(INDEX(INDIRECT("'TNX File'!A" &amp; $J169 &amp; ":A" &amp; $H$2),MATCH('TNX File Parse'!O169 &amp; "*",INDIRECT("'TNX File'!A" &amp; $J169 &amp; ":A" &amp; $H$2),0))),"")</f>
        <v/>
      </c>
      <c r="Q169" s="399" t="str">
        <f ca="1">IFERROR(INDEX('TNX File'!A:A,P169,1),"")</f>
        <v/>
      </c>
      <c r="R169" s="399" t="str">
        <f t="shared" ca="1" si="12"/>
        <v/>
      </c>
      <c r="S169" s="399" t="str">
        <f t="shared" ca="1" si="13"/>
        <v/>
      </c>
      <c r="T169" s="399" t="str">
        <f t="shared" ca="1" si="14"/>
        <v/>
      </c>
    </row>
    <row r="170" spans="7:20" x14ac:dyDescent="0.25">
      <c r="G170" s="399">
        <v>169</v>
      </c>
      <c r="H170" s="399"/>
      <c r="I170" s="399" t="str">
        <f t="shared" si="10"/>
        <v>TowerRec=169</v>
      </c>
      <c r="J170" s="406" t="str">
        <f ca="1">IFERROR(ROW(INDEX(INDIRECT("'TNX File'!A$1:A" &amp; $H$2),MATCH('TNX File Parse'!I170,'TNX File'!A:A,0))),"")</f>
        <v/>
      </c>
      <c r="K170" s="399" t="s">
        <v>1415</v>
      </c>
      <c r="L170" s="399" t="str">
        <f ca="1">IFERROR(ROW(INDEX(INDIRECT("'TNX File'!A" &amp; $J170 &amp; ":A" &amp; $H$2),MATCH('TNX File Parse'!K170 &amp; "*",INDIRECT("'TNX File'!A" &amp; $J170 &amp; ":A" &amp; $H$2),0))),"")</f>
        <v/>
      </c>
      <c r="M170" s="399" t="str">
        <f ca="1">IFERROR(INDEX('TNX File'!A:A,L170,1),"")</f>
        <v/>
      </c>
      <c r="N170" s="399" t="str">
        <f t="shared" ca="1" si="11"/>
        <v/>
      </c>
      <c r="O170" s="399" t="s">
        <v>1417</v>
      </c>
      <c r="P170" s="399" t="str">
        <f ca="1">IFERROR(ROW(INDEX(INDIRECT("'TNX File'!A" &amp; $J170 &amp; ":A" &amp; $H$2),MATCH('TNX File Parse'!O170 &amp; "*",INDIRECT("'TNX File'!A" &amp; $J170 &amp; ":A" &amp; $H$2),0))),"")</f>
        <v/>
      </c>
      <c r="Q170" s="399" t="str">
        <f ca="1">IFERROR(INDEX('TNX File'!A:A,P170,1),"")</f>
        <v/>
      </c>
      <c r="R170" s="399" t="str">
        <f t="shared" ca="1" si="12"/>
        <v/>
      </c>
      <c r="S170" s="399" t="str">
        <f t="shared" ca="1" si="13"/>
        <v/>
      </c>
      <c r="T170" s="399" t="str">
        <f t="shared" ca="1" si="14"/>
        <v/>
      </c>
    </row>
    <row r="171" spans="7:20" x14ac:dyDescent="0.25">
      <c r="G171" s="399">
        <v>170</v>
      </c>
      <c r="H171" s="399"/>
      <c r="I171" s="399" t="str">
        <f t="shared" si="10"/>
        <v>TowerRec=170</v>
      </c>
      <c r="J171" s="406" t="str">
        <f ca="1">IFERROR(ROW(INDEX(INDIRECT("'TNX File'!A$1:A" &amp; $H$2),MATCH('TNX File Parse'!I171,'TNX File'!A:A,0))),"")</f>
        <v/>
      </c>
      <c r="K171" s="399" t="s">
        <v>1415</v>
      </c>
      <c r="L171" s="399" t="str">
        <f ca="1">IFERROR(ROW(INDEX(INDIRECT("'TNX File'!A" &amp; $J171 &amp; ":A" &amp; $H$2),MATCH('TNX File Parse'!K171 &amp; "*",INDIRECT("'TNX File'!A" &amp; $J171 &amp; ":A" &amp; $H$2),0))),"")</f>
        <v/>
      </c>
      <c r="M171" s="399" t="str">
        <f ca="1">IFERROR(INDEX('TNX File'!A:A,L171,1),"")</f>
        <v/>
      </c>
      <c r="N171" s="399" t="str">
        <f t="shared" ca="1" si="11"/>
        <v/>
      </c>
      <c r="O171" s="399" t="s">
        <v>1417</v>
      </c>
      <c r="P171" s="399" t="str">
        <f ca="1">IFERROR(ROW(INDEX(INDIRECT("'TNX File'!A" &amp; $J171 &amp; ":A" &amp; $H$2),MATCH('TNX File Parse'!O171 &amp; "*",INDIRECT("'TNX File'!A" &amp; $J171 &amp; ":A" &amp; $H$2),0))),"")</f>
        <v/>
      </c>
      <c r="Q171" s="399" t="str">
        <f ca="1">IFERROR(INDEX('TNX File'!A:A,P171,1),"")</f>
        <v/>
      </c>
      <c r="R171" s="399" t="str">
        <f t="shared" ca="1" si="12"/>
        <v/>
      </c>
      <c r="S171" s="399" t="str">
        <f t="shared" ca="1" si="13"/>
        <v/>
      </c>
      <c r="T171" s="399" t="str">
        <f t="shared" ca="1" si="14"/>
        <v/>
      </c>
    </row>
    <row r="172" spans="7:20" x14ac:dyDescent="0.25">
      <c r="G172" s="399">
        <v>171</v>
      </c>
      <c r="H172" s="399"/>
      <c r="I172" s="399" t="str">
        <f t="shared" si="10"/>
        <v>TowerRec=171</v>
      </c>
      <c r="J172" s="406" t="str">
        <f ca="1">IFERROR(ROW(INDEX(INDIRECT("'TNX File'!A$1:A" &amp; $H$2),MATCH('TNX File Parse'!I172,'TNX File'!A:A,0))),"")</f>
        <v/>
      </c>
      <c r="K172" s="399" t="s">
        <v>1415</v>
      </c>
      <c r="L172" s="399" t="str">
        <f ca="1">IFERROR(ROW(INDEX(INDIRECT("'TNX File'!A" &amp; $J172 &amp; ":A" &amp; $H$2),MATCH('TNX File Parse'!K172 &amp; "*",INDIRECT("'TNX File'!A" &amp; $J172 &amp; ":A" &amp; $H$2),0))),"")</f>
        <v/>
      </c>
      <c r="M172" s="399" t="str">
        <f ca="1">IFERROR(INDEX('TNX File'!A:A,L172,1),"")</f>
        <v/>
      </c>
      <c r="N172" s="399" t="str">
        <f t="shared" ca="1" si="11"/>
        <v/>
      </c>
      <c r="O172" s="399" t="s">
        <v>1417</v>
      </c>
      <c r="P172" s="399" t="str">
        <f ca="1">IFERROR(ROW(INDEX(INDIRECT("'TNX File'!A" &amp; $J172 &amp; ":A" &amp; $H$2),MATCH('TNX File Parse'!O172 &amp; "*",INDIRECT("'TNX File'!A" &amp; $J172 &amp; ":A" &amp; $H$2),0))),"")</f>
        <v/>
      </c>
      <c r="Q172" s="399" t="str">
        <f ca="1">IFERROR(INDEX('TNX File'!A:A,P172,1),"")</f>
        <v/>
      </c>
      <c r="R172" s="399" t="str">
        <f t="shared" ca="1" si="12"/>
        <v/>
      </c>
      <c r="S172" s="399" t="str">
        <f t="shared" ca="1" si="13"/>
        <v/>
      </c>
      <c r="T172" s="399" t="str">
        <f t="shared" ca="1" si="14"/>
        <v/>
      </c>
    </row>
    <row r="173" spans="7:20" x14ac:dyDescent="0.25">
      <c r="G173" s="399">
        <v>172</v>
      </c>
      <c r="H173" s="399"/>
      <c r="I173" s="399" t="str">
        <f t="shared" si="10"/>
        <v>TowerRec=172</v>
      </c>
      <c r="J173" s="406" t="str">
        <f ca="1">IFERROR(ROW(INDEX(INDIRECT("'TNX File'!A$1:A" &amp; $H$2),MATCH('TNX File Parse'!I173,'TNX File'!A:A,0))),"")</f>
        <v/>
      </c>
      <c r="K173" s="399" t="s">
        <v>1415</v>
      </c>
      <c r="L173" s="399" t="str">
        <f ca="1">IFERROR(ROW(INDEX(INDIRECT("'TNX File'!A" &amp; $J173 &amp; ":A" &amp; $H$2),MATCH('TNX File Parse'!K173 &amp; "*",INDIRECT("'TNX File'!A" &amp; $J173 &amp; ":A" &amp; $H$2),0))),"")</f>
        <v/>
      </c>
      <c r="M173" s="399" t="str">
        <f ca="1">IFERROR(INDEX('TNX File'!A:A,L173,1),"")</f>
        <v/>
      </c>
      <c r="N173" s="399" t="str">
        <f t="shared" ca="1" si="11"/>
        <v/>
      </c>
      <c r="O173" s="399" t="s">
        <v>1417</v>
      </c>
      <c r="P173" s="399" t="str">
        <f ca="1">IFERROR(ROW(INDEX(INDIRECT("'TNX File'!A" &amp; $J173 &amp; ":A" &amp; $H$2),MATCH('TNX File Parse'!O173 &amp; "*",INDIRECT("'TNX File'!A" &amp; $J173 &amp; ":A" &amp; $H$2),0))),"")</f>
        <v/>
      </c>
      <c r="Q173" s="399" t="str">
        <f ca="1">IFERROR(INDEX('TNX File'!A:A,P173,1),"")</f>
        <v/>
      </c>
      <c r="R173" s="399" t="str">
        <f t="shared" ca="1" si="12"/>
        <v/>
      </c>
      <c r="S173" s="399" t="str">
        <f t="shared" ca="1" si="13"/>
        <v/>
      </c>
      <c r="T173" s="399" t="str">
        <f t="shared" ca="1" si="14"/>
        <v/>
      </c>
    </row>
    <row r="174" spans="7:20" x14ac:dyDescent="0.25">
      <c r="G174" s="399">
        <v>173</v>
      </c>
      <c r="H174" s="399"/>
      <c r="I174" s="399" t="str">
        <f t="shared" si="10"/>
        <v>TowerRec=173</v>
      </c>
      <c r="J174" s="406" t="str">
        <f ca="1">IFERROR(ROW(INDEX(INDIRECT("'TNX File'!A$1:A" &amp; $H$2),MATCH('TNX File Parse'!I174,'TNX File'!A:A,0))),"")</f>
        <v/>
      </c>
      <c r="K174" s="399" t="s">
        <v>1415</v>
      </c>
      <c r="L174" s="399" t="str">
        <f ca="1">IFERROR(ROW(INDEX(INDIRECT("'TNX File'!A" &amp; $J174 &amp; ":A" &amp; $H$2),MATCH('TNX File Parse'!K174 &amp; "*",INDIRECT("'TNX File'!A" &amp; $J174 &amp; ":A" &amp; $H$2),0))),"")</f>
        <v/>
      </c>
      <c r="M174" s="399" t="str">
        <f ca="1">IFERROR(INDEX('TNX File'!A:A,L174,1),"")</f>
        <v/>
      </c>
      <c r="N174" s="399" t="str">
        <f t="shared" ca="1" si="11"/>
        <v/>
      </c>
      <c r="O174" s="399" t="s">
        <v>1417</v>
      </c>
      <c r="P174" s="399" t="str">
        <f ca="1">IFERROR(ROW(INDEX(INDIRECT("'TNX File'!A" &amp; $J174 &amp; ":A" &amp; $H$2),MATCH('TNX File Parse'!O174 &amp; "*",INDIRECT("'TNX File'!A" &amp; $J174 &amp; ":A" &amp; $H$2),0))),"")</f>
        <v/>
      </c>
      <c r="Q174" s="399" t="str">
        <f ca="1">IFERROR(INDEX('TNX File'!A:A,P174,1),"")</f>
        <v/>
      </c>
      <c r="R174" s="399" t="str">
        <f t="shared" ca="1" si="12"/>
        <v/>
      </c>
      <c r="S174" s="399" t="str">
        <f t="shared" ca="1" si="13"/>
        <v/>
      </c>
      <c r="T174" s="399" t="str">
        <f t="shared" ca="1" si="14"/>
        <v/>
      </c>
    </row>
    <row r="175" spans="7:20" x14ac:dyDescent="0.25">
      <c r="G175" s="399">
        <v>174</v>
      </c>
      <c r="H175" s="399"/>
      <c r="I175" s="399" t="str">
        <f t="shared" si="10"/>
        <v>TowerRec=174</v>
      </c>
      <c r="J175" s="406" t="str">
        <f ca="1">IFERROR(ROW(INDEX(INDIRECT("'TNX File'!A$1:A" &amp; $H$2),MATCH('TNX File Parse'!I175,'TNX File'!A:A,0))),"")</f>
        <v/>
      </c>
      <c r="K175" s="399" t="s">
        <v>1415</v>
      </c>
      <c r="L175" s="399" t="str">
        <f ca="1">IFERROR(ROW(INDEX(INDIRECT("'TNX File'!A" &amp; $J175 &amp; ":A" &amp; $H$2),MATCH('TNX File Parse'!K175 &amp; "*",INDIRECT("'TNX File'!A" &amp; $J175 &amp; ":A" &amp; $H$2),0))),"")</f>
        <v/>
      </c>
      <c r="M175" s="399" t="str">
        <f ca="1">IFERROR(INDEX('TNX File'!A:A,L175,1),"")</f>
        <v/>
      </c>
      <c r="N175" s="399" t="str">
        <f t="shared" ca="1" si="11"/>
        <v/>
      </c>
      <c r="O175" s="399" t="s">
        <v>1417</v>
      </c>
      <c r="P175" s="399" t="str">
        <f ca="1">IFERROR(ROW(INDEX(INDIRECT("'TNX File'!A" &amp; $J175 &amp; ":A" &amp; $H$2),MATCH('TNX File Parse'!O175 &amp; "*",INDIRECT("'TNX File'!A" &amp; $J175 &amp; ":A" &amp; $H$2),0))),"")</f>
        <v/>
      </c>
      <c r="Q175" s="399" t="str">
        <f ca="1">IFERROR(INDEX('TNX File'!A:A,P175,1),"")</f>
        <v/>
      </c>
      <c r="R175" s="399" t="str">
        <f t="shared" ca="1" si="12"/>
        <v/>
      </c>
      <c r="S175" s="399" t="str">
        <f t="shared" ca="1" si="13"/>
        <v/>
      </c>
      <c r="T175" s="399" t="str">
        <f t="shared" ca="1" si="14"/>
        <v/>
      </c>
    </row>
    <row r="176" spans="7:20" x14ac:dyDescent="0.25">
      <c r="G176" s="399">
        <v>175</v>
      </c>
      <c r="H176" s="399"/>
      <c r="I176" s="399" t="str">
        <f t="shared" si="10"/>
        <v>TowerRec=175</v>
      </c>
      <c r="J176" s="406" t="str">
        <f ca="1">IFERROR(ROW(INDEX(INDIRECT("'TNX File'!A$1:A" &amp; $H$2),MATCH('TNX File Parse'!I176,'TNX File'!A:A,0))),"")</f>
        <v/>
      </c>
      <c r="K176" s="399" t="s">
        <v>1415</v>
      </c>
      <c r="L176" s="399" t="str">
        <f ca="1">IFERROR(ROW(INDEX(INDIRECT("'TNX File'!A" &amp; $J176 &amp; ":A" &amp; $H$2),MATCH('TNX File Parse'!K176 &amp; "*",INDIRECT("'TNX File'!A" &amp; $J176 &amp; ":A" &amp; $H$2),0))),"")</f>
        <v/>
      </c>
      <c r="M176" s="399" t="str">
        <f ca="1">IFERROR(INDEX('TNX File'!A:A,L176,1),"")</f>
        <v/>
      </c>
      <c r="N176" s="399" t="str">
        <f t="shared" ca="1" si="11"/>
        <v/>
      </c>
      <c r="O176" s="399" t="s">
        <v>1417</v>
      </c>
      <c r="P176" s="399" t="str">
        <f ca="1">IFERROR(ROW(INDEX(INDIRECT("'TNX File'!A" &amp; $J176 &amp; ":A" &amp; $H$2),MATCH('TNX File Parse'!O176 &amp; "*",INDIRECT("'TNX File'!A" &amp; $J176 &amp; ":A" &amp; $H$2),0))),"")</f>
        <v/>
      </c>
      <c r="Q176" s="399" t="str">
        <f ca="1">IFERROR(INDEX('TNX File'!A:A,P176,1),"")</f>
        <v/>
      </c>
      <c r="R176" s="399" t="str">
        <f t="shared" ca="1" si="12"/>
        <v/>
      </c>
      <c r="S176" s="399" t="str">
        <f t="shared" ca="1" si="13"/>
        <v/>
      </c>
      <c r="T176" s="399" t="str">
        <f t="shared" ca="1" si="14"/>
        <v/>
      </c>
    </row>
    <row r="177" spans="7:20" x14ac:dyDescent="0.25">
      <c r="G177" s="399">
        <v>176</v>
      </c>
      <c r="H177" s="399"/>
      <c r="I177" s="399" t="str">
        <f t="shared" si="10"/>
        <v>TowerRec=176</v>
      </c>
      <c r="J177" s="406" t="str">
        <f ca="1">IFERROR(ROW(INDEX(INDIRECT("'TNX File'!A$1:A" &amp; $H$2),MATCH('TNX File Parse'!I177,'TNX File'!A:A,0))),"")</f>
        <v/>
      </c>
      <c r="K177" s="399" t="s">
        <v>1415</v>
      </c>
      <c r="L177" s="399" t="str">
        <f ca="1">IFERROR(ROW(INDEX(INDIRECT("'TNX File'!A" &amp; $J177 &amp; ":A" &amp; $H$2),MATCH('TNX File Parse'!K177 &amp; "*",INDIRECT("'TNX File'!A" &amp; $J177 &amp; ":A" &amp; $H$2),0))),"")</f>
        <v/>
      </c>
      <c r="M177" s="399" t="str">
        <f ca="1">IFERROR(INDEX('TNX File'!A:A,L177,1),"")</f>
        <v/>
      </c>
      <c r="N177" s="399" t="str">
        <f t="shared" ca="1" si="11"/>
        <v/>
      </c>
      <c r="O177" s="399" t="s">
        <v>1417</v>
      </c>
      <c r="P177" s="399" t="str">
        <f ca="1">IFERROR(ROW(INDEX(INDIRECT("'TNX File'!A" &amp; $J177 &amp; ":A" &amp; $H$2),MATCH('TNX File Parse'!O177 &amp; "*",INDIRECT("'TNX File'!A" &amp; $J177 &amp; ":A" &amp; $H$2),0))),"")</f>
        <v/>
      </c>
      <c r="Q177" s="399" t="str">
        <f ca="1">IFERROR(INDEX('TNX File'!A:A,P177,1),"")</f>
        <v/>
      </c>
      <c r="R177" s="399" t="str">
        <f t="shared" ca="1" si="12"/>
        <v/>
      </c>
      <c r="S177" s="399" t="str">
        <f t="shared" ca="1" si="13"/>
        <v/>
      </c>
      <c r="T177" s="399" t="str">
        <f t="shared" ca="1" si="14"/>
        <v/>
      </c>
    </row>
    <row r="178" spans="7:20" x14ac:dyDescent="0.25">
      <c r="G178" s="399">
        <v>177</v>
      </c>
      <c r="H178" s="399"/>
      <c r="I178" s="399" t="str">
        <f t="shared" si="10"/>
        <v>TowerRec=177</v>
      </c>
      <c r="J178" s="406" t="str">
        <f ca="1">IFERROR(ROW(INDEX(INDIRECT("'TNX File'!A$1:A" &amp; $H$2),MATCH('TNX File Parse'!I178,'TNX File'!A:A,0))),"")</f>
        <v/>
      </c>
      <c r="K178" s="399" t="s">
        <v>1415</v>
      </c>
      <c r="L178" s="399" t="str">
        <f ca="1">IFERROR(ROW(INDEX(INDIRECT("'TNX File'!A" &amp; $J178 &amp; ":A" &amp; $H$2),MATCH('TNX File Parse'!K178 &amp; "*",INDIRECT("'TNX File'!A" &amp; $J178 &amp; ":A" &amp; $H$2),0))),"")</f>
        <v/>
      </c>
      <c r="M178" s="399" t="str">
        <f ca="1">IFERROR(INDEX('TNX File'!A:A,L178,1),"")</f>
        <v/>
      </c>
      <c r="N178" s="399" t="str">
        <f t="shared" ca="1" si="11"/>
        <v/>
      </c>
      <c r="O178" s="399" t="s">
        <v>1417</v>
      </c>
      <c r="P178" s="399" t="str">
        <f ca="1">IFERROR(ROW(INDEX(INDIRECT("'TNX File'!A" &amp; $J178 &amp; ":A" &amp; $H$2),MATCH('TNX File Parse'!O178 &amp; "*",INDIRECT("'TNX File'!A" &amp; $J178 &amp; ":A" &amp; $H$2),0))),"")</f>
        <v/>
      </c>
      <c r="Q178" s="399" t="str">
        <f ca="1">IFERROR(INDEX('TNX File'!A:A,P178,1),"")</f>
        <v/>
      </c>
      <c r="R178" s="399" t="str">
        <f t="shared" ca="1" si="12"/>
        <v/>
      </c>
      <c r="S178" s="399" t="str">
        <f t="shared" ca="1" si="13"/>
        <v/>
      </c>
      <c r="T178" s="399" t="str">
        <f t="shared" ca="1" si="14"/>
        <v/>
      </c>
    </row>
    <row r="179" spans="7:20" x14ac:dyDescent="0.25">
      <c r="G179" s="399">
        <v>178</v>
      </c>
      <c r="H179" s="399"/>
      <c r="I179" s="399" t="str">
        <f t="shared" si="10"/>
        <v>TowerRec=178</v>
      </c>
      <c r="J179" s="406" t="str">
        <f ca="1">IFERROR(ROW(INDEX(INDIRECT("'TNX File'!A$1:A" &amp; $H$2),MATCH('TNX File Parse'!I179,'TNX File'!A:A,0))),"")</f>
        <v/>
      </c>
      <c r="K179" s="399" t="s">
        <v>1415</v>
      </c>
      <c r="L179" s="399" t="str">
        <f ca="1">IFERROR(ROW(INDEX(INDIRECT("'TNX File'!A" &amp; $J179 &amp; ":A" &amp; $H$2),MATCH('TNX File Parse'!K179 &amp; "*",INDIRECT("'TNX File'!A" &amp; $J179 &amp; ":A" &amp; $H$2),0))),"")</f>
        <v/>
      </c>
      <c r="M179" s="399" t="str">
        <f ca="1">IFERROR(INDEX('TNX File'!A:A,L179,1),"")</f>
        <v/>
      </c>
      <c r="N179" s="399" t="str">
        <f t="shared" ca="1" si="11"/>
        <v/>
      </c>
      <c r="O179" s="399" t="s">
        <v>1417</v>
      </c>
      <c r="P179" s="399" t="str">
        <f ca="1">IFERROR(ROW(INDEX(INDIRECT("'TNX File'!A" &amp; $J179 &amp; ":A" &amp; $H$2),MATCH('TNX File Parse'!O179 &amp; "*",INDIRECT("'TNX File'!A" &amp; $J179 &amp; ":A" &amp; $H$2),0))),"")</f>
        <v/>
      </c>
      <c r="Q179" s="399" t="str">
        <f ca="1">IFERROR(INDEX('TNX File'!A:A,P179,1),"")</f>
        <v/>
      </c>
      <c r="R179" s="399" t="str">
        <f t="shared" ca="1" si="12"/>
        <v/>
      </c>
      <c r="S179" s="399" t="str">
        <f t="shared" ca="1" si="13"/>
        <v/>
      </c>
      <c r="T179" s="399" t="str">
        <f t="shared" ca="1" si="14"/>
        <v/>
      </c>
    </row>
    <row r="180" spans="7:20" x14ac:dyDescent="0.25">
      <c r="G180" s="399">
        <v>179</v>
      </c>
      <c r="H180" s="399"/>
      <c r="I180" s="399" t="str">
        <f t="shared" si="10"/>
        <v>TowerRec=179</v>
      </c>
      <c r="J180" s="406" t="str">
        <f ca="1">IFERROR(ROW(INDEX(INDIRECT("'TNX File'!A$1:A" &amp; $H$2),MATCH('TNX File Parse'!I180,'TNX File'!A:A,0))),"")</f>
        <v/>
      </c>
      <c r="K180" s="399" t="s">
        <v>1415</v>
      </c>
      <c r="L180" s="399" t="str">
        <f ca="1">IFERROR(ROW(INDEX(INDIRECT("'TNX File'!A" &amp; $J180 &amp; ":A" &amp; $H$2),MATCH('TNX File Parse'!K180 &amp; "*",INDIRECT("'TNX File'!A" &amp; $J180 &amp; ":A" &amp; $H$2),0))),"")</f>
        <v/>
      </c>
      <c r="M180" s="399" t="str">
        <f ca="1">IFERROR(INDEX('TNX File'!A:A,L180,1),"")</f>
        <v/>
      </c>
      <c r="N180" s="399" t="str">
        <f t="shared" ca="1" si="11"/>
        <v/>
      </c>
      <c r="O180" s="399" t="s">
        <v>1417</v>
      </c>
      <c r="P180" s="399" t="str">
        <f ca="1">IFERROR(ROW(INDEX(INDIRECT("'TNX File'!A" &amp; $J180 &amp; ":A" &amp; $H$2),MATCH('TNX File Parse'!O180 &amp; "*",INDIRECT("'TNX File'!A" &amp; $J180 &amp; ":A" &amp; $H$2),0))),"")</f>
        <v/>
      </c>
      <c r="Q180" s="399" t="str">
        <f ca="1">IFERROR(INDEX('TNX File'!A:A,P180,1),"")</f>
        <v/>
      </c>
      <c r="R180" s="399" t="str">
        <f t="shared" ca="1" si="12"/>
        <v/>
      </c>
      <c r="S180" s="399" t="str">
        <f t="shared" ca="1" si="13"/>
        <v/>
      </c>
      <c r="T180" s="399" t="str">
        <f t="shared" ca="1" si="14"/>
        <v/>
      </c>
    </row>
    <row r="181" spans="7:20" x14ac:dyDescent="0.25">
      <c r="G181" s="399">
        <v>180</v>
      </c>
      <c r="H181" s="399"/>
      <c r="I181" s="399" t="str">
        <f t="shared" si="10"/>
        <v>TowerRec=180</v>
      </c>
      <c r="J181" s="406" t="str">
        <f ca="1">IFERROR(ROW(INDEX(INDIRECT("'TNX File'!A$1:A" &amp; $H$2),MATCH('TNX File Parse'!I181,'TNX File'!A:A,0))),"")</f>
        <v/>
      </c>
      <c r="K181" s="399" t="s">
        <v>1415</v>
      </c>
      <c r="L181" s="399" t="str">
        <f ca="1">IFERROR(ROW(INDEX(INDIRECT("'TNX File'!A" &amp; $J181 &amp; ":A" &amp; $H$2),MATCH('TNX File Parse'!K181 &amp; "*",INDIRECT("'TNX File'!A" &amp; $J181 &amp; ":A" &amp; $H$2),0))),"")</f>
        <v/>
      </c>
      <c r="M181" s="399" t="str">
        <f ca="1">IFERROR(INDEX('TNX File'!A:A,L181,1),"")</f>
        <v/>
      </c>
      <c r="N181" s="399" t="str">
        <f t="shared" ca="1" si="11"/>
        <v/>
      </c>
      <c r="O181" s="399" t="s">
        <v>1417</v>
      </c>
      <c r="P181" s="399" t="str">
        <f ca="1">IFERROR(ROW(INDEX(INDIRECT("'TNX File'!A" &amp; $J181 &amp; ":A" &amp; $H$2),MATCH('TNX File Parse'!O181 &amp; "*",INDIRECT("'TNX File'!A" &amp; $J181 &amp; ":A" &amp; $H$2),0))),"")</f>
        <v/>
      </c>
      <c r="Q181" s="399" t="str">
        <f ca="1">IFERROR(INDEX('TNX File'!A:A,P181,1),"")</f>
        <v/>
      </c>
      <c r="R181" s="399" t="str">
        <f t="shared" ca="1" si="12"/>
        <v/>
      </c>
      <c r="S181" s="399" t="str">
        <f t="shared" ca="1" si="13"/>
        <v/>
      </c>
      <c r="T181" s="399" t="str">
        <f t="shared" ca="1" si="14"/>
        <v/>
      </c>
    </row>
    <row r="182" spans="7:20" x14ac:dyDescent="0.25">
      <c r="G182" s="399">
        <v>181</v>
      </c>
      <c r="H182" s="399"/>
      <c r="I182" s="399" t="str">
        <f t="shared" si="10"/>
        <v>TowerRec=181</v>
      </c>
      <c r="J182" s="406" t="str">
        <f ca="1">IFERROR(ROW(INDEX(INDIRECT("'TNX File'!A$1:A" &amp; $H$2),MATCH('TNX File Parse'!I182,'TNX File'!A:A,0))),"")</f>
        <v/>
      </c>
      <c r="K182" s="399" t="s">
        <v>1415</v>
      </c>
      <c r="L182" s="399" t="str">
        <f ca="1">IFERROR(ROW(INDEX(INDIRECT("'TNX File'!A" &amp; $J182 &amp; ":A" &amp; $H$2),MATCH('TNX File Parse'!K182 &amp; "*",INDIRECT("'TNX File'!A" &amp; $J182 &amp; ":A" &amp; $H$2),0))),"")</f>
        <v/>
      </c>
      <c r="M182" s="399" t="str">
        <f ca="1">IFERROR(INDEX('TNX File'!A:A,L182,1),"")</f>
        <v/>
      </c>
      <c r="N182" s="399" t="str">
        <f t="shared" ca="1" si="11"/>
        <v/>
      </c>
      <c r="O182" s="399" t="s">
        <v>1417</v>
      </c>
      <c r="P182" s="399" t="str">
        <f ca="1">IFERROR(ROW(INDEX(INDIRECT("'TNX File'!A" &amp; $J182 &amp; ":A" &amp; $H$2),MATCH('TNX File Parse'!O182 &amp; "*",INDIRECT("'TNX File'!A" &amp; $J182 &amp; ":A" &amp; $H$2),0))),"")</f>
        <v/>
      </c>
      <c r="Q182" s="399" t="str">
        <f ca="1">IFERROR(INDEX('TNX File'!A:A,P182,1),"")</f>
        <v/>
      </c>
      <c r="R182" s="399" t="str">
        <f t="shared" ca="1" si="12"/>
        <v/>
      </c>
      <c r="S182" s="399" t="str">
        <f t="shared" ca="1" si="13"/>
        <v/>
      </c>
      <c r="T182" s="399" t="str">
        <f t="shared" ca="1" si="14"/>
        <v/>
      </c>
    </row>
    <row r="183" spans="7:20" x14ac:dyDescent="0.25">
      <c r="G183" s="399">
        <v>182</v>
      </c>
      <c r="H183" s="399"/>
      <c r="I183" s="399" t="str">
        <f t="shared" si="10"/>
        <v>TowerRec=182</v>
      </c>
      <c r="J183" s="406" t="str">
        <f ca="1">IFERROR(ROW(INDEX(INDIRECT("'TNX File'!A$1:A" &amp; $H$2),MATCH('TNX File Parse'!I183,'TNX File'!A:A,0))),"")</f>
        <v/>
      </c>
      <c r="K183" s="399" t="s">
        <v>1415</v>
      </c>
      <c r="L183" s="399" t="str">
        <f ca="1">IFERROR(ROW(INDEX(INDIRECT("'TNX File'!A" &amp; $J183 &amp; ":A" &amp; $H$2),MATCH('TNX File Parse'!K183 &amp; "*",INDIRECT("'TNX File'!A" &amp; $J183 &amp; ":A" &amp; $H$2),0))),"")</f>
        <v/>
      </c>
      <c r="M183" s="399" t="str">
        <f ca="1">IFERROR(INDEX('TNX File'!A:A,L183,1),"")</f>
        <v/>
      </c>
      <c r="N183" s="399" t="str">
        <f t="shared" ca="1" si="11"/>
        <v/>
      </c>
      <c r="O183" s="399" t="s">
        <v>1417</v>
      </c>
      <c r="P183" s="399" t="str">
        <f ca="1">IFERROR(ROW(INDEX(INDIRECT("'TNX File'!A" &amp; $J183 &amp; ":A" &amp; $H$2),MATCH('TNX File Parse'!O183 &amp; "*",INDIRECT("'TNX File'!A" &amp; $J183 &amp; ":A" &amp; $H$2),0))),"")</f>
        <v/>
      </c>
      <c r="Q183" s="399" t="str">
        <f ca="1">IFERROR(INDEX('TNX File'!A:A,P183,1),"")</f>
        <v/>
      </c>
      <c r="R183" s="399" t="str">
        <f t="shared" ca="1" si="12"/>
        <v/>
      </c>
      <c r="S183" s="399" t="str">
        <f t="shared" ca="1" si="13"/>
        <v/>
      </c>
      <c r="T183" s="399" t="str">
        <f t="shared" ca="1" si="14"/>
        <v/>
      </c>
    </row>
    <row r="184" spans="7:20" x14ac:dyDescent="0.25">
      <c r="G184" s="399">
        <v>183</v>
      </c>
      <c r="H184" s="399"/>
      <c r="I184" s="399" t="str">
        <f t="shared" si="10"/>
        <v>TowerRec=183</v>
      </c>
      <c r="J184" s="406" t="str">
        <f ca="1">IFERROR(ROW(INDEX(INDIRECT("'TNX File'!A$1:A" &amp; $H$2),MATCH('TNX File Parse'!I184,'TNX File'!A:A,0))),"")</f>
        <v/>
      </c>
      <c r="K184" s="399" t="s">
        <v>1415</v>
      </c>
      <c r="L184" s="399" t="str">
        <f ca="1">IFERROR(ROW(INDEX(INDIRECT("'TNX File'!A" &amp; $J184 &amp; ":A" &amp; $H$2),MATCH('TNX File Parse'!K184 &amp; "*",INDIRECT("'TNX File'!A" &amp; $J184 &amp; ":A" &amp; $H$2),0))),"")</f>
        <v/>
      </c>
      <c r="M184" s="399" t="str">
        <f ca="1">IFERROR(INDEX('TNX File'!A:A,L184,1),"")</f>
        <v/>
      </c>
      <c r="N184" s="399" t="str">
        <f t="shared" ca="1" si="11"/>
        <v/>
      </c>
      <c r="O184" s="399" t="s">
        <v>1417</v>
      </c>
      <c r="P184" s="399" t="str">
        <f ca="1">IFERROR(ROW(INDEX(INDIRECT("'TNX File'!A" &amp; $J184 &amp; ":A" &amp; $H$2),MATCH('TNX File Parse'!O184 &amp; "*",INDIRECT("'TNX File'!A" &amp; $J184 &amp; ":A" &amp; $H$2),0))),"")</f>
        <v/>
      </c>
      <c r="Q184" s="399" t="str">
        <f ca="1">IFERROR(INDEX('TNX File'!A:A,P184,1),"")</f>
        <v/>
      </c>
      <c r="R184" s="399" t="str">
        <f t="shared" ca="1" si="12"/>
        <v/>
      </c>
      <c r="S184" s="399" t="str">
        <f t="shared" ca="1" si="13"/>
        <v/>
      </c>
      <c r="T184" s="399" t="str">
        <f t="shared" ca="1" si="14"/>
        <v/>
      </c>
    </row>
    <row r="185" spans="7:20" x14ac:dyDescent="0.25">
      <c r="G185" s="399">
        <v>184</v>
      </c>
      <c r="H185" s="399"/>
      <c r="I185" s="399" t="str">
        <f t="shared" si="10"/>
        <v>TowerRec=184</v>
      </c>
      <c r="J185" s="406" t="str">
        <f ca="1">IFERROR(ROW(INDEX(INDIRECT("'TNX File'!A$1:A" &amp; $H$2),MATCH('TNX File Parse'!I185,'TNX File'!A:A,0))),"")</f>
        <v/>
      </c>
      <c r="K185" s="399" t="s">
        <v>1415</v>
      </c>
      <c r="L185" s="399" t="str">
        <f ca="1">IFERROR(ROW(INDEX(INDIRECT("'TNX File'!A" &amp; $J185 &amp; ":A" &amp; $H$2),MATCH('TNX File Parse'!K185 &amp; "*",INDIRECT("'TNX File'!A" &amp; $J185 &amp; ":A" &amp; $H$2),0))),"")</f>
        <v/>
      </c>
      <c r="M185" s="399" t="str">
        <f ca="1">IFERROR(INDEX('TNX File'!A:A,L185,1),"")</f>
        <v/>
      </c>
      <c r="N185" s="399" t="str">
        <f t="shared" ca="1" si="11"/>
        <v/>
      </c>
      <c r="O185" s="399" t="s">
        <v>1417</v>
      </c>
      <c r="P185" s="399" t="str">
        <f ca="1">IFERROR(ROW(INDEX(INDIRECT("'TNX File'!A" &amp; $J185 &amp; ":A" &amp; $H$2),MATCH('TNX File Parse'!O185 &amp; "*",INDIRECT("'TNX File'!A" &amp; $J185 &amp; ":A" &amp; $H$2),0))),"")</f>
        <v/>
      </c>
      <c r="Q185" s="399" t="str">
        <f ca="1">IFERROR(INDEX('TNX File'!A:A,P185,1),"")</f>
        <v/>
      </c>
      <c r="R185" s="399" t="str">
        <f t="shared" ca="1" si="12"/>
        <v/>
      </c>
      <c r="S185" s="399" t="str">
        <f t="shared" ca="1" si="13"/>
        <v/>
      </c>
      <c r="T185" s="399" t="str">
        <f t="shared" ca="1" si="14"/>
        <v/>
      </c>
    </row>
    <row r="186" spans="7:20" x14ac:dyDescent="0.25">
      <c r="G186" s="399">
        <v>185</v>
      </c>
      <c r="H186" s="399"/>
      <c r="I186" s="399" t="str">
        <f t="shared" si="10"/>
        <v>TowerRec=185</v>
      </c>
      <c r="J186" s="406" t="str">
        <f ca="1">IFERROR(ROW(INDEX(INDIRECT("'TNX File'!A$1:A" &amp; $H$2),MATCH('TNX File Parse'!I186,'TNX File'!A:A,0))),"")</f>
        <v/>
      </c>
      <c r="K186" s="399" t="s">
        <v>1415</v>
      </c>
      <c r="L186" s="399" t="str">
        <f ca="1">IFERROR(ROW(INDEX(INDIRECT("'TNX File'!A" &amp; $J186 &amp; ":A" &amp; $H$2),MATCH('TNX File Parse'!K186 &amp; "*",INDIRECT("'TNX File'!A" &amp; $J186 &amp; ":A" &amp; $H$2),0))),"")</f>
        <v/>
      </c>
      <c r="M186" s="399" t="str">
        <f ca="1">IFERROR(INDEX('TNX File'!A:A,L186,1),"")</f>
        <v/>
      </c>
      <c r="N186" s="399" t="str">
        <f t="shared" ca="1" si="11"/>
        <v/>
      </c>
      <c r="O186" s="399" t="s">
        <v>1417</v>
      </c>
      <c r="P186" s="399" t="str">
        <f ca="1">IFERROR(ROW(INDEX(INDIRECT("'TNX File'!A" &amp; $J186 &amp; ":A" &amp; $H$2),MATCH('TNX File Parse'!O186 &amp; "*",INDIRECT("'TNX File'!A" &amp; $J186 &amp; ":A" &amp; $H$2),0))),"")</f>
        <v/>
      </c>
      <c r="Q186" s="399" t="str">
        <f ca="1">IFERROR(INDEX('TNX File'!A:A,P186,1),"")</f>
        <v/>
      </c>
      <c r="R186" s="399" t="str">
        <f t="shared" ca="1" si="12"/>
        <v/>
      </c>
      <c r="S186" s="399" t="str">
        <f t="shared" ca="1" si="13"/>
        <v/>
      </c>
      <c r="T186" s="399" t="str">
        <f t="shared" ca="1" si="14"/>
        <v/>
      </c>
    </row>
    <row r="187" spans="7:20" x14ac:dyDescent="0.25">
      <c r="G187" s="399">
        <v>186</v>
      </c>
      <c r="H187" s="399"/>
      <c r="I187" s="399" t="str">
        <f t="shared" si="10"/>
        <v>TowerRec=186</v>
      </c>
      <c r="J187" s="406" t="str">
        <f ca="1">IFERROR(ROW(INDEX(INDIRECT("'TNX File'!A$1:A" &amp; $H$2),MATCH('TNX File Parse'!I187,'TNX File'!A:A,0))),"")</f>
        <v/>
      </c>
      <c r="K187" s="399" t="s">
        <v>1415</v>
      </c>
      <c r="L187" s="399" t="str">
        <f ca="1">IFERROR(ROW(INDEX(INDIRECT("'TNX File'!A" &amp; $J187 &amp; ":A" &amp; $H$2),MATCH('TNX File Parse'!K187 &amp; "*",INDIRECT("'TNX File'!A" &amp; $J187 &amp; ":A" &amp; $H$2),0))),"")</f>
        <v/>
      </c>
      <c r="M187" s="399" t="str">
        <f ca="1">IFERROR(INDEX('TNX File'!A:A,L187,1),"")</f>
        <v/>
      </c>
      <c r="N187" s="399" t="str">
        <f t="shared" ca="1" si="11"/>
        <v/>
      </c>
      <c r="O187" s="399" t="s">
        <v>1417</v>
      </c>
      <c r="P187" s="399" t="str">
        <f ca="1">IFERROR(ROW(INDEX(INDIRECT("'TNX File'!A" &amp; $J187 &amp; ":A" &amp; $H$2),MATCH('TNX File Parse'!O187 &amp; "*",INDIRECT("'TNX File'!A" &amp; $J187 &amp; ":A" &amp; $H$2),0))),"")</f>
        <v/>
      </c>
      <c r="Q187" s="399" t="str">
        <f ca="1">IFERROR(INDEX('TNX File'!A:A,P187,1),"")</f>
        <v/>
      </c>
      <c r="R187" s="399" t="str">
        <f t="shared" ca="1" si="12"/>
        <v/>
      </c>
      <c r="S187" s="399" t="str">
        <f t="shared" ca="1" si="13"/>
        <v/>
      </c>
      <c r="T187" s="399" t="str">
        <f t="shared" ca="1" si="14"/>
        <v/>
      </c>
    </row>
    <row r="188" spans="7:20" x14ac:dyDescent="0.25">
      <c r="G188" s="399">
        <v>187</v>
      </c>
      <c r="H188" s="399"/>
      <c r="I188" s="399" t="str">
        <f t="shared" si="10"/>
        <v>TowerRec=187</v>
      </c>
      <c r="J188" s="406" t="str">
        <f ca="1">IFERROR(ROW(INDEX(INDIRECT("'TNX File'!A$1:A" &amp; $H$2),MATCH('TNX File Parse'!I188,'TNX File'!A:A,0))),"")</f>
        <v/>
      </c>
      <c r="K188" s="399" t="s">
        <v>1415</v>
      </c>
      <c r="L188" s="399" t="str">
        <f ca="1">IFERROR(ROW(INDEX(INDIRECT("'TNX File'!A" &amp; $J188 &amp; ":A" &amp; $H$2),MATCH('TNX File Parse'!K188 &amp; "*",INDIRECT("'TNX File'!A" &amp; $J188 &amp; ":A" &amp; $H$2),0))),"")</f>
        <v/>
      </c>
      <c r="M188" s="399" t="str">
        <f ca="1">IFERROR(INDEX('TNX File'!A:A,L188,1),"")</f>
        <v/>
      </c>
      <c r="N188" s="399" t="str">
        <f t="shared" ca="1" si="11"/>
        <v/>
      </c>
      <c r="O188" s="399" t="s">
        <v>1417</v>
      </c>
      <c r="P188" s="399" t="str">
        <f ca="1">IFERROR(ROW(INDEX(INDIRECT("'TNX File'!A" &amp; $J188 &amp; ":A" &amp; $H$2),MATCH('TNX File Parse'!O188 &amp; "*",INDIRECT("'TNX File'!A" &amp; $J188 &amp; ":A" &amp; $H$2),0))),"")</f>
        <v/>
      </c>
      <c r="Q188" s="399" t="str">
        <f ca="1">IFERROR(INDEX('TNX File'!A:A,P188,1),"")</f>
        <v/>
      </c>
      <c r="R188" s="399" t="str">
        <f t="shared" ca="1" si="12"/>
        <v/>
      </c>
      <c r="S188" s="399" t="str">
        <f t="shared" ca="1" si="13"/>
        <v/>
      </c>
      <c r="T188" s="399" t="str">
        <f t="shared" ca="1" si="14"/>
        <v/>
      </c>
    </row>
    <row r="189" spans="7:20" x14ac:dyDescent="0.25">
      <c r="G189" s="399">
        <v>188</v>
      </c>
      <c r="H189" s="399"/>
      <c r="I189" s="399" t="str">
        <f t="shared" si="10"/>
        <v>TowerRec=188</v>
      </c>
      <c r="J189" s="406" t="str">
        <f ca="1">IFERROR(ROW(INDEX(INDIRECT("'TNX File'!A$1:A" &amp; $H$2),MATCH('TNX File Parse'!I189,'TNX File'!A:A,0))),"")</f>
        <v/>
      </c>
      <c r="K189" s="399" t="s">
        <v>1415</v>
      </c>
      <c r="L189" s="399" t="str">
        <f ca="1">IFERROR(ROW(INDEX(INDIRECT("'TNX File'!A" &amp; $J189 &amp; ":A" &amp; $H$2),MATCH('TNX File Parse'!K189 &amp; "*",INDIRECT("'TNX File'!A" &amp; $J189 &amp; ":A" &amp; $H$2),0))),"")</f>
        <v/>
      </c>
      <c r="M189" s="399" t="str">
        <f ca="1">IFERROR(INDEX('TNX File'!A:A,L189,1),"")</f>
        <v/>
      </c>
      <c r="N189" s="399" t="str">
        <f t="shared" ca="1" si="11"/>
        <v/>
      </c>
      <c r="O189" s="399" t="s">
        <v>1417</v>
      </c>
      <c r="P189" s="399" t="str">
        <f ca="1">IFERROR(ROW(INDEX(INDIRECT("'TNX File'!A" &amp; $J189 &amp; ":A" &amp; $H$2),MATCH('TNX File Parse'!O189 &amp; "*",INDIRECT("'TNX File'!A" &amp; $J189 &amp; ":A" &amp; $H$2),0))),"")</f>
        <v/>
      </c>
      <c r="Q189" s="399" t="str">
        <f ca="1">IFERROR(INDEX('TNX File'!A:A,P189,1),"")</f>
        <v/>
      </c>
      <c r="R189" s="399" t="str">
        <f t="shared" ca="1" si="12"/>
        <v/>
      </c>
      <c r="S189" s="399" t="str">
        <f t="shared" ca="1" si="13"/>
        <v/>
      </c>
      <c r="T189" s="399" t="str">
        <f t="shared" ca="1" si="14"/>
        <v/>
      </c>
    </row>
    <row r="190" spans="7:20" x14ac:dyDescent="0.25">
      <c r="G190" s="399">
        <v>189</v>
      </c>
      <c r="H190" s="399"/>
      <c r="I190" s="399" t="str">
        <f t="shared" si="10"/>
        <v>TowerRec=189</v>
      </c>
      <c r="J190" s="406" t="str">
        <f ca="1">IFERROR(ROW(INDEX(INDIRECT("'TNX File'!A$1:A" &amp; $H$2),MATCH('TNX File Parse'!I190,'TNX File'!A:A,0))),"")</f>
        <v/>
      </c>
      <c r="K190" s="399" t="s">
        <v>1415</v>
      </c>
      <c r="L190" s="399" t="str">
        <f ca="1">IFERROR(ROW(INDEX(INDIRECT("'TNX File'!A" &amp; $J190 &amp; ":A" &amp; $H$2),MATCH('TNX File Parse'!K190 &amp; "*",INDIRECT("'TNX File'!A" &amp; $J190 &amp; ":A" &amp; $H$2),0))),"")</f>
        <v/>
      </c>
      <c r="M190" s="399" t="str">
        <f ca="1">IFERROR(INDEX('TNX File'!A:A,L190,1),"")</f>
        <v/>
      </c>
      <c r="N190" s="399" t="str">
        <f t="shared" ca="1" si="11"/>
        <v/>
      </c>
      <c r="O190" s="399" t="s">
        <v>1417</v>
      </c>
      <c r="P190" s="399" t="str">
        <f ca="1">IFERROR(ROW(INDEX(INDIRECT("'TNX File'!A" &amp; $J190 &amp; ":A" &amp; $H$2),MATCH('TNX File Parse'!O190 &amp; "*",INDIRECT("'TNX File'!A" &amp; $J190 &amp; ":A" &amp; $H$2),0))),"")</f>
        <v/>
      </c>
      <c r="Q190" s="399" t="str">
        <f ca="1">IFERROR(INDEX('TNX File'!A:A,P190,1),"")</f>
        <v/>
      </c>
      <c r="R190" s="399" t="str">
        <f t="shared" ca="1" si="12"/>
        <v/>
      </c>
      <c r="S190" s="399" t="str">
        <f t="shared" ca="1" si="13"/>
        <v/>
      </c>
      <c r="T190" s="399" t="str">
        <f t="shared" ca="1" si="14"/>
        <v/>
      </c>
    </row>
    <row r="191" spans="7:20" x14ac:dyDescent="0.25">
      <c r="G191" s="399">
        <v>190</v>
      </c>
      <c r="H191" s="399"/>
      <c r="I191" s="399" t="str">
        <f t="shared" si="10"/>
        <v>TowerRec=190</v>
      </c>
      <c r="J191" s="406" t="str">
        <f ca="1">IFERROR(ROW(INDEX(INDIRECT("'TNX File'!A$1:A" &amp; $H$2),MATCH('TNX File Parse'!I191,'TNX File'!A:A,0))),"")</f>
        <v/>
      </c>
      <c r="K191" s="399" t="s">
        <v>1415</v>
      </c>
      <c r="L191" s="399" t="str">
        <f ca="1">IFERROR(ROW(INDEX(INDIRECT("'TNX File'!A" &amp; $J191 &amp; ":A" &amp; $H$2),MATCH('TNX File Parse'!K191 &amp; "*",INDIRECT("'TNX File'!A" &amp; $J191 &amp; ":A" &amp; $H$2),0))),"")</f>
        <v/>
      </c>
      <c r="M191" s="399" t="str">
        <f ca="1">IFERROR(INDEX('TNX File'!A:A,L191,1),"")</f>
        <v/>
      </c>
      <c r="N191" s="399" t="str">
        <f t="shared" ca="1" si="11"/>
        <v/>
      </c>
      <c r="O191" s="399" t="s">
        <v>1417</v>
      </c>
      <c r="P191" s="399" t="str">
        <f ca="1">IFERROR(ROW(INDEX(INDIRECT("'TNX File'!A" &amp; $J191 &amp; ":A" &amp; $H$2),MATCH('TNX File Parse'!O191 &amp; "*",INDIRECT("'TNX File'!A" &amp; $J191 &amp; ":A" &amp; $H$2),0))),"")</f>
        <v/>
      </c>
      <c r="Q191" s="399" t="str">
        <f ca="1">IFERROR(INDEX('TNX File'!A:A,P191,1),"")</f>
        <v/>
      </c>
      <c r="R191" s="399" t="str">
        <f t="shared" ca="1" si="12"/>
        <v/>
      </c>
      <c r="S191" s="399" t="str">
        <f t="shared" ca="1" si="13"/>
        <v/>
      </c>
      <c r="T191" s="399" t="str">
        <f t="shared" ca="1" si="14"/>
        <v/>
      </c>
    </row>
    <row r="192" spans="7:20" x14ac:dyDescent="0.25">
      <c r="G192" s="399">
        <v>191</v>
      </c>
      <c r="H192" s="399"/>
      <c r="I192" s="399" t="str">
        <f t="shared" si="10"/>
        <v>TowerRec=191</v>
      </c>
      <c r="J192" s="406" t="str">
        <f ca="1">IFERROR(ROW(INDEX(INDIRECT("'TNX File'!A$1:A" &amp; $H$2),MATCH('TNX File Parse'!I192,'TNX File'!A:A,0))),"")</f>
        <v/>
      </c>
      <c r="K192" s="399" t="s">
        <v>1415</v>
      </c>
      <c r="L192" s="399" t="str">
        <f ca="1">IFERROR(ROW(INDEX(INDIRECT("'TNX File'!A" &amp; $J192 &amp; ":A" &amp; $H$2),MATCH('TNX File Parse'!K192 &amp; "*",INDIRECT("'TNX File'!A" &amp; $J192 &amp; ":A" &amp; $H$2),0))),"")</f>
        <v/>
      </c>
      <c r="M192" s="399" t="str">
        <f ca="1">IFERROR(INDEX('TNX File'!A:A,L192,1),"")</f>
        <v/>
      </c>
      <c r="N192" s="399" t="str">
        <f t="shared" ca="1" si="11"/>
        <v/>
      </c>
      <c r="O192" s="399" t="s">
        <v>1417</v>
      </c>
      <c r="P192" s="399" t="str">
        <f ca="1">IFERROR(ROW(INDEX(INDIRECT("'TNX File'!A" &amp; $J192 &amp; ":A" &amp; $H$2),MATCH('TNX File Parse'!O192 &amp; "*",INDIRECT("'TNX File'!A" &amp; $J192 &amp; ":A" &amp; $H$2),0))),"")</f>
        <v/>
      </c>
      <c r="Q192" s="399" t="str">
        <f ca="1">IFERROR(INDEX('TNX File'!A:A,P192,1),"")</f>
        <v/>
      </c>
      <c r="R192" s="399" t="str">
        <f t="shared" ca="1" si="12"/>
        <v/>
      </c>
      <c r="S192" s="399" t="str">
        <f t="shared" ca="1" si="13"/>
        <v/>
      </c>
      <c r="T192" s="399" t="str">
        <f t="shared" ca="1" si="14"/>
        <v/>
      </c>
    </row>
    <row r="193" spans="7:20" x14ac:dyDescent="0.25">
      <c r="G193" s="399">
        <v>192</v>
      </c>
      <c r="H193" s="399"/>
      <c r="I193" s="399" t="str">
        <f t="shared" si="10"/>
        <v>TowerRec=192</v>
      </c>
      <c r="J193" s="406" t="str">
        <f ca="1">IFERROR(ROW(INDEX(INDIRECT("'TNX File'!A$1:A" &amp; $H$2),MATCH('TNX File Parse'!I193,'TNX File'!A:A,0))),"")</f>
        <v/>
      </c>
      <c r="K193" s="399" t="s">
        <v>1415</v>
      </c>
      <c r="L193" s="399" t="str">
        <f ca="1">IFERROR(ROW(INDEX(INDIRECT("'TNX File'!A" &amp; $J193 &amp; ":A" &amp; $H$2),MATCH('TNX File Parse'!K193 &amp; "*",INDIRECT("'TNX File'!A" &amp; $J193 &amp; ":A" &amp; $H$2),0))),"")</f>
        <v/>
      </c>
      <c r="M193" s="399" t="str">
        <f ca="1">IFERROR(INDEX('TNX File'!A:A,L193,1),"")</f>
        <v/>
      </c>
      <c r="N193" s="399" t="str">
        <f t="shared" ca="1" si="11"/>
        <v/>
      </c>
      <c r="O193" s="399" t="s">
        <v>1417</v>
      </c>
      <c r="P193" s="399" t="str">
        <f ca="1">IFERROR(ROW(INDEX(INDIRECT("'TNX File'!A" &amp; $J193 &amp; ":A" &amp; $H$2),MATCH('TNX File Parse'!O193 &amp; "*",INDIRECT("'TNX File'!A" &amp; $J193 &amp; ":A" &amp; $H$2),0))),"")</f>
        <v/>
      </c>
      <c r="Q193" s="399" t="str">
        <f ca="1">IFERROR(INDEX('TNX File'!A:A,P193,1),"")</f>
        <v/>
      </c>
      <c r="R193" s="399" t="str">
        <f t="shared" ca="1" si="12"/>
        <v/>
      </c>
      <c r="S193" s="399" t="str">
        <f t="shared" ca="1" si="13"/>
        <v/>
      </c>
      <c r="T193" s="399" t="str">
        <f t="shared" ca="1" si="14"/>
        <v/>
      </c>
    </row>
    <row r="194" spans="7:20" x14ac:dyDescent="0.25">
      <c r="G194" s="399">
        <v>193</v>
      </c>
      <c r="H194" s="399"/>
      <c r="I194" s="399" t="str">
        <f t="shared" si="10"/>
        <v>TowerRec=193</v>
      </c>
      <c r="J194" s="406" t="str">
        <f ca="1">IFERROR(ROW(INDEX(INDIRECT("'TNX File'!A$1:A" &amp; $H$2),MATCH('TNX File Parse'!I194,'TNX File'!A:A,0))),"")</f>
        <v/>
      </c>
      <c r="K194" s="399" t="s">
        <v>1415</v>
      </c>
      <c r="L194" s="399" t="str">
        <f ca="1">IFERROR(ROW(INDEX(INDIRECT("'TNX File'!A" &amp; $J194 &amp; ":A" &amp; $H$2),MATCH('TNX File Parse'!K194 &amp; "*",INDIRECT("'TNX File'!A" &amp; $J194 &amp; ":A" &amp; $H$2),0))),"")</f>
        <v/>
      </c>
      <c r="M194" s="399" t="str">
        <f ca="1">IFERROR(INDEX('TNX File'!A:A,L194,1),"")</f>
        <v/>
      </c>
      <c r="N194" s="399" t="str">
        <f t="shared" ca="1" si="11"/>
        <v/>
      </c>
      <c r="O194" s="399" t="s">
        <v>1417</v>
      </c>
      <c r="P194" s="399" t="str">
        <f ca="1">IFERROR(ROW(INDEX(INDIRECT("'TNX File'!A" &amp; $J194 &amp; ":A" &amp; $H$2),MATCH('TNX File Parse'!O194 &amp; "*",INDIRECT("'TNX File'!A" &amp; $J194 &amp; ":A" &amp; $H$2),0))),"")</f>
        <v/>
      </c>
      <c r="Q194" s="399" t="str">
        <f ca="1">IFERROR(INDEX('TNX File'!A:A,P194,1),"")</f>
        <v/>
      </c>
      <c r="R194" s="399" t="str">
        <f t="shared" ca="1" si="12"/>
        <v/>
      </c>
      <c r="S194" s="399" t="str">
        <f t="shared" ca="1" si="13"/>
        <v/>
      </c>
      <c r="T194" s="399" t="str">
        <f t="shared" ca="1" si="14"/>
        <v/>
      </c>
    </row>
    <row r="195" spans="7:20" x14ac:dyDescent="0.25">
      <c r="G195" s="399">
        <v>194</v>
      </c>
      <c r="H195" s="399"/>
      <c r="I195" s="399" t="str">
        <f t="shared" ref="I195:I201" si="15">CONCATENATE("TowerRec=",G195)</f>
        <v>TowerRec=194</v>
      </c>
      <c r="J195" s="406" t="str">
        <f ca="1">IFERROR(ROW(INDEX(INDIRECT("'TNX File'!A$1:A" &amp; $H$2),MATCH('TNX File Parse'!I195,'TNX File'!A:A,0))),"")</f>
        <v/>
      </c>
      <c r="K195" s="399" t="s">
        <v>1415</v>
      </c>
      <c r="L195" s="399" t="str">
        <f ca="1">IFERROR(ROW(INDEX(INDIRECT("'TNX File'!A" &amp; $J195 &amp; ":A" &amp; $H$2),MATCH('TNX File Parse'!K195 &amp; "*",INDIRECT("'TNX File'!A" &amp; $J195 &amp; ":A" &amp; $H$2),0))),"")</f>
        <v/>
      </c>
      <c r="M195" s="399" t="str">
        <f ca="1">IFERROR(INDEX('TNX File'!A:A,L195,1),"")</f>
        <v/>
      </c>
      <c r="N195" s="399" t="str">
        <f t="shared" ref="N195:N201" ca="1" si="16">IFERROR(FIND("=",M195,1),"")</f>
        <v/>
      </c>
      <c r="O195" s="399" t="s">
        <v>1417</v>
      </c>
      <c r="P195" s="399" t="str">
        <f ca="1">IFERROR(ROW(INDEX(INDIRECT("'TNX File'!A" &amp; $J195 &amp; ":A" &amp; $H$2),MATCH('TNX File Parse'!O195 &amp; "*",INDIRECT("'TNX File'!A" &amp; $J195 &amp; ":A" &amp; $H$2),0))),"")</f>
        <v/>
      </c>
      <c r="Q195" s="399" t="str">
        <f ca="1">IFERROR(INDEX('TNX File'!A:A,P195,1),"")</f>
        <v/>
      </c>
      <c r="R195" s="399" t="str">
        <f t="shared" ref="R195:R201" ca="1" si="17">IFERROR(FIND("=",Q195,1),"")</f>
        <v/>
      </c>
      <c r="S195" s="399" t="str">
        <f t="shared" ref="S195:S201" ca="1" si="18">IFERROR(VALUE(RIGHT(M195,LEN(M195)-N195)),"")</f>
        <v/>
      </c>
      <c r="T195" s="399" t="str">
        <f t="shared" ref="T195:T201" ca="1" si="19">IFERROR(S195-VALUE(RIGHT(Q195,LEN(Q195)-R195)),"")</f>
        <v/>
      </c>
    </row>
    <row r="196" spans="7:20" x14ac:dyDescent="0.25">
      <c r="G196" s="399">
        <v>195</v>
      </c>
      <c r="H196" s="399"/>
      <c r="I196" s="399" t="str">
        <f t="shared" si="15"/>
        <v>TowerRec=195</v>
      </c>
      <c r="J196" s="406" t="str">
        <f ca="1">IFERROR(ROW(INDEX(INDIRECT("'TNX File'!A$1:A" &amp; $H$2),MATCH('TNX File Parse'!I196,'TNX File'!A:A,0))),"")</f>
        <v/>
      </c>
      <c r="K196" s="399" t="s">
        <v>1415</v>
      </c>
      <c r="L196" s="399" t="str">
        <f ca="1">IFERROR(ROW(INDEX(INDIRECT("'TNX File'!A" &amp; $J196 &amp; ":A" &amp; $H$2),MATCH('TNX File Parse'!K196 &amp; "*",INDIRECT("'TNX File'!A" &amp; $J196 &amp; ":A" &amp; $H$2),0))),"")</f>
        <v/>
      </c>
      <c r="M196" s="399" t="str">
        <f ca="1">IFERROR(INDEX('TNX File'!A:A,L196,1),"")</f>
        <v/>
      </c>
      <c r="N196" s="399" t="str">
        <f t="shared" ca="1" si="16"/>
        <v/>
      </c>
      <c r="O196" s="399" t="s">
        <v>1417</v>
      </c>
      <c r="P196" s="399" t="str">
        <f ca="1">IFERROR(ROW(INDEX(INDIRECT("'TNX File'!A" &amp; $J196 &amp; ":A" &amp; $H$2),MATCH('TNX File Parse'!O196 &amp; "*",INDIRECT("'TNX File'!A" &amp; $J196 &amp; ":A" &amp; $H$2),0))),"")</f>
        <v/>
      </c>
      <c r="Q196" s="399" t="str">
        <f ca="1">IFERROR(INDEX('TNX File'!A:A,P196,1),"")</f>
        <v/>
      </c>
      <c r="R196" s="399" t="str">
        <f t="shared" ca="1" si="17"/>
        <v/>
      </c>
      <c r="S196" s="399" t="str">
        <f t="shared" ca="1" si="18"/>
        <v/>
      </c>
      <c r="T196" s="399" t="str">
        <f t="shared" ca="1" si="19"/>
        <v/>
      </c>
    </row>
    <row r="197" spans="7:20" x14ac:dyDescent="0.25">
      <c r="G197" s="399">
        <v>196</v>
      </c>
      <c r="H197" s="399"/>
      <c r="I197" s="399" t="str">
        <f t="shared" si="15"/>
        <v>TowerRec=196</v>
      </c>
      <c r="J197" s="406" t="str">
        <f ca="1">IFERROR(ROW(INDEX(INDIRECT("'TNX File'!A$1:A" &amp; $H$2),MATCH('TNX File Parse'!I197,'TNX File'!A:A,0))),"")</f>
        <v/>
      </c>
      <c r="K197" s="399" t="s">
        <v>1415</v>
      </c>
      <c r="L197" s="399" t="str">
        <f ca="1">IFERROR(ROW(INDEX(INDIRECT("'TNX File'!A" &amp; $J197 &amp; ":A" &amp; $H$2),MATCH('TNX File Parse'!K197 &amp; "*",INDIRECT("'TNX File'!A" &amp; $J197 &amp; ":A" &amp; $H$2),0))),"")</f>
        <v/>
      </c>
      <c r="M197" s="399" t="str">
        <f ca="1">IFERROR(INDEX('TNX File'!A:A,L197,1),"")</f>
        <v/>
      </c>
      <c r="N197" s="399" t="str">
        <f t="shared" ca="1" si="16"/>
        <v/>
      </c>
      <c r="O197" s="399" t="s">
        <v>1417</v>
      </c>
      <c r="P197" s="399" t="str">
        <f ca="1">IFERROR(ROW(INDEX(INDIRECT("'TNX File'!A" &amp; $J197 &amp; ":A" &amp; $H$2),MATCH('TNX File Parse'!O197 &amp; "*",INDIRECT("'TNX File'!A" &amp; $J197 &amp; ":A" &amp; $H$2),0))),"")</f>
        <v/>
      </c>
      <c r="Q197" s="399" t="str">
        <f ca="1">IFERROR(INDEX('TNX File'!A:A,P197,1),"")</f>
        <v/>
      </c>
      <c r="R197" s="399" t="str">
        <f t="shared" ca="1" si="17"/>
        <v/>
      </c>
      <c r="S197" s="399" t="str">
        <f t="shared" ca="1" si="18"/>
        <v/>
      </c>
      <c r="T197" s="399" t="str">
        <f t="shared" ca="1" si="19"/>
        <v/>
      </c>
    </row>
    <row r="198" spans="7:20" x14ac:dyDescent="0.25">
      <c r="G198" s="399">
        <v>197</v>
      </c>
      <c r="H198" s="399"/>
      <c r="I198" s="399" t="str">
        <f t="shared" si="15"/>
        <v>TowerRec=197</v>
      </c>
      <c r="J198" s="406" t="str">
        <f ca="1">IFERROR(ROW(INDEX(INDIRECT("'TNX File'!A$1:A" &amp; $H$2),MATCH('TNX File Parse'!I198,'TNX File'!A:A,0))),"")</f>
        <v/>
      </c>
      <c r="K198" s="399" t="s">
        <v>1415</v>
      </c>
      <c r="L198" s="399" t="str">
        <f ca="1">IFERROR(ROW(INDEX(INDIRECT("'TNX File'!A" &amp; $J198 &amp; ":A" &amp; $H$2),MATCH('TNX File Parse'!K198 &amp; "*",INDIRECT("'TNX File'!A" &amp; $J198 &amp; ":A" &amp; $H$2),0))),"")</f>
        <v/>
      </c>
      <c r="M198" s="399" t="str">
        <f ca="1">IFERROR(INDEX('TNX File'!A:A,L198,1),"")</f>
        <v/>
      </c>
      <c r="N198" s="399" t="str">
        <f t="shared" ca="1" si="16"/>
        <v/>
      </c>
      <c r="O198" s="399" t="s">
        <v>1417</v>
      </c>
      <c r="P198" s="399" t="str">
        <f ca="1">IFERROR(ROW(INDEX(INDIRECT("'TNX File'!A" &amp; $J198 &amp; ":A" &amp; $H$2),MATCH('TNX File Parse'!O198 &amp; "*",INDIRECT("'TNX File'!A" &amp; $J198 &amp; ":A" &amp; $H$2),0))),"")</f>
        <v/>
      </c>
      <c r="Q198" s="399" t="str">
        <f ca="1">IFERROR(INDEX('TNX File'!A:A,P198,1),"")</f>
        <v/>
      </c>
      <c r="R198" s="399" t="str">
        <f t="shared" ca="1" si="17"/>
        <v/>
      </c>
      <c r="S198" s="399" t="str">
        <f t="shared" ca="1" si="18"/>
        <v/>
      </c>
      <c r="T198" s="399" t="str">
        <f t="shared" ca="1" si="19"/>
        <v/>
      </c>
    </row>
    <row r="199" spans="7:20" x14ac:dyDescent="0.25">
      <c r="G199" s="399">
        <v>198</v>
      </c>
      <c r="H199" s="399"/>
      <c r="I199" s="399" t="str">
        <f t="shared" si="15"/>
        <v>TowerRec=198</v>
      </c>
      <c r="J199" s="406" t="str">
        <f ca="1">IFERROR(ROW(INDEX(INDIRECT("'TNX File'!A$1:A" &amp; $H$2),MATCH('TNX File Parse'!I199,'TNX File'!A:A,0))),"")</f>
        <v/>
      </c>
      <c r="K199" s="399" t="s">
        <v>1415</v>
      </c>
      <c r="L199" s="399" t="str">
        <f ca="1">IFERROR(ROW(INDEX(INDIRECT("'TNX File'!A" &amp; $J199 &amp; ":A" &amp; $H$2),MATCH('TNX File Parse'!K199 &amp; "*",INDIRECT("'TNX File'!A" &amp; $J199 &amp; ":A" &amp; $H$2),0))),"")</f>
        <v/>
      </c>
      <c r="M199" s="399" t="str">
        <f ca="1">IFERROR(INDEX('TNX File'!A:A,L199,1),"")</f>
        <v/>
      </c>
      <c r="N199" s="399" t="str">
        <f t="shared" ca="1" si="16"/>
        <v/>
      </c>
      <c r="O199" s="399" t="s">
        <v>1417</v>
      </c>
      <c r="P199" s="399" t="str">
        <f ca="1">IFERROR(ROW(INDEX(INDIRECT("'TNX File'!A" &amp; $J199 &amp; ":A" &amp; $H$2),MATCH('TNX File Parse'!O199 &amp; "*",INDIRECT("'TNX File'!A" &amp; $J199 &amp; ":A" &amp; $H$2),0))),"")</f>
        <v/>
      </c>
      <c r="Q199" s="399" t="str">
        <f ca="1">IFERROR(INDEX('TNX File'!A:A,P199,1),"")</f>
        <v/>
      </c>
      <c r="R199" s="399" t="str">
        <f t="shared" ca="1" si="17"/>
        <v/>
      </c>
      <c r="S199" s="399" t="str">
        <f t="shared" ca="1" si="18"/>
        <v/>
      </c>
      <c r="T199" s="399" t="str">
        <f t="shared" ca="1" si="19"/>
        <v/>
      </c>
    </row>
    <row r="200" spans="7:20" x14ac:dyDescent="0.25">
      <c r="G200" s="399">
        <v>199</v>
      </c>
      <c r="H200" s="399"/>
      <c r="I200" s="399" t="str">
        <f t="shared" si="15"/>
        <v>TowerRec=199</v>
      </c>
      <c r="J200" s="406" t="str">
        <f ca="1">IFERROR(ROW(INDEX(INDIRECT("'TNX File'!A$1:A" &amp; $H$2),MATCH('TNX File Parse'!I200,'TNX File'!A:A,0))),"")</f>
        <v/>
      </c>
      <c r="K200" s="399" t="s">
        <v>1415</v>
      </c>
      <c r="L200" s="399" t="str">
        <f ca="1">IFERROR(ROW(INDEX(INDIRECT("'TNX File'!A" &amp; $J200 &amp; ":A" &amp; $H$2),MATCH('TNX File Parse'!K200 &amp; "*",INDIRECT("'TNX File'!A" &amp; $J200 &amp; ":A" &amp; $H$2),0))),"")</f>
        <v/>
      </c>
      <c r="M200" s="399" t="str">
        <f ca="1">IFERROR(INDEX('TNX File'!A:A,L200,1),"")</f>
        <v/>
      </c>
      <c r="N200" s="399" t="str">
        <f t="shared" ca="1" si="16"/>
        <v/>
      </c>
      <c r="O200" s="399" t="s">
        <v>1417</v>
      </c>
      <c r="P200" s="399" t="str">
        <f ca="1">IFERROR(ROW(INDEX(INDIRECT("'TNX File'!A" &amp; $J200 &amp; ":A" &amp; $H$2),MATCH('TNX File Parse'!O200 &amp; "*",INDIRECT("'TNX File'!A" &amp; $J200 &amp; ":A" &amp; $H$2),0))),"")</f>
        <v/>
      </c>
      <c r="Q200" s="399" t="str">
        <f ca="1">IFERROR(INDEX('TNX File'!A:A,P200,1),"")</f>
        <v/>
      </c>
      <c r="R200" s="399" t="str">
        <f t="shared" ca="1" si="17"/>
        <v/>
      </c>
      <c r="S200" s="399" t="str">
        <f t="shared" ca="1" si="18"/>
        <v/>
      </c>
      <c r="T200" s="399" t="str">
        <f t="shared" ca="1" si="19"/>
        <v/>
      </c>
    </row>
    <row r="201" spans="7:20" x14ac:dyDescent="0.25">
      <c r="G201" s="399">
        <v>200</v>
      </c>
      <c r="H201" s="399"/>
      <c r="I201" s="399" t="str">
        <f t="shared" si="15"/>
        <v>TowerRec=200</v>
      </c>
      <c r="J201" s="406" t="str">
        <f ca="1">IFERROR(ROW(INDEX(INDIRECT("'TNX File'!A$1:A" &amp; $H$2),MATCH('TNX File Parse'!I201,'TNX File'!A:A,0))),"")</f>
        <v/>
      </c>
      <c r="K201" s="399" t="s">
        <v>1415</v>
      </c>
      <c r="L201" s="399" t="str">
        <f ca="1">IFERROR(ROW(INDEX(INDIRECT("'TNX File'!A" &amp; $J201 &amp; ":A" &amp; $H$2),MATCH('TNX File Parse'!K201 &amp; "*",INDIRECT("'TNX File'!A" &amp; $J201 &amp; ":A" &amp; $H$2),0))),"")</f>
        <v/>
      </c>
      <c r="M201" s="399" t="str">
        <f ca="1">IFERROR(INDEX('TNX File'!A:A,L201,1),"")</f>
        <v/>
      </c>
      <c r="N201" s="399" t="str">
        <f t="shared" ca="1" si="16"/>
        <v/>
      </c>
      <c r="O201" s="399" t="s">
        <v>1417</v>
      </c>
      <c r="P201" s="399" t="str">
        <f ca="1">IFERROR(ROW(INDEX(INDIRECT("'TNX File'!A" &amp; $J201 &amp; ":A" &amp; $H$2),MATCH('TNX File Parse'!O201 &amp; "*",INDIRECT("'TNX File'!A" &amp; $J201 &amp; ":A" &amp; $H$2),0))),"")</f>
        <v/>
      </c>
      <c r="Q201" s="399" t="str">
        <f ca="1">IFERROR(INDEX('TNX File'!A:A,P201,1),"")</f>
        <v/>
      </c>
      <c r="R201" s="399" t="str">
        <f t="shared" ca="1" si="17"/>
        <v/>
      </c>
      <c r="S201" s="399" t="str">
        <f t="shared" ca="1" si="18"/>
        <v/>
      </c>
      <c r="T201" s="399" t="str">
        <f t="shared" ca="1" si="19"/>
        <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F33CFCC-1176-4406-ABD6-951DE4503786}">
  <sheetPr codeName="Sheet13"/>
  <dimension ref="B110:M2695"/>
  <sheetViews>
    <sheetView topLeftCell="A1782" workbookViewId="0">
      <selection sqref="A1:R2097"/>
    </sheetView>
  </sheetViews>
  <sheetFormatPr defaultRowHeight="15" x14ac:dyDescent="0.25"/>
  <sheetData>
    <row r="110" ht="23.25" customHeight="1" x14ac:dyDescent="0.25"/>
    <row r="130" spans="3:6" x14ac:dyDescent="0.25">
      <c r="C130" s="389"/>
      <c r="F130" s="389"/>
    </row>
    <row r="132" spans="3:6" x14ac:dyDescent="0.25">
      <c r="C132" s="389"/>
      <c r="F132" s="389"/>
    </row>
    <row r="134" spans="3:6" x14ac:dyDescent="0.25">
      <c r="C134" s="389"/>
      <c r="F134" s="389"/>
    </row>
    <row r="147" ht="15.75" customHeight="1" x14ac:dyDescent="0.25"/>
    <row r="191" ht="23.25" customHeight="1" x14ac:dyDescent="0.25"/>
    <row r="195" spans="4:13" x14ac:dyDescent="0.25">
      <c r="D195" s="389"/>
      <c r="F195" s="394"/>
      <c r="M195" s="394"/>
    </row>
    <row r="196" spans="4:13" x14ac:dyDescent="0.25">
      <c r="D196" s="389"/>
      <c r="F196" s="394"/>
      <c r="M196" s="394"/>
    </row>
    <row r="197" spans="4:13" x14ac:dyDescent="0.25">
      <c r="D197" s="389"/>
      <c r="F197" s="394"/>
      <c r="M197" s="394"/>
    </row>
    <row r="198" spans="4:13" x14ac:dyDescent="0.25">
      <c r="D198" s="389"/>
      <c r="F198" s="394"/>
      <c r="M198" s="394"/>
    </row>
    <row r="199" spans="4:13" x14ac:dyDescent="0.25">
      <c r="D199" s="389"/>
      <c r="F199" s="394"/>
      <c r="M199" s="394"/>
    </row>
    <row r="200" spans="4:13" x14ac:dyDescent="0.25">
      <c r="D200" s="389"/>
      <c r="F200" s="394"/>
      <c r="M200" s="394"/>
    </row>
    <row r="201" spans="4:13" x14ac:dyDescent="0.25">
      <c r="D201" s="389"/>
      <c r="F201" s="394"/>
      <c r="M201" s="394"/>
    </row>
    <row r="202" spans="4:13" x14ac:dyDescent="0.25">
      <c r="D202" s="389"/>
      <c r="F202" s="394"/>
      <c r="M202" s="394"/>
    </row>
    <row r="203" spans="4:13" x14ac:dyDescent="0.25">
      <c r="D203" s="389"/>
      <c r="F203" s="394"/>
      <c r="M203" s="394"/>
    </row>
    <row r="219" spans="9:9" ht="16.5" customHeight="1" x14ac:dyDescent="0.25"/>
    <row r="224" spans="9:9" x14ac:dyDescent="0.25">
      <c r="I224" s="390"/>
    </row>
    <row r="226" spans="9:9" x14ac:dyDescent="0.25">
      <c r="I226" s="390"/>
    </row>
    <row r="228" spans="9:9" x14ac:dyDescent="0.25">
      <c r="I228" s="390"/>
    </row>
    <row r="231" spans="9:9" ht="16.5" customHeight="1" x14ac:dyDescent="0.25"/>
    <row r="262" ht="16.5" customHeight="1" x14ac:dyDescent="0.25"/>
    <row r="288" ht="15" customHeight="1" x14ac:dyDescent="0.25"/>
    <row r="291" ht="15" customHeight="1" x14ac:dyDescent="0.25"/>
    <row r="294" ht="15" customHeight="1" x14ac:dyDescent="0.25"/>
    <row r="297" ht="15" customHeight="1" x14ac:dyDescent="0.25"/>
    <row r="300" ht="15" customHeight="1" x14ac:dyDescent="0.25"/>
    <row r="303" ht="15" customHeight="1" x14ac:dyDescent="0.25"/>
    <row r="306" spans="2:2" ht="15" customHeight="1" x14ac:dyDescent="0.25"/>
    <row r="307" spans="2:2" x14ac:dyDescent="0.25">
      <c r="B307" s="398"/>
    </row>
    <row r="309" spans="2:2" ht="15" customHeight="1" x14ac:dyDescent="0.25"/>
    <row r="312" spans="2:2" ht="15" customHeight="1" x14ac:dyDescent="0.25"/>
    <row r="315" spans="2:2" ht="15" customHeight="1" x14ac:dyDescent="0.25"/>
    <row r="318" spans="2:2" ht="15" customHeight="1" x14ac:dyDescent="0.25"/>
    <row r="331" ht="15" customHeight="1" x14ac:dyDescent="0.25"/>
    <row r="334" ht="15" customHeight="1" x14ac:dyDescent="0.25"/>
    <row r="337" spans="6:13" ht="15" customHeight="1" x14ac:dyDescent="0.25"/>
    <row r="340" spans="6:13" ht="15" customHeight="1" x14ac:dyDescent="0.25"/>
    <row r="343" spans="6:13" ht="15" customHeight="1" x14ac:dyDescent="0.25"/>
    <row r="345" spans="6:13" x14ac:dyDescent="0.25">
      <c r="F345" s="394"/>
      <c r="M345" s="394"/>
    </row>
    <row r="346" spans="6:13" ht="15" customHeight="1" x14ac:dyDescent="0.25">
      <c r="F346" s="394"/>
      <c r="M346" s="394"/>
    </row>
    <row r="347" spans="6:13" x14ac:dyDescent="0.25">
      <c r="F347" s="394"/>
      <c r="M347" s="394"/>
    </row>
    <row r="348" spans="6:13" x14ac:dyDescent="0.25">
      <c r="F348" s="394"/>
      <c r="M348" s="394"/>
    </row>
    <row r="349" spans="6:13" ht="15" customHeight="1" x14ac:dyDescent="0.25">
      <c r="F349" s="394"/>
      <c r="M349" s="394"/>
    </row>
    <row r="350" spans="6:13" x14ac:dyDescent="0.25">
      <c r="F350" s="394"/>
      <c r="M350" s="394"/>
    </row>
    <row r="351" spans="6:13" x14ac:dyDescent="0.25">
      <c r="F351" s="394"/>
      <c r="M351" s="394"/>
    </row>
    <row r="352" spans="6:13" ht="15" customHeight="1" x14ac:dyDescent="0.25">
      <c r="F352" s="394"/>
      <c r="M352" s="394"/>
    </row>
    <row r="353" spans="6:13" x14ac:dyDescent="0.25">
      <c r="F353" s="394"/>
      <c r="M353" s="394"/>
    </row>
    <row r="354" spans="6:13" x14ac:dyDescent="0.25">
      <c r="F354" s="394"/>
      <c r="M354" s="394"/>
    </row>
    <row r="355" spans="6:13" ht="15" customHeight="1" x14ac:dyDescent="0.25">
      <c r="F355" s="394"/>
      <c r="M355" s="394"/>
    </row>
    <row r="356" spans="6:13" x14ac:dyDescent="0.25">
      <c r="F356" s="394"/>
      <c r="M356" s="394"/>
    </row>
    <row r="357" spans="6:13" x14ac:dyDescent="0.25">
      <c r="F357" s="394"/>
      <c r="M357" s="394"/>
    </row>
    <row r="358" spans="6:13" ht="15" customHeight="1" x14ac:dyDescent="0.25">
      <c r="F358" s="394"/>
      <c r="M358" s="394"/>
    </row>
    <row r="359" spans="6:13" x14ac:dyDescent="0.25">
      <c r="F359" s="394"/>
      <c r="M359" s="394"/>
    </row>
    <row r="360" spans="6:13" x14ac:dyDescent="0.25">
      <c r="F360" s="394"/>
      <c r="M360" s="394"/>
    </row>
    <row r="361" spans="6:13" ht="15" customHeight="1" x14ac:dyDescent="0.25">
      <c r="F361" s="394"/>
      <c r="M361" s="394"/>
    </row>
    <row r="362" spans="6:13" x14ac:dyDescent="0.25">
      <c r="F362" s="394"/>
      <c r="M362" s="394"/>
    </row>
    <row r="363" spans="6:13" x14ac:dyDescent="0.25">
      <c r="F363" s="394"/>
      <c r="M363" s="394"/>
    </row>
    <row r="364" spans="6:13" x14ac:dyDescent="0.25">
      <c r="F364" s="394"/>
      <c r="M364" s="394"/>
    </row>
    <row r="365" spans="6:13" x14ac:dyDescent="0.25">
      <c r="F365" s="394"/>
      <c r="M365" s="394"/>
    </row>
    <row r="366" spans="6:13" x14ac:dyDescent="0.25">
      <c r="F366" s="394"/>
      <c r="M366" s="394"/>
    </row>
    <row r="375" ht="15" customHeight="1" x14ac:dyDescent="0.25"/>
    <row r="378" ht="15" customHeight="1" x14ac:dyDescent="0.25"/>
    <row r="381" ht="15" customHeight="1" x14ac:dyDescent="0.25"/>
    <row r="384" ht="15" customHeight="1" x14ac:dyDescent="0.25"/>
    <row r="387" ht="15" customHeight="1" x14ac:dyDescent="0.25"/>
    <row r="390" ht="15" customHeight="1" x14ac:dyDescent="0.25"/>
    <row r="393" ht="15" customHeight="1" x14ac:dyDescent="0.25"/>
    <row r="396" ht="15" customHeight="1" x14ac:dyDescent="0.25"/>
    <row r="399" ht="15" customHeight="1" x14ac:dyDescent="0.25"/>
    <row r="402" spans="6:13" ht="15" customHeight="1" x14ac:dyDescent="0.25"/>
    <row r="405" spans="6:13" ht="15" customHeight="1" x14ac:dyDescent="0.25"/>
    <row r="410" spans="6:13" x14ac:dyDescent="0.25">
      <c r="F410" s="394"/>
      <c r="M410" s="394"/>
    </row>
    <row r="411" spans="6:13" x14ac:dyDescent="0.25">
      <c r="F411" s="394"/>
      <c r="M411" s="394"/>
    </row>
    <row r="412" spans="6:13" x14ac:dyDescent="0.25">
      <c r="F412" s="394"/>
      <c r="M412" s="394"/>
    </row>
    <row r="413" spans="6:13" x14ac:dyDescent="0.25">
      <c r="F413" s="394"/>
      <c r="M413" s="394"/>
    </row>
    <row r="414" spans="6:13" x14ac:dyDescent="0.25">
      <c r="F414" s="394"/>
      <c r="H414" s="397"/>
      <c r="M414" s="394"/>
    </row>
    <row r="415" spans="6:13" x14ac:dyDescent="0.25">
      <c r="F415" s="394"/>
      <c r="H415" s="397"/>
      <c r="M415" s="394"/>
    </row>
    <row r="416" spans="6:13" ht="15" customHeight="1" x14ac:dyDescent="0.25">
      <c r="F416" s="394"/>
      <c r="H416" s="397"/>
      <c r="M416" s="394"/>
    </row>
    <row r="417" spans="6:13" x14ac:dyDescent="0.25">
      <c r="F417" s="394"/>
      <c r="H417" s="397"/>
      <c r="M417" s="394"/>
    </row>
    <row r="418" spans="6:13" x14ac:dyDescent="0.25">
      <c r="F418" s="394"/>
      <c r="H418" s="397"/>
      <c r="M418" s="394"/>
    </row>
    <row r="419" spans="6:13" ht="15" customHeight="1" x14ac:dyDescent="0.25">
      <c r="F419" s="394"/>
      <c r="H419" s="397"/>
      <c r="M419" s="394"/>
    </row>
    <row r="420" spans="6:13" x14ac:dyDescent="0.25">
      <c r="F420" s="394"/>
      <c r="H420" s="397"/>
      <c r="M420" s="394"/>
    </row>
    <row r="421" spans="6:13" x14ac:dyDescent="0.25">
      <c r="F421" s="394"/>
      <c r="H421" s="397"/>
      <c r="M421" s="394"/>
    </row>
    <row r="422" spans="6:13" ht="15" customHeight="1" x14ac:dyDescent="0.25">
      <c r="F422" s="394"/>
      <c r="H422" s="397"/>
      <c r="M422" s="394"/>
    </row>
    <row r="423" spans="6:13" x14ac:dyDescent="0.25">
      <c r="F423" s="394"/>
      <c r="H423" s="397"/>
      <c r="M423" s="394"/>
    </row>
    <row r="424" spans="6:13" x14ac:dyDescent="0.25">
      <c r="F424" s="394"/>
      <c r="H424" s="397"/>
      <c r="M424" s="394"/>
    </row>
    <row r="425" spans="6:13" ht="15" customHeight="1" x14ac:dyDescent="0.25">
      <c r="F425" s="394"/>
      <c r="H425" s="397"/>
      <c r="M425" s="394"/>
    </row>
    <row r="426" spans="6:13" x14ac:dyDescent="0.25">
      <c r="F426" s="394"/>
      <c r="H426" s="397"/>
      <c r="M426" s="394"/>
    </row>
    <row r="427" spans="6:13" x14ac:dyDescent="0.25">
      <c r="F427" s="394"/>
      <c r="H427" s="397"/>
      <c r="M427" s="394"/>
    </row>
    <row r="428" spans="6:13" ht="15" customHeight="1" x14ac:dyDescent="0.25">
      <c r="F428" s="394"/>
      <c r="H428" s="397"/>
      <c r="M428" s="394"/>
    </row>
    <row r="429" spans="6:13" x14ac:dyDescent="0.25">
      <c r="F429" s="394"/>
      <c r="H429" s="397"/>
      <c r="M429" s="394"/>
    </row>
    <row r="430" spans="6:13" x14ac:dyDescent="0.25">
      <c r="F430" s="394"/>
      <c r="H430" s="397"/>
      <c r="M430" s="394"/>
    </row>
    <row r="431" spans="6:13" ht="15" customHeight="1" x14ac:dyDescent="0.25">
      <c r="F431" s="394"/>
      <c r="H431" s="397"/>
      <c r="M431" s="394"/>
    </row>
    <row r="432" spans="6:13" x14ac:dyDescent="0.25">
      <c r="H432" s="397"/>
    </row>
    <row r="433" spans="8:8" x14ac:dyDescent="0.25">
      <c r="H433" s="397"/>
    </row>
    <row r="434" spans="8:8" ht="15" customHeight="1" x14ac:dyDescent="0.25">
      <c r="H434" s="397"/>
    </row>
    <row r="435" spans="8:8" x14ac:dyDescent="0.25">
      <c r="H435" s="397"/>
    </row>
    <row r="436" spans="8:8" x14ac:dyDescent="0.25">
      <c r="H436" s="397"/>
    </row>
    <row r="437" spans="8:8" ht="15" customHeight="1" x14ac:dyDescent="0.25">
      <c r="H437" s="397"/>
    </row>
    <row r="438" spans="8:8" x14ac:dyDescent="0.25">
      <c r="H438" s="397"/>
    </row>
    <row r="439" spans="8:8" x14ac:dyDescent="0.25">
      <c r="H439" s="397"/>
    </row>
    <row r="440" spans="8:8" ht="15" customHeight="1" x14ac:dyDescent="0.25">
      <c r="H440" s="397"/>
    </row>
    <row r="441" spans="8:8" x14ac:dyDescent="0.25">
      <c r="H441" s="397"/>
    </row>
    <row r="442" spans="8:8" x14ac:dyDescent="0.25">
      <c r="H442" s="397"/>
    </row>
    <row r="443" spans="8:8" ht="15" customHeight="1" x14ac:dyDescent="0.25">
      <c r="H443" s="397"/>
    </row>
    <row r="444" spans="8:8" x14ac:dyDescent="0.25">
      <c r="H444" s="397"/>
    </row>
    <row r="445" spans="8:8" x14ac:dyDescent="0.25">
      <c r="H445" s="397"/>
    </row>
    <row r="446" spans="8:8" ht="15" customHeight="1" x14ac:dyDescent="0.25">
      <c r="H446" s="397"/>
    </row>
    <row r="447" spans="8:8" x14ac:dyDescent="0.25">
      <c r="H447" s="397"/>
    </row>
    <row r="448" spans="8:8" x14ac:dyDescent="0.25">
      <c r="H448" s="397"/>
    </row>
    <row r="449" spans="8:8" x14ac:dyDescent="0.25">
      <c r="H449" s="397"/>
    </row>
    <row r="450" spans="8:8" x14ac:dyDescent="0.25">
      <c r="H450" s="397"/>
    </row>
    <row r="451" spans="8:8" x14ac:dyDescent="0.25">
      <c r="H451" s="397"/>
    </row>
    <row r="452" spans="8:8" x14ac:dyDescent="0.25">
      <c r="H452" s="397"/>
    </row>
    <row r="453" spans="8:8" x14ac:dyDescent="0.25">
      <c r="H453" s="397"/>
    </row>
    <row r="454" spans="8:8" x14ac:dyDescent="0.25">
      <c r="H454" s="397"/>
    </row>
    <row r="455" spans="8:8" x14ac:dyDescent="0.25">
      <c r="H455" s="397"/>
    </row>
    <row r="456" spans="8:8" x14ac:dyDescent="0.25">
      <c r="H456" s="397"/>
    </row>
    <row r="457" spans="8:8" x14ac:dyDescent="0.25">
      <c r="H457" s="397"/>
    </row>
    <row r="458" spans="8:8" x14ac:dyDescent="0.25">
      <c r="H458" s="397"/>
    </row>
    <row r="459" spans="8:8" x14ac:dyDescent="0.25">
      <c r="H459" s="397"/>
    </row>
    <row r="460" spans="8:8" ht="15" customHeight="1" x14ac:dyDescent="0.25">
      <c r="H460" s="397"/>
    </row>
    <row r="461" spans="8:8" x14ac:dyDescent="0.25">
      <c r="H461" s="397"/>
    </row>
    <row r="462" spans="8:8" x14ac:dyDescent="0.25">
      <c r="H462" s="397"/>
    </row>
    <row r="463" spans="8:8" ht="15" customHeight="1" x14ac:dyDescent="0.25">
      <c r="H463" s="397"/>
    </row>
    <row r="466" ht="15" customHeight="1" x14ac:dyDescent="0.25"/>
    <row r="469" ht="15" customHeight="1" x14ac:dyDescent="0.25"/>
    <row r="472" ht="15" customHeight="1" x14ac:dyDescent="0.25"/>
    <row r="475" ht="15" customHeight="1" x14ac:dyDescent="0.25"/>
    <row r="478" ht="15" customHeight="1" x14ac:dyDescent="0.25"/>
    <row r="481" ht="15" customHeight="1" x14ac:dyDescent="0.25"/>
    <row r="484" ht="15" customHeight="1" x14ac:dyDescent="0.25"/>
    <row r="487" ht="15" customHeight="1" x14ac:dyDescent="0.25"/>
    <row r="490" ht="15" customHeight="1" x14ac:dyDescent="0.25"/>
    <row r="504" ht="15" customHeight="1" x14ac:dyDescent="0.25"/>
    <row r="507" ht="15" customHeight="1" x14ac:dyDescent="0.25"/>
    <row r="510" ht="15" customHeight="1" x14ac:dyDescent="0.25"/>
    <row r="513" ht="15" customHeight="1" x14ac:dyDescent="0.25"/>
    <row r="516" ht="15" customHeight="1" x14ac:dyDescent="0.25"/>
    <row r="519" ht="15" customHeight="1" x14ac:dyDescent="0.25"/>
    <row r="522" ht="15" customHeight="1" x14ac:dyDescent="0.25"/>
    <row r="525" ht="15" customHeight="1" x14ac:dyDescent="0.25"/>
    <row r="528" ht="15" customHeight="1" x14ac:dyDescent="0.25"/>
    <row r="529" spans="2:2" x14ac:dyDescent="0.25">
      <c r="B529" s="398"/>
    </row>
    <row r="531" spans="2:2" ht="15" customHeight="1" x14ac:dyDescent="0.25"/>
    <row r="534" spans="2:2" ht="15" customHeight="1" x14ac:dyDescent="0.25"/>
    <row r="538" spans="2:2" x14ac:dyDescent="0.25">
      <c r="B538" s="398"/>
    </row>
    <row r="548" ht="15" customHeight="1" x14ac:dyDescent="0.25"/>
    <row r="551" ht="15" customHeight="1" x14ac:dyDescent="0.25"/>
    <row r="554" ht="15" customHeight="1" x14ac:dyDescent="0.25"/>
    <row r="557" ht="15" customHeight="1" x14ac:dyDescent="0.25"/>
    <row r="560" ht="15" customHeight="1" x14ac:dyDescent="0.25"/>
    <row r="563" spans="2:2" ht="15" customHeight="1" x14ac:dyDescent="0.25">
      <c r="B563" s="398"/>
    </row>
    <row r="566" spans="2:2" ht="15" customHeight="1" x14ac:dyDescent="0.25"/>
    <row r="569" spans="2:2" ht="15" customHeight="1" x14ac:dyDescent="0.25"/>
    <row r="572" spans="2:2" ht="15" customHeight="1" x14ac:dyDescent="0.25"/>
    <row r="575" spans="2:2" ht="15" customHeight="1" x14ac:dyDescent="0.25"/>
    <row r="576" spans="2:2" x14ac:dyDescent="0.25">
      <c r="B576" s="398"/>
    </row>
    <row r="578" spans="2:2" ht="15" customHeight="1" x14ac:dyDescent="0.25"/>
    <row r="589" spans="2:2" x14ac:dyDescent="0.25">
      <c r="B589" s="398"/>
    </row>
    <row r="592" spans="2:2" ht="15" customHeight="1" x14ac:dyDescent="0.25"/>
    <row r="595" spans="2:2" ht="15" customHeight="1" x14ac:dyDescent="0.25"/>
    <row r="598" spans="2:2" ht="15" customHeight="1" x14ac:dyDescent="0.25"/>
    <row r="601" spans="2:2" ht="15" customHeight="1" x14ac:dyDescent="0.25"/>
    <row r="604" spans="2:2" ht="15" customHeight="1" x14ac:dyDescent="0.25">
      <c r="B604" s="398"/>
    </row>
    <row r="607" spans="2:2" ht="15" customHeight="1" x14ac:dyDescent="0.25"/>
    <row r="610" spans="2:2" ht="15" customHeight="1" x14ac:dyDescent="0.25"/>
    <row r="613" spans="2:2" ht="15" customHeight="1" x14ac:dyDescent="0.25"/>
    <row r="616" spans="2:2" ht="15" customHeight="1" x14ac:dyDescent="0.25">
      <c r="B616" s="398"/>
    </row>
    <row r="619" spans="2:2" ht="15" customHeight="1" x14ac:dyDescent="0.25"/>
    <row r="622" spans="2:2" ht="15" customHeight="1" x14ac:dyDescent="0.25"/>
    <row r="628" spans="2:2" x14ac:dyDescent="0.25">
      <c r="B628" s="398"/>
    </row>
    <row r="636" spans="2:2" ht="15" customHeight="1" x14ac:dyDescent="0.25"/>
    <row r="639" spans="2:2" ht="15" customHeight="1" x14ac:dyDescent="0.25">
      <c r="B639" s="398"/>
    </row>
    <row r="640" spans="2:2" x14ac:dyDescent="0.25">
      <c r="B640" s="398"/>
    </row>
    <row r="642" spans="2:2" ht="15" customHeight="1" x14ac:dyDescent="0.25">
      <c r="B642" s="398"/>
    </row>
    <row r="645" spans="2:2" ht="15" customHeight="1" x14ac:dyDescent="0.25"/>
    <row r="648" spans="2:2" ht="15" customHeight="1" x14ac:dyDescent="0.25"/>
    <row r="651" spans="2:2" ht="15" customHeight="1" x14ac:dyDescent="0.25"/>
    <row r="654" spans="2:2" ht="15" customHeight="1" x14ac:dyDescent="0.25"/>
    <row r="657" ht="15" customHeight="1" x14ac:dyDescent="0.25"/>
    <row r="660" ht="15" customHeight="1" x14ac:dyDescent="0.25"/>
    <row r="663" ht="15" customHeight="1" x14ac:dyDescent="0.25"/>
    <row r="666" ht="15" customHeight="1" x14ac:dyDescent="0.25"/>
    <row r="680" ht="15" customHeight="1" x14ac:dyDescent="0.25"/>
    <row r="683" ht="15" customHeight="1" x14ac:dyDescent="0.25"/>
    <row r="686" ht="15" customHeight="1" x14ac:dyDescent="0.25"/>
    <row r="689" ht="15" customHeight="1" x14ac:dyDescent="0.25"/>
    <row r="692" ht="15" customHeight="1" x14ac:dyDescent="0.25"/>
    <row r="695" ht="15" customHeight="1" x14ac:dyDescent="0.25"/>
    <row r="698" ht="15" customHeight="1" x14ac:dyDescent="0.25"/>
    <row r="701" ht="15" customHeight="1" x14ac:dyDescent="0.25"/>
    <row r="704" ht="15" customHeight="1" x14ac:dyDescent="0.25"/>
    <row r="707" ht="15" customHeight="1" x14ac:dyDescent="0.25"/>
    <row r="710" ht="15" customHeight="1" x14ac:dyDescent="0.25"/>
    <row r="724" ht="15" customHeight="1" x14ac:dyDescent="0.25"/>
    <row r="727" ht="15" customHeight="1" x14ac:dyDescent="0.25"/>
    <row r="730" ht="15" customHeight="1" x14ac:dyDescent="0.25"/>
    <row r="733" ht="15" customHeight="1" x14ac:dyDescent="0.25"/>
    <row r="736" ht="15" customHeight="1" x14ac:dyDescent="0.25"/>
    <row r="739" ht="15" customHeight="1" x14ac:dyDescent="0.25"/>
    <row r="742" ht="15" customHeight="1" x14ac:dyDescent="0.25"/>
    <row r="745" ht="15" customHeight="1" x14ac:dyDescent="0.25"/>
    <row r="748" ht="15" customHeight="1" x14ac:dyDescent="0.25"/>
    <row r="751" ht="15" customHeight="1" x14ac:dyDescent="0.25"/>
    <row r="754" ht="15" customHeight="1" x14ac:dyDescent="0.25"/>
    <row r="768" ht="15" customHeight="1" x14ac:dyDescent="0.25"/>
    <row r="771" ht="15" customHeight="1" x14ac:dyDescent="0.25"/>
    <row r="774" ht="15" customHeight="1" x14ac:dyDescent="0.25"/>
    <row r="777" ht="15" customHeight="1" x14ac:dyDescent="0.25"/>
    <row r="780" ht="15" customHeight="1" x14ac:dyDescent="0.25"/>
    <row r="783" ht="15" customHeight="1" x14ac:dyDescent="0.25"/>
    <row r="786" ht="15" customHeight="1" x14ac:dyDescent="0.25"/>
    <row r="789" ht="15" customHeight="1" x14ac:dyDescent="0.25"/>
    <row r="792" ht="15" customHeight="1" x14ac:dyDescent="0.25"/>
    <row r="795" ht="15" customHeight="1" x14ac:dyDescent="0.25"/>
    <row r="798" ht="15" customHeight="1" x14ac:dyDescent="0.25"/>
    <row r="1285" spans="2:2" x14ac:dyDescent="0.25">
      <c r="B1285" s="398"/>
    </row>
    <row r="1287" spans="2:2" ht="15.75" customHeight="1" x14ac:dyDescent="0.25"/>
    <row r="1387" ht="15" customHeight="1" x14ac:dyDescent="0.25"/>
    <row r="1409" spans="8:8" x14ac:dyDescent="0.25">
      <c r="H1409" s="397"/>
    </row>
    <row r="1411" spans="8:8" x14ac:dyDescent="0.25">
      <c r="H1411" s="397"/>
    </row>
    <row r="1412" spans="8:8" x14ac:dyDescent="0.25">
      <c r="H1412" s="397"/>
    </row>
    <row r="1413" spans="8:8" x14ac:dyDescent="0.25">
      <c r="H1413" s="397"/>
    </row>
    <row r="1414" spans="8:8" x14ac:dyDescent="0.25">
      <c r="H1414" s="397"/>
    </row>
    <row r="1415" spans="8:8" x14ac:dyDescent="0.25">
      <c r="H1415" s="397"/>
    </row>
    <row r="1416" spans="8:8" x14ac:dyDescent="0.25">
      <c r="H1416" s="397"/>
    </row>
    <row r="1417" spans="8:8" x14ac:dyDescent="0.25">
      <c r="H1417" s="397"/>
    </row>
    <row r="1418" spans="8:8" x14ac:dyDescent="0.25">
      <c r="H1418" s="397"/>
    </row>
    <row r="1419" spans="8:8" x14ac:dyDescent="0.25">
      <c r="H1419" s="397"/>
    </row>
    <row r="1420" spans="8:8" x14ac:dyDescent="0.25">
      <c r="H1420" s="397"/>
    </row>
    <row r="1421" spans="8:8" x14ac:dyDescent="0.25">
      <c r="H1421" s="397"/>
    </row>
    <row r="1459" spans="2:2" x14ac:dyDescent="0.25">
      <c r="B1459" s="398"/>
    </row>
    <row r="1485" spans="8:8" x14ac:dyDescent="0.25">
      <c r="H1485" s="397"/>
    </row>
    <row r="1486" spans="8:8" x14ac:dyDescent="0.25">
      <c r="H1486" s="397"/>
    </row>
    <row r="1487" spans="8:8" x14ac:dyDescent="0.25">
      <c r="H1487" s="397"/>
    </row>
    <row r="1488" spans="8:8" x14ac:dyDescent="0.25">
      <c r="H1488" s="397"/>
    </row>
    <row r="1489" spans="2:8" x14ac:dyDescent="0.25">
      <c r="H1489" s="397"/>
    </row>
    <row r="1490" spans="2:8" x14ac:dyDescent="0.25">
      <c r="B1490" s="398"/>
      <c r="H1490" s="397"/>
    </row>
    <row r="1491" spans="2:8" x14ac:dyDescent="0.25">
      <c r="H1491" s="397"/>
    </row>
    <row r="1492" spans="2:8" x14ac:dyDescent="0.25">
      <c r="H1492" s="397"/>
    </row>
    <row r="1493" spans="2:8" x14ac:dyDescent="0.25">
      <c r="H1493" s="397"/>
    </row>
    <row r="1494" spans="2:8" x14ac:dyDescent="0.25">
      <c r="H1494" s="397"/>
    </row>
    <row r="1495" spans="2:8" x14ac:dyDescent="0.25">
      <c r="H1495" s="397"/>
    </row>
    <row r="1496" spans="2:8" x14ac:dyDescent="0.25">
      <c r="H1496" s="397"/>
    </row>
    <row r="1497" spans="2:8" x14ac:dyDescent="0.25">
      <c r="H1497" s="397"/>
    </row>
    <row r="1498" spans="2:8" x14ac:dyDescent="0.25">
      <c r="H1498" s="397"/>
    </row>
    <row r="1499" spans="2:8" x14ac:dyDescent="0.25">
      <c r="H1499" s="397"/>
    </row>
    <row r="1500" spans="2:8" x14ac:dyDescent="0.25">
      <c r="H1500" s="397"/>
    </row>
    <row r="1501" spans="2:8" x14ac:dyDescent="0.25">
      <c r="H1501" s="397"/>
    </row>
    <row r="1502" spans="2:8" x14ac:dyDescent="0.25">
      <c r="H1502" s="397"/>
    </row>
    <row r="1503" spans="2:8" x14ac:dyDescent="0.25">
      <c r="H1503" s="397"/>
    </row>
    <row r="1504" spans="2:8" x14ac:dyDescent="0.25">
      <c r="H1504" s="397"/>
    </row>
    <row r="1505" spans="8:8" x14ac:dyDescent="0.25">
      <c r="H1505" s="397"/>
    </row>
    <row r="1506" spans="8:8" x14ac:dyDescent="0.25">
      <c r="H1506" s="397"/>
    </row>
    <row r="1507" spans="8:8" x14ac:dyDescent="0.25">
      <c r="H1507" s="397"/>
    </row>
    <row r="1508" spans="8:8" x14ac:dyDescent="0.25">
      <c r="H1508" s="397"/>
    </row>
    <row r="1509" spans="8:8" x14ac:dyDescent="0.25">
      <c r="H1509" s="397"/>
    </row>
    <row r="1510" spans="8:8" x14ac:dyDescent="0.25">
      <c r="H1510" s="397"/>
    </row>
    <row r="1511" spans="8:8" x14ac:dyDescent="0.25">
      <c r="H1511" s="397"/>
    </row>
    <row r="1512" spans="8:8" x14ac:dyDescent="0.25">
      <c r="H1512" s="397"/>
    </row>
    <row r="1513" spans="8:8" x14ac:dyDescent="0.25">
      <c r="H1513" s="397"/>
    </row>
    <row r="1514" spans="8:8" x14ac:dyDescent="0.25">
      <c r="H1514" s="397"/>
    </row>
    <row r="1515" spans="8:8" x14ac:dyDescent="0.25">
      <c r="H1515" s="397"/>
    </row>
    <row r="1516" spans="8:8" x14ac:dyDescent="0.25">
      <c r="H1516" s="397"/>
    </row>
    <row r="1517" spans="8:8" x14ac:dyDescent="0.25">
      <c r="H1517" s="397"/>
    </row>
    <row r="1518" spans="8:8" x14ac:dyDescent="0.25">
      <c r="H1518" s="397"/>
    </row>
    <row r="1519" spans="8:8" x14ac:dyDescent="0.25">
      <c r="H1519" s="397"/>
    </row>
    <row r="1520" spans="8:8" x14ac:dyDescent="0.25">
      <c r="H1520" s="397"/>
    </row>
    <row r="1521" spans="8:8" x14ac:dyDescent="0.25">
      <c r="H1521" s="397"/>
    </row>
    <row r="1522" spans="8:8" x14ac:dyDescent="0.25">
      <c r="H1522" s="397"/>
    </row>
    <row r="1523" spans="8:8" x14ac:dyDescent="0.25">
      <c r="H1523" s="397"/>
    </row>
    <row r="1524" spans="8:8" x14ac:dyDescent="0.25">
      <c r="H1524" s="397"/>
    </row>
    <row r="1525" spans="8:8" x14ac:dyDescent="0.25">
      <c r="H1525" s="397"/>
    </row>
    <row r="1526" spans="8:8" x14ac:dyDescent="0.25">
      <c r="H1526" s="397"/>
    </row>
    <row r="1527" spans="8:8" x14ac:dyDescent="0.25">
      <c r="H1527" s="397"/>
    </row>
    <row r="1528" spans="8:8" x14ac:dyDescent="0.25">
      <c r="H1528" s="397"/>
    </row>
    <row r="1529" spans="8:8" x14ac:dyDescent="0.25">
      <c r="H1529" s="397"/>
    </row>
    <row r="1530" spans="8:8" x14ac:dyDescent="0.25">
      <c r="H1530" s="397"/>
    </row>
    <row r="1531" spans="8:8" x14ac:dyDescent="0.25">
      <c r="H1531" s="397"/>
    </row>
    <row r="1532" spans="8:8" x14ac:dyDescent="0.25">
      <c r="H1532" s="397"/>
    </row>
    <row r="1533" spans="8:8" x14ac:dyDescent="0.25">
      <c r="H1533" s="397"/>
    </row>
    <row r="1534" spans="8:8" x14ac:dyDescent="0.25">
      <c r="H1534" s="397"/>
    </row>
    <row r="1535" spans="8:8" x14ac:dyDescent="0.25">
      <c r="H1535" s="397"/>
    </row>
    <row r="1536" spans="8:8" x14ac:dyDescent="0.25">
      <c r="H1536" s="397"/>
    </row>
    <row r="1537" spans="8:8" x14ac:dyDescent="0.25">
      <c r="H1537" s="397"/>
    </row>
    <row r="1538" spans="8:8" x14ac:dyDescent="0.25">
      <c r="H1538" s="397"/>
    </row>
    <row r="1539" spans="8:8" x14ac:dyDescent="0.25">
      <c r="H1539" s="397"/>
    </row>
    <row r="1540" spans="8:8" x14ac:dyDescent="0.25">
      <c r="H1540" s="397"/>
    </row>
    <row r="1541" spans="8:8" x14ac:dyDescent="0.25">
      <c r="H1541" s="397"/>
    </row>
    <row r="1542" spans="8:8" x14ac:dyDescent="0.25">
      <c r="H1542" s="397"/>
    </row>
    <row r="1543" spans="8:8" x14ac:dyDescent="0.25">
      <c r="H1543" s="397"/>
    </row>
    <row r="1544" spans="8:8" x14ac:dyDescent="0.25">
      <c r="H1544" s="397"/>
    </row>
    <row r="1545" spans="8:8" x14ac:dyDescent="0.25">
      <c r="H1545" s="397"/>
    </row>
    <row r="1546" spans="8:8" x14ac:dyDescent="0.25">
      <c r="H1546" s="397"/>
    </row>
    <row r="1547" spans="8:8" x14ac:dyDescent="0.25">
      <c r="H1547" s="397"/>
    </row>
    <row r="1548" spans="8:8" x14ac:dyDescent="0.25">
      <c r="H1548" s="397"/>
    </row>
    <row r="1549" spans="8:8" x14ac:dyDescent="0.25">
      <c r="H1549" s="397"/>
    </row>
    <row r="1550" spans="8:8" x14ac:dyDescent="0.25">
      <c r="H1550" s="397"/>
    </row>
    <row r="1551" spans="8:8" x14ac:dyDescent="0.25">
      <c r="H1551" s="397"/>
    </row>
    <row r="1552" spans="8:8" x14ac:dyDescent="0.25">
      <c r="H1552" s="397"/>
    </row>
    <row r="1553" spans="2:8" x14ac:dyDescent="0.25">
      <c r="H1553" s="397"/>
    </row>
    <row r="1554" spans="2:8" x14ac:dyDescent="0.25">
      <c r="H1554" s="397"/>
    </row>
    <row r="1555" spans="2:8" x14ac:dyDescent="0.25">
      <c r="H1555" s="397"/>
    </row>
    <row r="1556" spans="2:8" x14ac:dyDescent="0.25">
      <c r="H1556" s="397"/>
    </row>
    <row r="1557" spans="2:8" x14ac:dyDescent="0.25">
      <c r="H1557" s="397"/>
    </row>
    <row r="1558" spans="2:8" x14ac:dyDescent="0.25">
      <c r="H1558" s="397"/>
    </row>
    <row r="1562" spans="2:8" x14ac:dyDescent="0.25">
      <c r="B1562" s="398"/>
    </row>
    <row r="1596" spans="2:2" x14ac:dyDescent="0.25">
      <c r="B1596" s="398"/>
    </row>
    <row r="1630" spans="2:2" x14ac:dyDescent="0.25">
      <c r="B1630" s="398"/>
    </row>
    <row r="1642" spans="3:3" x14ac:dyDescent="0.25">
      <c r="C1642" s="389"/>
    </row>
    <row r="1644" spans="3:3" x14ac:dyDescent="0.25">
      <c r="C1644" s="389"/>
    </row>
    <row r="1646" spans="3:3" x14ac:dyDescent="0.25">
      <c r="C1646" s="389"/>
    </row>
    <row r="1648" spans="3:3" x14ac:dyDescent="0.25">
      <c r="C1648" s="389"/>
    </row>
    <row r="1650" spans="2:3" x14ac:dyDescent="0.25">
      <c r="C1650" s="389"/>
    </row>
    <row r="1652" spans="2:3" x14ac:dyDescent="0.25">
      <c r="C1652" s="389"/>
    </row>
    <row r="1654" spans="2:3" x14ac:dyDescent="0.25">
      <c r="C1654" s="389"/>
    </row>
    <row r="1656" spans="2:3" x14ac:dyDescent="0.25">
      <c r="C1656" s="389"/>
    </row>
    <row r="1658" spans="2:3" x14ac:dyDescent="0.25">
      <c r="C1658" s="389"/>
    </row>
    <row r="1660" spans="2:3" x14ac:dyDescent="0.25">
      <c r="C1660" s="389"/>
    </row>
    <row r="1662" spans="2:3" x14ac:dyDescent="0.25">
      <c r="C1662" s="389"/>
    </row>
    <row r="1664" spans="2:3" x14ac:dyDescent="0.25">
      <c r="B1664" s="398"/>
      <c r="C1664" s="389"/>
    </row>
    <row r="1682" spans="2:2" x14ac:dyDescent="0.25">
      <c r="B1682" s="398"/>
    </row>
    <row r="1733" spans="2:8" x14ac:dyDescent="0.25">
      <c r="B1733" s="398"/>
    </row>
    <row r="1740" spans="2:8" x14ac:dyDescent="0.25">
      <c r="H1740" s="397"/>
    </row>
    <row r="1741" spans="2:8" x14ac:dyDescent="0.25">
      <c r="H1741" s="397"/>
    </row>
    <row r="1767" spans="2:2" x14ac:dyDescent="0.25">
      <c r="B1767" s="398"/>
    </row>
    <row r="1777" spans="3:8" x14ac:dyDescent="0.25">
      <c r="H1777" s="397"/>
    </row>
    <row r="1778" spans="3:8" x14ac:dyDescent="0.25">
      <c r="H1778" s="397"/>
    </row>
    <row r="1779" spans="3:8" x14ac:dyDescent="0.25">
      <c r="C1779" s="389"/>
      <c r="H1779" s="397"/>
    </row>
    <row r="1780" spans="3:8" x14ac:dyDescent="0.25">
      <c r="H1780" s="397"/>
    </row>
    <row r="1781" spans="3:8" x14ac:dyDescent="0.25">
      <c r="C1781" s="389"/>
      <c r="H1781" s="397"/>
    </row>
    <row r="1782" spans="3:8" x14ac:dyDescent="0.25">
      <c r="H1782" s="397"/>
    </row>
    <row r="1783" spans="3:8" x14ac:dyDescent="0.25">
      <c r="C1783" s="389"/>
      <c r="H1783" s="397"/>
    </row>
    <row r="1784" spans="3:8" x14ac:dyDescent="0.25">
      <c r="H1784" s="397"/>
    </row>
    <row r="1785" spans="3:8" x14ac:dyDescent="0.25">
      <c r="C1785" s="389"/>
      <c r="H1785" s="397"/>
    </row>
    <row r="1786" spans="3:8" x14ac:dyDescent="0.25">
      <c r="H1786" s="397"/>
    </row>
    <row r="1787" spans="3:8" x14ac:dyDescent="0.25">
      <c r="C1787" s="389"/>
      <c r="H1787" s="397"/>
    </row>
    <row r="1788" spans="3:8" x14ac:dyDescent="0.25">
      <c r="H1788" s="397"/>
    </row>
    <row r="1789" spans="3:8" x14ac:dyDescent="0.25">
      <c r="C1789" s="389"/>
      <c r="H1789" s="397"/>
    </row>
    <row r="1790" spans="3:8" x14ac:dyDescent="0.25">
      <c r="H1790" s="397"/>
    </row>
    <row r="1791" spans="3:8" x14ac:dyDescent="0.25">
      <c r="C1791" s="389"/>
      <c r="H1791" s="397"/>
    </row>
    <row r="1792" spans="3:8" x14ac:dyDescent="0.25">
      <c r="H1792" s="397"/>
    </row>
    <row r="1793" spans="2:8" x14ac:dyDescent="0.25">
      <c r="C1793" s="389"/>
      <c r="H1793" s="397"/>
    </row>
    <row r="1794" spans="2:8" x14ac:dyDescent="0.25">
      <c r="H1794" s="397"/>
    </row>
    <row r="1795" spans="2:8" x14ac:dyDescent="0.25">
      <c r="C1795" s="389"/>
      <c r="H1795" s="397"/>
    </row>
    <row r="1796" spans="2:8" x14ac:dyDescent="0.25">
      <c r="H1796" s="397"/>
    </row>
    <row r="1797" spans="2:8" x14ac:dyDescent="0.25">
      <c r="C1797" s="389"/>
      <c r="H1797" s="397"/>
    </row>
    <row r="1798" spans="2:8" x14ac:dyDescent="0.25">
      <c r="H1798" s="397"/>
    </row>
    <row r="1799" spans="2:8" x14ac:dyDescent="0.25">
      <c r="C1799" s="389"/>
      <c r="H1799" s="397"/>
    </row>
    <row r="1800" spans="2:8" x14ac:dyDescent="0.25">
      <c r="H1800" s="397"/>
    </row>
    <row r="1801" spans="2:8" x14ac:dyDescent="0.25">
      <c r="B1801" s="398"/>
      <c r="C1801" s="389"/>
      <c r="H1801" s="397"/>
    </row>
    <row r="1802" spans="2:8" x14ac:dyDescent="0.25">
      <c r="H1802" s="397"/>
    </row>
    <row r="1803" spans="2:8" x14ac:dyDescent="0.25">
      <c r="H1803" s="397"/>
    </row>
    <row r="1804" spans="2:8" x14ac:dyDescent="0.25">
      <c r="H1804" s="397"/>
    </row>
    <row r="1805" spans="2:8" x14ac:dyDescent="0.25">
      <c r="H1805" s="397"/>
    </row>
    <row r="1806" spans="2:8" x14ac:dyDescent="0.25">
      <c r="H1806" s="397"/>
    </row>
    <row r="1807" spans="2:8" x14ac:dyDescent="0.25">
      <c r="H1807" s="397"/>
    </row>
    <row r="1808" spans="2:8" x14ac:dyDescent="0.25">
      <c r="H1808" s="397"/>
    </row>
    <row r="1809" spans="8:8" x14ac:dyDescent="0.25">
      <c r="H1809" s="397"/>
    </row>
    <row r="1810" spans="8:8" x14ac:dyDescent="0.25">
      <c r="H1810" s="397"/>
    </row>
    <row r="1811" spans="8:8" x14ac:dyDescent="0.25">
      <c r="H1811" s="397"/>
    </row>
    <row r="1812" spans="8:8" x14ac:dyDescent="0.25">
      <c r="H1812" s="397"/>
    </row>
    <row r="1813" spans="8:8" x14ac:dyDescent="0.25">
      <c r="H1813" s="397"/>
    </row>
    <row r="1814" spans="8:8" x14ac:dyDescent="0.25">
      <c r="H1814" s="397"/>
    </row>
    <row r="1829" spans="2:2" x14ac:dyDescent="0.25">
      <c r="B1829" s="398"/>
    </row>
    <row r="1841" spans="3:3" x14ac:dyDescent="0.25">
      <c r="C1841" s="390"/>
    </row>
    <row r="1843" spans="3:3" x14ac:dyDescent="0.25">
      <c r="C1843" s="390"/>
    </row>
    <row r="1845" spans="3:3" x14ac:dyDescent="0.25">
      <c r="C1845" s="390"/>
    </row>
    <row r="1859" spans="4:4" x14ac:dyDescent="0.25">
      <c r="D1859" s="389"/>
    </row>
    <row r="1864" spans="4:4" x14ac:dyDescent="0.25">
      <c r="D1864" s="389"/>
    </row>
    <row r="1865" spans="4:4" x14ac:dyDescent="0.25">
      <c r="D1865" s="389"/>
    </row>
    <row r="1866" spans="4:4" x14ac:dyDescent="0.25">
      <c r="D1866" s="389"/>
    </row>
    <row r="1867" spans="4:4" x14ac:dyDescent="0.25">
      <c r="D1867" s="389"/>
    </row>
    <row r="1868" spans="4:4" x14ac:dyDescent="0.25">
      <c r="D1868" s="390"/>
    </row>
    <row r="1872" spans="4:4" x14ac:dyDescent="0.25">
      <c r="D1872" s="389"/>
    </row>
    <row r="1877" spans="4:4" x14ac:dyDescent="0.25">
      <c r="D1877" s="389"/>
    </row>
    <row r="1882" spans="4:4" x14ac:dyDescent="0.25">
      <c r="D1882" s="389"/>
    </row>
    <row r="1883" spans="4:4" x14ac:dyDescent="0.25">
      <c r="D1883" s="389"/>
    </row>
    <row r="1884" spans="4:4" x14ac:dyDescent="0.25">
      <c r="D1884" s="389"/>
    </row>
    <row r="1885" spans="4:4" x14ac:dyDescent="0.25">
      <c r="D1885" s="389"/>
    </row>
    <row r="1886" spans="4:4" x14ac:dyDescent="0.25">
      <c r="D1886" s="390"/>
    </row>
    <row r="1890" spans="4:4" x14ac:dyDescent="0.25">
      <c r="D1890" s="389"/>
    </row>
    <row r="1895" spans="4:4" x14ac:dyDescent="0.25">
      <c r="D1895" s="389"/>
    </row>
    <row r="1900" spans="4:4" x14ac:dyDescent="0.25">
      <c r="D1900" s="389"/>
    </row>
    <row r="1901" spans="4:4" x14ac:dyDescent="0.25">
      <c r="D1901" s="389"/>
    </row>
    <row r="1902" spans="4:4" x14ac:dyDescent="0.25">
      <c r="D1902" s="389"/>
    </row>
    <row r="1903" spans="4:4" x14ac:dyDescent="0.25">
      <c r="D1903" s="389"/>
    </row>
    <row r="1904" spans="4:4" x14ac:dyDescent="0.25">
      <c r="D1904" s="390"/>
    </row>
    <row r="1908" spans="2:4" x14ac:dyDescent="0.25">
      <c r="D1908" s="389"/>
    </row>
    <row r="1913" spans="2:4" x14ac:dyDescent="0.25">
      <c r="D1913" s="389"/>
    </row>
    <row r="1918" spans="2:4" x14ac:dyDescent="0.25">
      <c r="D1918" s="389"/>
    </row>
    <row r="1920" spans="2:4" x14ac:dyDescent="0.25">
      <c r="B1920" s="398"/>
    </row>
    <row r="1923" spans="4:4" x14ac:dyDescent="0.25">
      <c r="D1923" s="389"/>
    </row>
    <row r="2007" spans="8:8" x14ac:dyDescent="0.25">
      <c r="H2007" s="397"/>
    </row>
    <row r="2008" spans="8:8" x14ac:dyDescent="0.25">
      <c r="H2008" s="397"/>
    </row>
    <row r="2009" spans="8:8" x14ac:dyDescent="0.25">
      <c r="H2009" s="397"/>
    </row>
    <row r="2010" spans="8:8" x14ac:dyDescent="0.25">
      <c r="H2010" s="397"/>
    </row>
    <row r="2011" spans="8:8" x14ac:dyDescent="0.25">
      <c r="H2011" s="397"/>
    </row>
    <row r="2012" spans="8:8" x14ac:dyDescent="0.25">
      <c r="H2012" s="397"/>
    </row>
    <row r="2013" spans="8:8" x14ac:dyDescent="0.25">
      <c r="H2013" s="397"/>
    </row>
    <row r="2014" spans="8:8" x14ac:dyDescent="0.25">
      <c r="H2014" s="397"/>
    </row>
    <row r="2015" spans="8:8" x14ac:dyDescent="0.25">
      <c r="H2015" s="397"/>
    </row>
    <row r="2016" spans="8:8" x14ac:dyDescent="0.25">
      <c r="H2016" s="397"/>
    </row>
    <row r="2017" spans="8:8" x14ac:dyDescent="0.25">
      <c r="H2017" s="397"/>
    </row>
    <row r="2018" spans="8:8" x14ac:dyDescent="0.25">
      <c r="H2018" s="397"/>
    </row>
    <row r="2019" spans="8:8" x14ac:dyDescent="0.25">
      <c r="H2019" s="397"/>
    </row>
    <row r="2020" spans="8:8" x14ac:dyDescent="0.25">
      <c r="H2020" s="397"/>
    </row>
    <row r="2021" spans="8:8" x14ac:dyDescent="0.25">
      <c r="H2021" s="397"/>
    </row>
    <row r="2022" spans="8:8" x14ac:dyDescent="0.25">
      <c r="H2022" s="397"/>
    </row>
    <row r="2023" spans="8:8" x14ac:dyDescent="0.25">
      <c r="H2023" s="397"/>
    </row>
    <row r="2024" spans="8:8" x14ac:dyDescent="0.25">
      <c r="H2024" s="397"/>
    </row>
    <row r="2025" spans="8:8" x14ac:dyDescent="0.25">
      <c r="H2025" s="397"/>
    </row>
    <row r="2026" spans="8:8" x14ac:dyDescent="0.25">
      <c r="H2026" s="397"/>
    </row>
    <row r="2027" spans="8:8" x14ac:dyDescent="0.25">
      <c r="H2027" s="397"/>
    </row>
    <row r="2028" spans="8:8" x14ac:dyDescent="0.25">
      <c r="H2028" s="397"/>
    </row>
    <row r="2029" spans="8:8" x14ac:dyDescent="0.25">
      <c r="H2029" s="397"/>
    </row>
    <row r="2030" spans="8:8" x14ac:dyDescent="0.25">
      <c r="H2030" s="397"/>
    </row>
    <row r="2031" spans="8:8" x14ac:dyDescent="0.25">
      <c r="H2031" s="397"/>
    </row>
    <row r="2032" spans="8:8" x14ac:dyDescent="0.25">
      <c r="H2032" s="397"/>
    </row>
    <row r="2033" spans="8:8" x14ac:dyDescent="0.25">
      <c r="H2033" s="397"/>
    </row>
    <row r="2034" spans="8:8" x14ac:dyDescent="0.25">
      <c r="H2034" s="397"/>
    </row>
    <row r="2035" spans="8:8" x14ac:dyDescent="0.25">
      <c r="H2035" s="397"/>
    </row>
    <row r="2036" spans="8:8" x14ac:dyDescent="0.25">
      <c r="H2036" s="397"/>
    </row>
    <row r="2037" spans="8:8" x14ac:dyDescent="0.25">
      <c r="H2037" s="397"/>
    </row>
    <row r="2038" spans="8:8" x14ac:dyDescent="0.25">
      <c r="H2038" s="397"/>
    </row>
    <row r="2039" spans="8:8" x14ac:dyDescent="0.25">
      <c r="H2039" s="397"/>
    </row>
    <row r="2040" spans="8:8" x14ac:dyDescent="0.25">
      <c r="H2040" s="397"/>
    </row>
    <row r="2041" spans="8:8" x14ac:dyDescent="0.25">
      <c r="H2041" s="397"/>
    </row>
    <row r="2042" spans="8:8" x14ac:dyDescent="0.25">
      <c r="H2042" s="397"/>
    </row>
    <row r="2043" spans="8:8" x14ac:dyDescent="0.25">
      <c r="H2043" s="397"/>
    </row>
    <row r="2044" spans="8:8" x14ac:dyDescent="0.25">
      <c r="H2044" s="397"/>
    </row>
    <row r="2045" spans="8:8" x14ac:dyDescent="0.25">
      <c r="H2045" s="397"/>
    </row>
    <row r="2046" spans="8:8" x14ac:dyDescent="0.25">
      <c r="H2046" s="397"/>
    </row>
    <row r="2047" spans="8:8" x14ac:dyDescent="0.25">
      <c r="H2047" s="397"/>
    </row>
    <row r="2048" spans="8:8" x14ac:dyDescent="0.25">
      <c r="H2048" s="397"/>
    </row>
    <row r="2049" spans="8:8" x14ac:dyDescent="0.25">
      <c r="H2049" s="397"/>
    </row>
    <row r="2050" spans="8:8" x14ac:dyDescent="0.25">
      <c r="H2050" s="397"/>
    </row>
    <row r="2051" spans="8:8" x14ac:dyDescent="0.25">
      <c r="H2051" s="397"/>
    </row>
    <row r="2052" spans="8:8" x14ac:dyDescent="0.25">
      <c r="H2052" s="397"/>
    </row>
    <row r="2053" spans="8:8" x14ac:dyDescent="0.25">
      <c r="H2053" s="397"/>
    </row>
    <row r="2054" spans="8:8" x14ac:dyDescent="0.25">
      <c r="H2054" s="397"/>
    </row>
    <row r="2055" spans="8:8" x14ac:dyDescent="0.25">
      <c r="H2055" s="397"/>
    </row>
    <row r="2056" spans="8:8" x14ac:dyDescent="0.25">
      <c r="H2056" s="397"/>
    </row>
    <row r="2057" spans="8:8" x14ac:dyDescent="0.25">
      <c r="H2057" s="397"/>
    </row>
    <row r="2058" spans="8:8" x14ac:dyDescent="0.25">
      <c r="H2058" s="397"/>
    </row>
    <row r="2059" spans="8:8" x14ac:dyDescent="0.25">
      <c r="H2059" s="397"/>
    </row>
    <row r="2060" spans="8:8" x14ac:dyDescent="0.25">
      <c r="H2060" s="397"/>
    </row>
    <row r="2061" spans="8:8" x14ac:dyDescent="0.25">
      <c r="H2061" s="397"/>
    </row>
    <row r="2062" spans="8:8" x14ac:dyDescent="0.25">
      <c r="H2062" s="397"/>
    </row>
    <row r="2063" spans="8:8" x14ac:dyDescent="0.25">
      <c r="H2063" s="397"/>
    </row>
    <row r="2064" spans="8:8" x14ac:dyDescent="0.25">
      <c r="H2064" s="397"/>
    </row>
    <row r="2065" spans="8:8" x14ac:dyDescent="0.25">
      <c r="H2065" s="397"/>
    </row>
    <row r="2066" spans="8:8" x14ac:dyDescent="0.25">
      <c r="H2066" s="397"/>
    </row>
    <row r="2067" spans="8:8" x14ac:dyDescent="0.25">
      <c r="H2067" s="397"/>
    </row>
    <row r="2068" spans="8:8" x14ac:dyDescent="0.25">
      <c r="H2068" s="397"/>
    </row>
    <row r="2069" spans="8:8" x14ac:dyDescent="0.25">
      <c r="H2069" s="397"/>
    </row>
    <row r="2070" spans="8:8" x14ac:dyDescent="0.25">
      <c r="H2070" s="397"/>
    </row>
    <row r="2071" spans="8:8" x14ac:dyDescent="0.25">
      <c r="H2071" s="397"/>
    </row>
    <row r="2072" spans="8:8" x14ac:dyDescent="0.25">
      <c r="H2072" s="397"/>
    </row>
    <row r="2073" spans="8:8" x14ac:dyDescent="0.25">
      <c r="H2073" s="397"/>
    </row>
    <row r="2074" spans="8:8" x14ac:dyDescent="0.25">
      <c r="H2074" s="397"/>
    </row>
    <row r="2075" spans="8:8" x14ac:dyDescent="0.25">
      <c r="H2075" s="397"/>
    </row>
    <row r="2076" spans="8:8" x14ac:dyDescent="0.25">
      <c r="H2076" s="397"/>
    </row>
    <row r="2077" spans="8:8" x14ac:dyDescent="0.25">
      <c r="H2077" s="397"/>
    </row>
    <row r="2078" spans="8:8" x14ac:dyDescent="0.25">
      <c r="H2078" s="397"/>
    </row>
    <row r="2079" spans="8:8" x14ac:dyDescent="0.25">
      <c r="H2079" s="397"/>
    </row>
    <row r="2080" spans="8:8" x14ac:dyDescent="0.25">
      <c r="H2080" s="397"/>
    </row>
    <row r="2685" spans="8:8" x14ac:dyDescent="0.25">
      <c r="H2685" s="397"/>
    </row>
    <row r="2686" spans="8:8" x14ac:dyDescent="0.25">
      <c r="H2686" s="397"/>
    </row>
    <row r="2687" spans="8:8" x14ac:dyDescent="0.25">
      <c r="H2687" s="397"/>
    </row>
    <row r="2688" spans="8:8" x14ac:dyDescent="0.25">
      <c r="H2688" s="397"/>
    </row>
    <row r="2689" spans="8:8" x14ac:dyDescent="0.25">
      <c r="H2689" s="397"/>
    </row>
    <row r="2690" spans="8:8" x14ac:dyDescent="0.25">
      <c r="H2690" s="397"/>
    </row>
    <row r="2691" spans="8:8" x14ac:dyDescent="0.25">
      <c r="H2691" s="397"/>
    </row>
    <row r="2692" spans="8:8" x14ac:dyDescent="0.25">
      <c r="H2692" s="397"/>
    </row>
    <row r="2693" spans="8:8" x14ac:dyDescent="0.25">
      <c r="H2693" s="397"/>
    </row>
    <row r="2694" spans="8:8" x14ac:dyDescent="0.25">
      <c r="H2694" s="397"/>
    </row>
    <row r="2695" spans="8:8" x14ac:dyDescent="0.25">
      <c r="H2695" s="397"/>
    </row>
  </sheetData>
  <pageMargins left="0.7" right="0.7" top="0.75" bottom="0.75" header="0.3" footer="0.3"/>
  <pageSetup orientation="portrait" horizontalDpi="90" verticalDpi="90" r:id="rId1"/>
  <drawing r:id="rId2"/>
  <legacyDrawing r:id="rId3"/>
  <oleObjects>
    <mc:AlternateContent xmlns:mc="http://schemas.openxmlformats.org/markup-compatibility/2006">
      <mc:Choice Requires="x14">
        <oleObject progId="MSDraw.Drawing.8.2" shapeId="400830" r:id="rId4">
          <objectPr defaultSize="0" autoPict="0" r:id="rId5">
            <anchor moveWithCells="1" sizeWithCells="1">
              <from>
                <xdr:col>0</xdr:col>
                <xdr:colOff>0</xdr:colOff>
                <xdr:row>46</xdr:row>
                <xdr:rowOff>0</xdr:rowOff>
              </from>
              <to>
                <xdr:col>5</xdr:col>
                <xdr:colOff>466725</xdr:colOff>
                <xdr:row>65</xdr:row>
                <xdr:rowOff>47625</xdr:rowOff>
              </to>
            </anchor>
          </objectPr>
        </oleObject>
      </mc:Choice>
      <mc:Fallback>
        <oleObject progId="MSDraw.Drawing.8.2" shapeId="400830" r:id="rId4"/>
      </mc:Fallback>
    </mc:AlternateContent>
    <mc:AlternateContent xmlns:mc="http://schemas.openxmlformats.org/markup-compatibility/2006">
      <mc:Choice Requires="x14">
        <oleObject progId="MSDraw.Drawing.8.2" shapeId="400829" r:id="rId6">
          <objectPr defaultSize="0" autoPict="0" r:id="rId7">
            <anchor moveWithCells="1" sizeWithCells="1">
              <from>
                <xdr:col>0</xdr:col>
                <xdr:colOff>0</xdr:colOff>
                <xdr:row>51</xdr:row>
                <xdr:rowOff>0</xdr:rowOff>
              </from>
              <to>
                <xdr:col>6</xdr:col>
                <xdr:colOff>381000</xdr:colOff>
                <xdr:row>73</xdr:row>
                <xdr:rowOff>123825</xdr:rowOff>
              </to>
            </anchor>
          </objectPr>
        </oleObject>
      </mc:Choice>
      <mc:Fallback>
        <oleObject progId="MSDraw.Drawing.8.2" shapeId="400829" r:id="rId6"/>
      </mc:Fallback>
    </mc:AlternateContent>
  </oleObjec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9332EC5-034F-4DB5-845B-C954B7D95136}">
  <sheetPr codeName="Sheet16"/>
  <dimension ref="A1:DL2048"/>
  <sheetViews>
    <sheetView topLeftCell="AU1" workbookViewId="0">
      <selection activeCell="BE2" sqref="BE2:BE201"/>
    </sheetView>
  </sheetViews>
  <sheetFormatPr defaultRowHeight="15" x14ac:dyDescent="0.25"/>
  <cols>
    <col min="1" max="1" width="28.85546875" style="411" bestFit="1" customWidth="1"/>
    <col min="2" max="55" width="9.140625" style="404"/>
    <col min="56" max="56" width="14.5703125" style="404" bestFit="1" customWidth="1"/>
    <col min="57" max="57" width="14.42578125" style="404" bestFit="1" customWidth="1"/>
    <col min="58" max="16384" width="9.140625" style="404"/>
  </cols>
  <sheetData>
    <row r="1" spans="1:116" x14ac:dyDescent="0.25">
      <c r="C1" s="406"/>
      <c r="D1" s="406">
        <v>1</v>
      </c>
      <c r="E1" s="406">
        <f>D1+1</f>
        <v>2</v>
      </c>
      <c r="F1" s="406">
        <f t="shared" ref="F1:V1" si="0">E1+1</f>
        <v>3</v>
      </c>
      <c r="G1" s="406">
        <f t="shared" si="0"/>
        <v>4</v>
      </c>
      <c r="H1" s="406">
        <f t="shared" si="0"/>
        <v>5</v>
      </c>
      <c r="I1" s="406">
        <f t="shared" si="0"/>
        <v>6</v>
      </c>
      <c r="J1" s="406">
        <f t="shared" si="0"/>
        <v>7</v>
      </c>
      <c r="K1" s="406">
        <f t="shared" si="0"/>
        <v>8</v>
      </c>
      <c r="L1" s="406">
        <f t="shared" si="0"/>
        <v>9</v>
      </c>
      <c r="M1" s="406">
        <f t="shared" si="0"/>
        <v>10</v>
      </c>
      <c r="N1" s="406">
        <f t="shared" si="0"/>
        <v>11</v>
      </c>
      <c r="O1" s="406">
        <f t="shared" si="0"/>
        <v>12</v>
      </c>
      <c r="P1" s="406">
        <f t="shared" si="0"/>
        <v>13</v>
      </c>
      <c r="Q1" s="406">
        <f t="shared" si="0"/>
        <v>14</v>
      </c>
      <c r="R1" s="406">
        <f t="shared" si="0"/>
        <v>15</v>
      </c>
      <c r="S1" s="406">
        <f t="shared" si="0"/>
        <v>16</v>
      </c>
      <c r="T1" s="406">
        <f t="shared" si="0"/>
        <v>17</v>
      </c>
      <c r="U1" s="406">
        <f t="shared" si="0"/>
        <v>18</v>
      </c>
      <c r="V1" s="406">
        <f t="shared" si="0"/>
        <v>19</v>
      </c>
      <c r="W1" s="406">
        <f>V1+1</f>
        <v>20</v>
      </c>
      <c r="X1" s="406">
        <f t="shared" ref="X1:AU1" si="1">W1+1</f>
        <v>21</v>
      </c>
      <c r="Y1" s="406">
        <f t="shared" si="1"/>
        <v>22</v>
      </c>
      <c r="Z1" s="406">
        <f t="shared" si="1"/>
        <v>23</v>
      </c>
      <c r="AA1" s="406">
        <f t="shared" si="1"/>
        <v>24</v>
      </c>
      <c r="AB1" s="406">
        <f t="shared" si="1"/>
        <v>25</v>
      </c>
      <c r="AC1" s="406">
        <f t="shared" si="1"/>
        <v>26</v>
      </c>
      <c r="AD1" s="406">
        <f t="shared" si="1"/>
        <v>27</v>
      </c>
      <c r="AE1" s="406">
        <f t="shared" si="1"/>
        <v>28</v>
      </c>
      <c r="AF1" s="406">
        <f t="shared" si="1"/>
        <v>29</v>
      </c>
      <c r="AG1" s="406">
        <f t="shared" si="1"/>
        <v>30</v>
      </c>
      <c r="AH1" s="406">
        <f t="shared" si="1"/>
        <v>31</v>
      </c>
      <c r="AI1" s="406">
        <f t="shared" si="1"/>
        <v>32</v>
      </c>
      <c r="AJ1" s="406">
        <f t="shared" si="1"/>
        <v>33</v>
      </c>
      <c r="AK1" s="406">
        <f t="shared" si="1"/>
        <v>34</v>
      </c>
      <c r="AL1" s="406">
        <f t="shared" si="1"/>
        <v>35</v>
      </c>
      <c r="AM1" s="406">
        <f t="shared" si="1"/>
        <v>36</v>
      </c>
      <c r="AN1" s="406">
        <f t="shared" si="1"/>
        <v>37</v>
      </c>
      <c r="AO1" s="406">
        <f t="shared" si="1"/>
        <v>38</v>
      </c>
      <c r="AP1" s="406">
        <f t="shared" si="1"/>
        <v>39</v>
      </c>
      <c r="AQ1" s="406">
        <f t="shared" si="1"/>
        <v>40</v>
      </c>
      <c r="AR1" s="406">
        <f t="shared" si="1"/>
        <v>41</v>
      </c>
      <c r="AS1" s="406">
        <f t="shared" si="1"/>
        <v>42</v>
      </c>
      <c r="AT1" s="406">
        <f t="shared" si="1"/>
        <v>43</v>
      </c>
      <c r="AU1" s="406">
        <f t="shared" si="1"/>
        <v>44</v>
      </c>
      <c r="AV1" s="406">
        <f t="shared" ref="AV1:BA1" si="2">AU1+1</f>
        <v>45</v>
      </c>
      <c r="AW1" s="406">
        <f t="shared" si="2"/>
        <v>46</v>
      </c>
      <c r="AX1" s="406">
        <f t="shared" si="2"/>
        <v>47</v>
      </c>
      <c r="AY1" s="406">
        <f t="shared" si="2"/>
        <v>48</v>
      </c>
      <c r="AZ1" s="406">
        <f t="shared" si="2"/>
        <v>49</v>
      </c>
      <c r="BA1" s="406">
        <f t="shared" si="2"/>
        <v>50</v>
      </c>
      <c r="BB1" s="406" t="s">
        <v>1073</v>
      </c>
      <c r="BC1" s="407" t="s">
        <v>1078</v>
      </c>
      <c r="BD1" s="407" t="s">
        <v>1276</v>
      </c>
      <c r="BE1" s="407" t="s">
        <v>1275</v>
      </c>
      <c r="BF1"/>
      <c r="BG1"/>
      <c r="BH1"/>
      <c r="BI1"/>
      <c r="BJ1"/>
      <c r="DB1" s="396"/>
      <c r="DC1" s="396"/>
      <c r="DD1" s="396"/>
      <c r="DE1" s="396"/>
      <c r="DG1" s="396"/>
      <c r="DH1" s="396"/>
      <c r="DI1" s="396"/>
      <c r="DJ1" s="396"/>
      <c r="DK1" s="396"/>
      <c r="DL1" s="396"/>
    </row>
    <row r="2" spans="1:116" x14ac:dyDescent="0.25">
      <c r="A2" s="112" t="s">
        <v>1096</v>
      </c>
      <c r="C2" s="406">
        <v>0</v>
      </c>
      <c r="D2" s="406" t="e">
        <f t="shared" ref="D2:M11" ca="1" si="3">TRIM(INDIRECT("'" &amp; "TNX RTF" &amp; "'!" &amp; ADDRESS($A$3+$C2,D$1)))</f>
        <v>#N/A</v>
      </c>
      <c r="E2" s="406" t="e">
        <f t="shared" ca="1" si="3"/>
        <v>#N/A</v>
      </c>
      <c r="F2" s="406" t="e">
        <f t="shared" ca="1" si="3"/>
        <v>#N/A</v>
      </c>
      <c r="G2" s="406" t="e">
        <f t="shared" ca="1" si="3"/>
        <v>#N/A</v>
      </c>
      <c r="H2" s="406" t="e">
        <f t="shared" ca="1" si="3"/>
        <v>#N/A</v>
      </c>
      <c r="I2" s="406" t="e">
        <f t="shared" ca="1" si="3"/>
        <v>#N/A</v>
      </c>
      <c r="J2" s="406" t="e">
        <f t="shared" ca="1" si="3"/>
        <v>#N/A</v>
      </c>
      <c r="K2" s="406" t="e">
        <f t="shared" ca="1" si="3"/>
        <v>#N/A</v>
      </c>
      <c r="L2" s="406" t="e">
        <f t="shared" ca="1" si="3"/>
        <v>#N/A</v>
      </c>
      <c r="M2" s="406" t="e">
        <f t="shared" ca="1" si="3"/>
        <v>#N/A</v>
      </c>
      <c r="N2" s="406" t="e">
        <f t="shared" ref="N2:W11" ca="1" si="4">TRIM(INDIRECT("'" &amp; "TNX RTF" &amp; "'!" &amp; ADDRESS($A$3+$C2,N$1)))</f>
        <v>#N/A</v>
      </c>
      <c r="O2" s="406" t="e">
        <f t="shared" ca="1" si="4"/>
        <v>#N/A</v>
      </c>
      <c r="P2" s="406" t="e">
        <f t="shared" ca="1" si="4"/>
        <v>#N/A</v>
      </c>
      <c r="Q2" s="406" t="e">
        <f t="shared" ca="1" si="4"/>
        <v>#N/A</v>
      </c>
      <c r="R2" s="406" t="e">
        <f t="shared" ca="1" si="4"/>
        <v>#N/A</v>
      </c>
      <c r="S2" s="406" t="e">
        <f t="shared" ca="1" si="4"/>
        <v>#N/A</v>
      </c>
      <c r="T2" s="406" t="e">
        <f t="shared" ca="1" si="4"/>
        <v>#N/A</v>
      </c>
      <c r="U2" s="406" t="e">
        <f t="shared" ca="1" si="4"/>
        <v>#N/A</v>
      </c>
      <c r="V2" s="406" t="e">
        <f t="shared" ca="1" si="4"/>
        <v>#N/A</v>
      </c>
      <c r="W2" s="406" t="e">
        <f t="shared" ca="1" si="4"/>
        <v>#N/A</v>
      </c>
      <c r="X2" s="406" t="e">
        <f t="shared" ref="X2:AG11" ca="1" si="5">TRIM(INDIRECT("'" &amp; "TNX RTF" &amp; "'!" &amp; ADDRESS($A$3+$C2,X$1)))</f>
        <v>#N/A</v>
      </c>
      <c r="Y2" s="406" t="e">
        <f t="shared" ca="1" si="5"/>
        <v>#N/A</v>
      </c>
      <c r="Z2" s="406" t="e">
        <f t="shared" ca="1" si="5"/>
        <v>#N/A</v>
      </c>
      <c r="AA2" s="406" t="e">
        <f t="shared" ca="1" si="5"/>
        <v>#N/A</v>
      </c>
      <c r="AB2" s="406" t="e">
        <f t="shared" ca="1" si="5"/>
        <v>#N/A</v>
      </c>
      <c r="AC2" s="406" t="e">
        <f t="shared" ca="1" si="5"/>
        <v>#N/A</v>
      </c>
      <c r="AD2" s="406" t="e">
        <f t="shared" ca="1" si="5"/>
        <v>#N/A</v>
      </c>
      <c r="AE2" s="406" t="e">
        <f t="shared" ca="1" si="5"/>
        <v>#N/A</v>
      </c>
      <c r="AF2" s="406" t="e">
        <f t="shared" ca="1" si="5"/>
        <v>#N/A</v>
      </c>
      <c r="AG2" s="406" t="e">
        <f t="shared" ca="1" si="5"/>
        <v>#N/A</v>
      </c>
      <c r="AH2" s="406" t="e">
        <f t="shared" ref="AH2:AQ11" ca="1" si="6">TRIM(INDIRECT("'" &amp; "TNX RTF" &amp; "'!" &amp; ADDRESS($A$3+$C2,AH$1)))</f>
        <v>#N/A</v>
      </c>
      <c r="AI2" s="406" t="e">
        <f t="shared" ca="1" si="6"/>
        <v>#N/A</v>
      </c>
      <c r="AJ2" s="406" t="e">
        <f t="shared" ca="1" si="6"/>
        <v>#N/A</v>
      </c>
      <c r="AK2" s="406" t="e">
        <f t="shared" ca="1" si="6"/>
        <v>#N/A</v>
      </c>
      <c r="AL2" s="406" t="e">
        <f t="shared" ca="1" si="6"/>
        <v>#N/A</v>
      </c>
      <c r="AM2" s="406" t="e">
        <f t="shared" ca="1" si="6"/>
        <v>#N/A</v>
      </c>
      <c r="AN2" s="406" t="e">
        <f t="shared" ca="1" si="6"/>
        <v>#N/A</v>
      </c>
      <c r="AO2" s="406" t="e">
        <f t="shared" ca="1" si="6"/>
        <v>#N/A</v>
      </c>
      <c r="AP2" s="406" t="e">
        <f t="shared" ca="1" si="6"/>
        <v>#N/A</v>
      </c>
      <c r="AQ2" s="406" t="e">
        <f t="shared" ca="1" si="6"/>
        <v>#N/A</v>
      </c>
      <c r="AR2" s="406" t="e">
        <f t="shared" ref="AR2:BA11" ca="1" si="7">TRIM(INDIRECT("'" &amp; "TNX RTF" &amp; "'!" &amp; ADDRESS($A$3+$C2,AR$1)))</f>
        <v>#N/A</v>
      </c>
      <c r="AS2" s="406" t="e">
        <f t="shared" ca="1" si="7"/>
        <v>#N/A</v>
      </c>
      <c r="AT2" s="406" t="e">
        <f t="shared" ca="1" si="7"/>
        <v>#N/A</v>
      </c>
      <c r="AU2" s="406" t="e">
        <f t="shared" ca="1" si="7"/>
        <v>#N/A</v>
      </c>
      <c r="AV2" s="406" t="e">
        <f t="shared" ca="1" si="7"/>
        <v>#N/A</v>
      </c>
      <c r="AW2" s="406" t="e">
        <f t="shared" ca="1" si="7"/>
        <v>#N/A</v>
      </c>
      <c r="AX2" s="406" t="e">
        <f t="shared" ca="1" si="7"/>
        <v>#N/A</v>
      </c>
      <c r="AY2" s="406" t="e">
        <f t="shared" ca="1" si="7"/>
        <v>#N/A</v>
      </c>
      <c r="AZ2" s="406" t="e">
        <f t="shared" ca="1" si="7"/>
        <v>#N/A</v>
      </c>
      <c r="BA2" s="406" t="e">
        <f t="shared" ca="1" si="7"/>
        <v>#N/A</v>
      </c>
      <c r="BB2" s="406" t="s">
        <v>1062</v>
      </c>
      <c r="BC2" s="407" t="str">
        <f t="shared" ref="BC2:BC65" ca="1" si="8">IFERROR(ABS(INDEX($D$2:$BA$502,MATCH($BB2,$D$2:$D$502,0),MATCH(BC$1,INDIRECT(CONCATENATE("D" &amp; $A$6 &amp; ":BA" &amp; $A$6)),0)))*(IF(RTF_unit="K",1,IF(RTF_unit="lb",1/1000,IF(RTF_unit="T",1/2,1)))),"")</f>
        <v/>
      </c>
      <c r="BD2" s="410"/>
      <c r="BE2" s="410"/>
      <c r="BF2"/>
      <c r="BG2"/>
      <c r="BH2"/>
      <c r="BI2"/>
      <c r="BJ2"/>
    </row>
    <row r="3" spans="1:116" x14ac:dyDescent="0.25">
      <c r="A3" s="11" t="e">
        <f>ROW(INDEX('TNX RTF'!A:A,MATCH("*" &amp; A2 &amp; "*",'TNX RTF'!A:A,0)))</f>
        <v>#N/A</v>
      </c>
      <c r="C3" s="406">
        <f>C2+1</f>
        <v>1</v>
      </c>
      <c r="D3" s="406" t="e">
        <f t="shared" ca="1" si="3"/>
        <v>#N/A</v>
      </c>
      <c r="E3" s="406" t="e">
        <f t="shared" ca="1" si="3"/>
        <v>#N/A</v>
      </c>
      <c r="F3" s="406" t="e">
        <f t="shared" ca="1" si="3"/>
        <v>#N/A</v>
      </c>
      <c r="G3" s="406" t="e">
        <f t="shared" ca="1" si="3"/>
        <v>#N/A</v>
      </c>
      <c r="H3" s="406" t="e">
        <f t="shared" ca="1" si="3"/>
        <v>#N/A</v>
      </c>
      <c r="I3" s="406" t="e">
        <f t="shared" ca="1" si="3"/>
        <v>#N/A</v>
      </c>
      <c r="J3" s="406" t="e">
        <f t="shared" ca="1" si="3"/>
        <v>#N/A</v>
      </c>
      <c r="K3" s="406" t="e">
        <f t="shared" ca="1" si="3"/>
        <v>#N/A</v>
      </c>
      <c r="L3" s="406" t="e">
        <f t="shared" ca="1" si="3"/>
        <v>#N/A</v>
      </c>
      <c r="M3" s="406" t="e">
        <f t="shared" ca="1" si="3"/>
        <v>#N/A</v>
      </c>
      <c r="N3" s="406" t="e">
        <f t="shared" ca="1" si="4"/>
        <v>#N/A</v>
      </c>
      <c r="O3" s="406" t="e">
        <f t="shared" ca="1" si="4"/>
        <v>#N/A</v>
      </c>
      <c r="P3" s="406" t="e">
        <f t="shared" ca="1" si="4"/>
        <v>#N/A</v>
      </c>
      <c r="Q3" s="406" t="e">
        <f t="shared" ca="1" si="4"/>
        <v>#N/A</v>
      </c>
      <c r="R3" s="406" t="e">
        <f t="shared" ca="1" si="4"/>
        <v>#N/A</v>
      </c>
      <c r="S3" s="406" t="e">
        <f t="shared" ca="1" si="4"/>
        <v>#N/A</v>
      </c>
      <c r="T3" s="406" t="e">
        <f t="shared" ca="1" si="4"/>
        <v>#N/A</v>
      </c>
      <c r="U3" s="406" t="e">
        <f t="shared" ca="1" si="4"/>
        <v>#N/A</v>
      </c>
      <c r="V3" s="406" t="e">
        <f t="shared" ca="1" si="4"/>
        <v>#N/A</v>
      </c>
      <c r="W3" s="406" t="e">
        <f t="shared" ca="1" si="4"/>
        <v>#N/A</v>
      </c>
      <c r="X3" s="406" t="e">
        <f t="shared" ca="1" si="5"/>
        <v>#N/A</v>
      </c>
      <c r="Y3" s="406" t="e">
        <f t="shared" ca="1" si="5"/>
        <v>#N/A</v>
      </c>
      <c r="Z3" s="406" t="e">
        <f t="shared" ca="1" si="5"/>
        <v>#N/A</v>
      </c>
      <c r="AA3" s="406" t="e">
        <f t="shared" ca="1" si="5"/>
        <v>#N/A</v>
      </c>
      <c r="AB3" s="406" t="e">
        <f t="shared" ca="1" si="5"/>
        <v>#N/A</v>
      </c>
      <c r="AC3" s="406" t="e">
        <f t="shared" ca="1" si="5"/>
        <v>#N/A</v>
      </c>
      <c r="AD3" s="406" t="e">
        <f t="shared" ca="1" si="5"/>
        <v>#N/A</v>
      </c>
      <c r="AE3" s="406" t="e">
        <f t="shared" ca="1" si="5"/>
        <v>#N/A</v>
      </c>
      <c r="AF3" s="406" t="e">
        <f t="shared" ca="1" si="5"/>
        <v>#N/A</v>
      </c>
      <c r="AG3" s="406" t="e">
        <f t="shared" ca="1" si="5"/>
        <v>#N/A</v>
      </c>
      <c r="AH3" s="406" t="e">
        <f t="shared" ca="1" si="6"/>
        <v>#N/A</v>
      </c>
      <c r="AI3" s="406" t="e">
        <f t="shared" ca="1" si="6"/>
        <v>#N/A</v>
      </c>
      <c r="AJ3" s="406" t="e">
        <f t="shared" ca="1" si="6"/>
        <v>#N/A</v>
      </c>
      <c r="AK3" s="406" t="e">
        <f t="shared" ca="1" si="6"/>
        <v>#N/A</v>
      </c>
      <c r="AL3" s="406" t="e">
        <f t="shared" ca="1" si="6"/>
        <v>#N/A</v>
      </c>
      <c r="AM3" s="406" t="e">
        <f t="shared" ca="1" si="6"/>
        <v>#N/A</v>
      </c>
      <c r="AN3" s="406" t="e">
        <f t="shared" ca="1" si="6"/>
        <v>#N/A</v>
      </c>
      <c r="AO3" s="406" t="e">
        <f t="shared" ca="1" si="6"/>
        <v>#N/A</v>
      </c>
      <c r="AP3" s="406" t="e">
        <f t="shared" ca="1" si="6"/>
        <v>#N/A</v>
      </c>
      <c r="AQ3" s="406" t="e">
        <f t="shared" ca="1" si="6"/>
        <v>#N/A</v>
      </c>
      <c r="AR3" s="406" t="e">
        <f t="shared" ca="1" si="7"/>
        <v>#N/A</v>
      </c>
      <c r="AS3" s="406" t="e">
        <f t="shared" ca="1" si="7"/>
        <v>#N/A</v>
      </c>
      <c r="AT3" s="406" t="e">
        <f t="shared" ca="1" si="7"/>
        <v>#N/A</v>
      </c>
      <c r="AU3" s="406" t="e">
        <f t="shared" ca="1" si="7"/>
        <v>#N/A</v>
      </c>
      <c r="AV3" s="406" t="e">
        <f t="shared" ca="1" si="7"/>
        <v>#N/A</v>
      </c>
      <c r="AW3" s="406" t="e">
        <f t="shared" ca="1" si="7"/>
        <v>#N/A</v>
      </c>
      <c r="AX3" s="406" t="e">
        <f t="shared" ca="1" si="7"/>
        <v>#N/A</v>
      </c>
      <c r="AY3" s="406" t="e">
        <f t="shared" ca="1" si="7"/>
        <v>#N/A</v>
      </c>
      <c r="AZ3" s="406" t="e">
        <f t="shared" ca="1" si="7"/>
        <v>#N/A</v>
      </c>
      <c r="BA3" s="406" t="e">
        <f t="shared" ca="1" si="7"/>
        <v>#N/A</v>
      </c>
      <c r="BB3" s="406" t="s">
        <v>1063</v>
      </c>
      <c r="BC3" s="407" t="str">
        <f t="shared" ca="1" si="8"/>
        <v/>
      </c>
      <c r="BD3" s="410"/>
      <c r="BE3" s="410"/>
      <c r="BF3"/>
      <c r="BG3"/>
      <c r="BH3"/>
      <c r="BI3"/>
      <c r="BJ3"/>
    </row>
    <row r="4" spans="1:116" x14ac:dyDescent="0.25">
      <c r="C4" s="406">
        <f t="shared" ref="C4:C67" si="9">C3+1</f>
        <v>2</v>
      </c>
      <c r="D4" s="406" t="e">
        <f t="shared" ca="1" si="3"/>
        <v>#N/A</v>
      </c>
      <c r="E4" s="406" t="e">
        <f t="shared" ca="1" si="3"/>
        <v>#N/A</v>
      </c>
      <c r="F4" s="406" t="e">
        <f t="shared" ca="1" si="3"/>
        <v>#N/A</v>
      </c>
      <c r="G4" s="406" t="e">
        <f t="shared" ca="1" si="3"/>
        <v>#N/A</v>
      </c>
      <c r="H4" s="406" t="e">
        <f t="shared" ca="1" si="3"/>
        <v>#N/A</v>
      </c>
      <c r="I4" s="406" t="e">
        <f t="shared" ca="1" si="3"/>
        <v>#N/A</v>
      </c>
      <c r="J4" s="406" t="e">
        <f t="shared" ca="1" si="3"/>
        <v>#N/A</v>
      </c>
      <c r="K4" s="406" t="e">
        <f t="shared" ca="1" si="3"/>
        <v>#N/A</v>
      </c>
      <c r="L4" s="406" t="e">
        <f t="shared" ca="1" si="3"/>
        <v>#N/A</v>
      </c>
      <c r="M4" s="406" t="e">
        <f t="shared" ca="1" si="3"/>
        <v>#N/A</v>
      </c>
      <c r="N4" s="406" t="e">
        <f t="shared" ca="1" si="4"/>
        <v>#N/A</v>
      </c>
      <c r="O4" s="406" t="e">
        <f t="shared" ca="1" si="4"/>
        <v>#N/A</v>
      </c>
      <c r="P4" s="406" t="e">
        <f t="shared" ca="1" si="4"/>
        <v>#N/A</v>
      </c>
      <c r="Q4" s="406" t="e">
        <f t="shared" ca="1" si="4"/>
        <v>#N/A</v>
      </c>
      <c r="R4" s="406" t="e">
        <f t="shared" ca="1" si="4"/>
        <v>#N/A</v>
      </c>
      <c r="S4" s="406" t="e">
        <f t="shared" ca="1" si="4"/>
        <v>#N/A</v>
      </c>
      <c r="T4" s="406" t="e">
        <f t="shared" ca="1" si="4"/>
        <v>#N/A</v>
      </c>
      <c r="U4" s="406" t="e">
        <f t="shared" ca="1" si="4"/>
        <v>#N/A</v>
      </c>
      <c r="V4" s="406" t="e">
        <f t="shared" ca="1" si="4"/>
        <v>#N/A</v>
      </c>
      <c r="W4" s="406" t="e">
        <f t="shared" ca="1" si="4"/>
        <v>#N/A</v>
      </c>
      <c r="X4" s="406" t="e">
        <f t="shared" ca="1" si="5"/>
        <v>#N/A</v>
      </c>
      <c r="Y4" s="406" t="e">
        <f t="shared" ca="1" si="5"/>
        <v>#N/A</v>
      </c>
      <c r="Z4" s="406" t="e">
        <f t="shared" ca="1" si="5"/>
        <v>#N/A</v>
      </c>
      <c r="AA4" s="406" t="e">
        <f t="shared" ca="1" si="5"/>
        <v>#N/A</v>
      </c>
      <c r="AB4" s="406" t="e">
        <f t="shared" ca="1" si="5"/>
        <v>#N/A</v>
      </c>
      <c r="AC4" s="406" t="e">
        <f t="shared" ca="1" si="5"/>
        <v>#N/A</v>
      </c>
      <c r="AD4" s="406" t="e">
        <f t="shared" ca="1" si="5"/>
        <v>#N/A</v>
      </c>
      <c r="AE4" s="406" t="e">
        <f t="shared" ca="1" si="5"/>
        <v>#N/A</v>
      </c>
      <c r="AF4" s="406" t="e">
        <f t="shared" ca="1" si="5"/>
        <v>#N/A</v>
      </c>
      <c r="AG4" s="406" t="e">
        <f t="shared" ca="1" si="5"/>
        <v>#N/A</v>
      </c>
      <c r="AH4" s="406" t="e">
        <f t="shared" ca="1" si="6"/>
        <v>#N/A</v>
      </c>
      <c r="AI4" s="406" t="e">
        <f t="shared" ca="1" si="6"/>
        <v>#N/A</v>
      </c>
      <c r="AJ4" s="406" t="e">
        <f t="shared" ca="1" si="6"/>
        <v>#N/A</v>
      </c>
      <c r="AK4" s="406" t="e">
        <f t="shared" ca="1" si="6"/>
        <v>#N/A</v>
      </c>
      <c r="AL4" s="406" t="e">
        <f t="shared" ca="1" si="6"/>
        <v>#N/A</v>
      </c>
      <c r="AM4" s="406" t="e">
        <f t="shared" ca="1" si="6"/>
        <v>#N/A</v>
      </c>
      <c r="AN4" s="406" t="e">
        <f t="shared" ca="1" si="6"/>
        <v>#N/A</v>
      </c>
      <c r="AO4" s="406" t="e">
        <f t="shared" ca="1" si="6"/>
        <v>#N/A</v>
      </c>
      <c r="AP4" s="406" t="e">
        <f t="shared" ca="1" si="6"/>
        <v>#N/A</v>
      </c>
      <c r="AQ4" s="406" t="e">
        <f t="shared" ca="1" si="6"/>
        <v>#N/A</v>
      </c>
      <c r="AR4" s="406" t="e">
        <f t="shared" ca="1" si="7"/>
        <v>#N/A</v>
      </c>
      <c r="AS4" s="406" t="e">
        <f t="shared" ca="1" si="7"/>
        <v>#N/A</v>
      </c>
      <c r="AT4" s="406" t="e">
        <f t="shared" ca="1" si="7"/>
        <v>#N/A</v>
      </c>
      <c r="AU4" s="406" t="e">
        <f t="shared" ca="1" si="7"/>
        <v>#N/A</v>
      </c>
      <c r="AV4" s="406" t="e">
        <f t="shared" ca="1" si="7"/>
        <v>#N/A</v>
      </c>
      <c r="AW4" s="406" t="e">
        <f t="shared" ca="1" si="7"/>
        <v>#N/A</v>
      </c>
      <c r="AX4" s="406" t="e">
        <f t="shared" ca="1" si="7"/>
        <v>#N/A</v>
      </c>
      <c r="AY4" s="406" t="e">
        <f t="shared" ca="1" si="7"/>
        <v>#N/A</v>
      </c>
      <c r="AZ4" s="406" t="e">
        <f t="shared" ca="1" si="7"/>
        <v>#N/A</v>
      </c>
      <c r="BA4" s="406" t="e">
        <f t="shared" ca="1" si="7"/>
        <v>#N/A</v>
      </c>
      <c r="BB4" s="406" t="s">
        <v>1064</v>
      </c>
      <c r="BC4" s="407" t="str">
        <f t="shared" ca="1" si="8"/>
        <v/>
      </c>
      <c r="BD4" s="410"/>
      <c r="BE4" s="410"/>
      <c r="BF4"/>
      <c r="BG4"/>
      <c r="BH4"/>
      <c r="BI4"/>
      <c r="BJ4"/>
    </row>
    <row r="5" spans="1:116" x14ac:dyDescent="0.25">
      <c r="A5" s="11" t="s">
        <v>1074</v>
      </c>
      <c r="C5" s="406">
        <f t="shared" si="9"/>
        <v>3</v>
      </c>
      <c r="D5" s="406" t="e">
        <f t="shared" ca="1" si="3"/>
        <v>#N/A</v>
      </c>
      <c r="E5" s="406" t="e">
        <f t="shared" ca="1" si="3"/>
        <v>#N/A</v>
      </c>
      <c r="F5" s="406" t="e">
        <f t="shared" ca="1" si="3"/>
        <v>#N/A</v>
      </c>
      <c r="G5" s="406" t="e">
        <f t="shared" ca="1" si="3"/>
        <v>#N/A</v>
      </c>
      <c r="H5" s="406" t="e">
        <f t="shared" ca="1" si="3"/>
        <v>#N/A</v>
      </c>
      <c r="I5" s="406" t="e">
        <f t="shared" ca="1" si="3"/>
        <v>#N/A</v>
      </c>
      <c r="J5" s="406" t="e">
        <f t="shared" ca="1" si="3"/>
        <v>#N/A</v>
      </c>
      <c r="K5" s="406" t="e">
        <f t="shared" ca="1" si="3"/>
        <v>#N/A</v>
      </c>
      <c r="L5" s="406" t="e">
        <f t="shared" ca="1" si="3"/>
        <v>#N/A</v>
      </c>
      <c r="M5" s="406" t="e">
        <f t="shared" ca="1" si="3"/>
        <v>#N/A</v>
      </c>
      <c r="N5" s="406" t="e">
        <f t="shared" ca="1" si="4"/>
        <v>#N/A</v>
      </c>
      <c r="O5" s="406" t="e">
        <f t="shared" ca="1" si="4"/>
        <v>#N/A</v>
      </c>
      <c r="P5" s="406" t="e">
        <f t="shared" ca="1" si="4"/>
        <v>#N/A</v>
      </c>
      <c r="Q5" s="406" t="e">
        <f t="shared" ca="1" si="4"/>
        <v>#N/A</v>
      </c>
      <c r="R5" s="406" t="e">
        <f t="shared" ca="1" si="4"/>
        <v>#N/A</v>
      </c>
      <c r="S5" s="406" t="e">
        <f t="shared" ca="1" si="4"/>
        <v>#N/A</v>
      </c>
      <c r="T5" s="406" t="e">
        <f t="shared" ca="1" si="4"/>
        <v>#N/A</v>
      </c>
      <c r="U5" s="406" t="e">
        <f t="shared" ca="1" si="4"/>
        <v>#N/A</v>
      </c>
      <c r="V5" s="406" t="e">
        <f t="shared" ca="1" si="4"/>
        <v>#N/A</v>
      </c>
      <c r="W5" s="406" t="e">
        <f t="shared" ca="1" si="4"/>
        <v>#N/A</v>
      </c>
      <c r="X5" s="406" t="e">
        <f t="shared" ca="1" si="5"/>
        <v>#N/A</v>
      </c>
      <c r="Y5" s="406" t="e">
        <f t="shared" ca="1" si="5"/>
        <v>#N/A</v>
      </c>
      <c r="Z5" s="406" t="e">
        <f t="shared" ca="1" si="5"/>
        <v>#N/A</v>
      </c>
      <c r="AA5" s="406" t="e">
        <f t="shared" ca="1" si="5"/>
        <v>#N/A</v>
      </c>
      <c r="AB5" s="406" t="e">
        <f t="shared" ca="1" si="5"/>
        <v>#N/A</v>
      </c>
      <c r="AC5" s="406" t="e">
        <f t="shared" ca="1" si="5"/>
        <v>#N/A</v>
      </c>
      <c r="AD5" s="406" t="e">
        <f t="shared" ca="1" si="5"/>
        <v>#N/A</v>
      </c>
      <c r="AE5" s="406" t="e">
        <f t="shared" ca="1" si="5"/>
        <v>#N/A</v>
      </c>
      <c r="AF5" s="406" t="e">
        <f t="shared" ca="1" si="5"/>
        <v>#N/A</v>
      </c>
      <c r="AG5" s="406" t="e">
        <f t="shared" ca="1" si="5"/>
        <v>#N/A</v>
      </c>
      <c r="AH5" s="406" t="e">
        <f t="shared" ca="1" si="6"/>
        <v>#N/A</v>
      </c>
      <c r="AI5" s="406" t="e">
        <f t="shared" ca="1" si="6"/>
        <v>#N/A</v>
      </c>
      <c r="AJ5" s="406" t="e">
        <f t="shared" ca="1" si="6"/>
        <v>#N/A</v>
      </c>
      <c r="AK5" s="406" t="e">
        <f t="shared" ca="1" si="6"/>
        <v>#N/A</v>
      </c>
      <c r="AL5" s="406" t="e">
        <f t="shared" ca="1" si="6"/>
        <v>#N/A</v>
      </c>
      <c r="AM5" s="406" t="e">
        <f t="shared" ca="1" si="6"/>
        <v>#N/A</v>
      </c>
      <c r="AN5" s="406" t="e">
        <f t="shared" ca="1" si="6"/>
        <v>#N/A</v>
      </c>
      <c r="AO5" s="406" t="e">
        <f t="shared" ca="1" si="6"/>
        <v>#N/A</v>
      </c>
      <c r="AP5" s="406" t="e">
        <f t="shared" ca="1" si="6"/>
        <v>#N/A</v>
      </c>
      <c r="AQ5" s="406" t="e">
        <f t="shared" ca="1" si="6"/>
        <v>#N/A</v>
      </c>
      <c r="AR5" s="406" t="e">
        <f t="shared" ca="1" si="7"/>
        <v>#N/A</v>
      </c>
      <c r="AS5" s="406" t="e">
        <f t="shared" ca="1" si="7"/>
        <v>#N/A</v>
      </c>
      <c r="AT5" s="406" t="e">
        <f t="shared" ca="1" si="7"/>
        <v>#N/A</v>
      </c>
      <c r="AU5" s="406" t="e">
        <f t="shared" ca="1" si="7"/>
        <v>#N/A</v>
      </c>
      <c r="AV5" s="406" t="e">
        <f t="shared" ca="1" si="7"/>
        <v>#N/A</v>
      </c>
      <c r="AW5" s="406" t="e">
        <f t="shared" ca="1" si="7"/>
        <v>#N/A</v>
      </c>
      <c r="AX5" s="406" t="e">
        <f t="shared" ca="1" si="7"/>
        <v>#N/A</v>
      </c>
      <c r="AY5" s="406" t="e">
        <f t="shared" ca="1" si="7"/>
        <v>#N/A</v>
      </c>
      <c r="AZ5" s="406" t="e">
        <f t="shared" ca="1" si="7"/>
        <v>#N/A</v>
      </c>
      <c r="BA5" s="406" t="e">
        <f t="shared" ca="1" si="7"/>
        <v>#N/A</v>
      </c>
      <c r="BB5" s="406" t="s">
        <v>1065</v>
      </c>
      <c r="BC5" s="407" t="str">
        <f t="shared" ca="1" si="8"/>
        <v/>
      </c>
      <c r="BD5" s="410"/>
      <c r="BE5" s="410"/>
      <c r="BF5"/>
      <c r="BG5"/>
      <c r="BH5"/>
      <c r="BI5"/>
      <c r="BJ5"/>
    </row>
    <row r="6" spans="1:116" x14ac:dyDescent="0.25">
      <c r="A6" s="11" t="e">
        <f ca="1">ROW(INDEX(D:D,MATCH("*" &amp; A5 &amp; "*",D:D,0)))</f>
        <v>#N/A</v>
      </c>
      <c r="C6" s="406">
        <f t="shared" si="9"/>
        <v>4</v>
      </c>
      <c r="D6" s="406" t="e">
        <f t="shared" ca="1" si="3"/>
        <v>#N/A</v>
      </c>
      <c r="E6" s="406" t="e">
        <f t="shared" ca="1" si="3"/>
        <v>#N/A</v>
      </c>
      <c r="F6" s="406" t="e">
        <f t="shared" ca="1" si="3"/>
        <v>#N/A</v>
      </c>
      <c r="G6" s="406" t="e">
        <f t="shared" ca="1" si="3"/>
        <v>#N/A</v>
      </c>
      <c r="H6" s="406" t="e">
        <f t="shared" ca="1" si="3"/>
        <v>#N/A</v>
      </c>
      <c r="I6" s="406" t="e">
        <f t="shared" ca="1" si="3"/>
        <v>#N/A</v>
      </c>
      <c r="J6" s="406" t="e">
        <f t="shared" ca="1" si="3"/>
        <v>#N/A</v>
      </c>
      <c r="K6" s="406" t="e">
        <f t="shared" ca="1" si="3"/>
        <v>#N/A</v>
      </c>
      <c r="L6" s="406" t="e">
        <f t="shared" ca="1" si="3"/>
        <v>#N/A</v>
      </c>
      <c r="M6" s="406" t="e">
        <f t="shared" ca="1" si="3"/>
        <v>#N/A</v>
      </c>
      <c r="N6" s="406" t="e">
        <f t="shared" ca="1" si="4"/>
        <v>#N/A</v>
      </c>
      <c r="O6" s="406" t="e">
        <f t="shared" ca="1" si="4"/>
        <v>#N/A</v>
      </c>
      <c r="P6" s="406" t="e">
        <f t="shared" ca="1" si="4"/>
        <v>#N/A</v>
      </c>
      <c r="Q6" s="406" t="e">
        <f t="shared" ca="1" si="4"/>
        <v>#N/A</v>
      </c>
      <c r="R6" s="406" t="e">
        <f t="shared" ca="1" si="4"/>
        <v>#N/A</v>
      </c>
      <c r="S6" s="406" t="e">
        <f t="shared" ca="1" si="4"/>
        <v>#N/A</v>
      </c>
      <c r="T6" s="406" t="e">
        <f t="shared" ca="1" si="4"/>
        <v>#N/A</v>
      </c>
      <c r="U6" s="406" t="e">
        <f t="shared" ca="1" si="4"/>
        <v>#N/A</v>
      </c>
      <c r="V6" s="406" t="e">
        <f t="shared" ca="1" si="4"/>
        <v>#N/A</v>
      </c>
      <c r="W6" s="406" t="e">
        <f t="shared" ca="1" si="4"/>
        <v>#N/A</v>
      </c>
      <c r="X6" s="406" t="e">
        <f t="shared" ca="1" si="5"/>
        <v>#N/A</v>
      </c>
      <c r="Y6" s="406" t="e">
        <f t="shared" ca="1" si="5"/>
        <v>#N/A</v>
      </c>
      <c r="Z6" s="406" t="e">
        <f t="shared" ca="1" si="5"/>
        <v>#N/A</v>
      </c>
      <c r="AA6" s="406" t="e">
        <f t="shared" ca="1" si="5"/>
        <v>#N/A</v>
      </c>
      <c r="AB6" s="406" t="e">
        <f t="shared" ca="1" si="5"/>
        <v>#N/A</v>
      </c>
      <c r="AC6" s="406" t="e">
        <f t="shared" ca="1" si="5"/>
        <v>#N/A</v>
      </c>
      <c r="AD6" s="406" t="e">
        <f t="shared" ca="1" si="5"/>
        <v>#N/A</v>
      </c>
      <c r="AE6" s="406" t="e">
        <f t="shared" ca="1" si="5"/>
        <v>#N/A</v>
      </c>
      <c r="AF6" s="406" t="e">
        <f t="shared" ca="1" si="5"/>
        <v>#N/A</v>
      </c>
      <c r="AG6" s="406" t="e">
        <f t="shared" ca="1" si="5"/>
        <v>#N/A</v>
      </c>
      <c r="AH6" s="406" t="e">
        <f t="shared" ca="1" si="6"/>
        <v>#N/A</v>
      </c>
      <c r="AI6" s="406" t="e">
        <f t="shared" ca="1" si="6"/>
        <v>#N/A</v>
      </c>
      <c r="AJ6" s="406" t="e">
        <f t="shared" ca="1" si="6"/>
        <v>#N/A</v>
      </c>
      <c r="AK6" s="406" t="e">
        <f t="shared" ca="1" si="6"/>
        <v>#N/A</v>
      </c>
      <c r="AL6" s="406" t="e">
        <f t="shared" ca="1" si="6"/>
        <v>#N/A</v>
      </c>
      <c r="AM6" s="406" t="e">
        <f t="shared" ca="1" si="6"/>
        <v>#N/A</v>
      </c>
      <c r="AN6" s="406" t="e">
        <f t="shared" ca="1" si="6"/>
        <v>#N/A</v>
      </c>
      <c r="AO6" s="406" t="e">
        <f t="shared" ca="1" si="6"/>
        <v>#N/A</v>
      </c>
      <c r="AP6" s="406" t="e">
        <f t="shared" ca="1" si="6"/>
        <v>#N/A</v>
      </c>
      <c r="AQ6" s="406" t="e">
        <f t="shared" ca="1" si="6"/>
        <v>#N/A</v>
      </c>
      <c r="AR6" s="406" t="e">
        <f t="shared" ca="1" si="7"/>
        <v>#N/A</v>
      </c>
      <c r="AS6" s="406" t="e">
        <f t="shared" ca="1" si="7"/>
        <v>#N/A</v>
      </c>
      <c r="AT6" s="406" t="e">
        <f t="shared" ca="1" si="7"/>
        <v>#N/A</v>
      </c>
      <c r="AU6" s="406" t="e">
        <f t="shared" ca="1" si="7"/>
        <v>#N/A</v>
      </c>
      <c r="AV6" s="406" t="e">
        <f t="shared" ca="1" si="7"/>
        <v>#N/A</v>
      </c>
      <c r="AW6" s="406" t="e">
        <f t="shared" ca="1" si="7"/>
        <v>#N/A</v>
      </c>
      <c r="AX6" s="406" t="e">
        <f t="shared" ca="1" si="7"/>
        <v>#N/A</v>
      </c>
      <c r="AY6" s="406" t="e">
        <f t="shared" ca="1" si="7"/>
        <v>#N/A</v>
      </c>
      <c r="AZ6" s="406" t="e">
        <f t="shared" ca="1" si="7"/>
        <v>#N/A</v>
      </c>
      <c r="BA6" s="406" t="e">
        <f t="shared" ca="1" si="7"/>
        <v>#N/A</v>
      </c>
      <c r="BB6" s="406" t="s">
        <v>1066</v>
      </c>
      <c r="BC6" s="407" t="str">
        <f t="shared" ca="1" si="8"/>
        <v/>
      </c>
      <c r="BD6" s="410"/>
      <c r="BE6" s="410"/>
      <c r="BF6"/>
      <c r="BG6"/>
      <c r="BH6"/>
      <c r="BI6"/>
      <c r="BJ6"/>
    </row>
    <row r="7" spans="1:116" x14ac:dyDescent="0.25">
      <c r="C7" s="406">
        <f t="shared" si="9"/>
        <v>5</v>
      </c>
      <c r="D7" s="406" t="e">
        <f t="shared" ca="1" si="3"/>
        <v>#N/A</v>
      </c>
      <c r="E7" s="406" t="e">
        <f t="shared" ca="1" si="3"/>
        <v>#N/A</v>
      </c>
      <c r="F7" s="406" t="e">
        <f t="shared" ca="1" si="3"/>
        <v>#N/A</v>
      </c>
      <c r="G7" s="406" t="e">
        <f t="shared" ca="1" si="3"/>
        <v>#N/A</v>
      </c>
      <c r="H7" s="406" t="e">
        <f t="shared" ca="1" si="3"/>
        <v>#N/A</v>
      </c>
      <c r="I7" s="406" t="e">
        <f t="shared" ca="1" si="3"/>
        <v>#N/A</v>
      </c>
      <c r="J7" s="406" t="e">
        <f t="shared" ca="1" si="3"/>
        <v>#N/A</v>
      </c>
      <c r="K7" s="406" t="e">
        <f t="shared" ca="1" si="3"/>
        <v>#N/A</v>
      </c>
      <c r="L7" s="406" t="e">
        <f t="shared" ca="1" si="3"/>
        <v>#N/A</v>
      </c>
      <c r="M7" s="406" t="e">
        <f t="shared" ca="1" si="3"/>
        <v>#N/A</v>
      </c>
      <c r="N7" s="406" t="e">
        <f t="shared" ca="1" si="4"/>
        <v>#N/A</v>
      </c>
      <c r="O7" s="406" t="e">
        <f t="shared" ca="1" si="4"/>
        <v>#N/A</v>
      </c>
      <c r="P7" s="406" t="e">
        <f t="shared" ca="1" si="4"/>
        <v>#N/A</v>
      </c>
      <c r="Q7" s="406" t="e">
        <f t="shared" ca="1" si="4"/>
        <v>#N/A</v>
      </c>
      <c r="R7" s="406" t="e">
        <f t="shared" ca="1" si="4"/>
        <v>#N/A</v>
      </c>
      <c r="S7" s="406" t="e">
        <f t="shared" ca="1" si="4"/>
        <v>#N/A</v>
      </c>
      <c r="T7" s="406" t="e">
        <f t="shared" ca="1" si="4"/>
        <v>#N/A</v>
      </c>
      <c r="U7" s="406" t="e">
        <f t="shared" ca="1" si="4"/>
        <v>#N/A</v>
      </c>
      <c r="V7" s="406" t="e">
        <f t="shared" ca="1" si="4"/>
        <v>#N/A</v>
      </c>
      <c r="W7" s="406" t="e">
        <f t="shared" ca="1" si="4"/>
        <v>#N/A</v>
      </c>
      <c r="X7" s="406" t="e">
        <f t="shared" ca="1" si="5"/>
        <v>#N/A</v>
      </c>
      <c r="Y7" s="406" t="e">
        <f t="shared" ca="1" si="5"/>
        <v>#N/A</v>
      </c>
      <c r="Z7" s="406" t="e">
        <f t="shared" ca="1" si="5"/>
        <v>#N/A</v>
      </c>
      <c r="AA7" s="406" t="e">
        <f t="shared" ca="1" si="5"/>
        <v>#N/A</v>
      </c>
      <c r="AB7" s="406" t="e">
        <f t="shared" ca="1" si="5"/>
        <v>#N/A</v>
      </c>
      <c r="AC7" s="406" t="e">
        <f t="shared" ca="1" si="5"/>
        <v>#N/A</v>
      </c>
      <c r="AD7" s="406" t="e">
        <f t="shared" ca="1" si="5"/>
        <v>#N/A</v>
      </c>
      <c r="AE7" s="406" t="e">
        <f t="shared" ca="1" si="5"/>
        <v>#N/A</v>
      </c>
      <c r="AF7" s="406" t="e">
        <f t="shared" ca="1" si="5"/>
        <v>#N/A</v>
      </c>
      <c r="AG7" s="406" t="e">
        <f t="shared" ca="1" si="5"/>
        <v>#N/A</v>
      </c>
      <c r="AH7" s="406" t="e">
        <f t="shared" ca="1" si="6"/>
        <v>#N/A</v>
      </c>
      <c r="AI7" s="406" t="e">
        <f t="shared" ca="1" si="6"/>
        <v>#N/A</v>
      </c>
      <c r="AJ7" s="406" t="e">
        <f t="shared" ca="1" si="6"/>
        <v>#N/A</v>
      </c>
      <c r="AK7" s="406" t="e">
        <f t="shared" ca="1" si="6"/>
        <v>#N/A</v>
      </c>
      <c r="AL7" s="406" t="e">
        <f t="shared" ca="1" si="6"/>
        <v>#N/A</v>
      </c>
      <c r="AM7" s="406" t="e">
        <f t="shared" ca="1" si="6"/>
        <v>#N/A</v>
      </c>
      <c r="AN7" s="406" t="e">
        <f t="shared" ca="1" si="6"/>
        <v>#N/A</v>
      </c>
      <c r="AO7" s="406" t="e">
        <f t="shared" ca="1" si="6"/>
        <v>#N/A</v>
      </c>
      <c r="AP7" s="406" t="e">
        <f t="shared" ca="1" si="6"/>
        <v>#N/A</v>
      </c>
      <c r="AQ7" s="406" t="e">
        <f t="shared" ca="1" si="6"/>
        <v>#N/A</v>
      </c>
      <c r="AR7" s="406" t="e">
        <f t="shared" ca="1" si="7"/>
        <v>#N/A</v>
      </c>
      <c r="AS7" s="406" t="e">
        <f t="shared" ca="1" si="7"/>
        <v>#N/A</v>
      </c>
      <c r="AT7" s="406" t="e">
        <f t="shared" ca="1" si="7"/>
        <v>#N/A</v>
      </c>
      <c r="AU7" s="406" t="e">
        <f t="shared" ca="1" si="7"/>
        <v>#N/A</v>
      </c>
      <c r="AV7" s="406" t="e">
        <f t="shared" ca="1" si="7"/>
        <v>#N/A</v>
      </c>
      <c r="AW7" s="406" t="e">
        <f t="shared" ca="1" si="7"/>
        <v>#N/A</v>
      </c>
      <c r="AX7" s="406" t="e">
        <f t="shared" ca="1" si="7"/>
        <v>#N/A</v>
      </c>
      <c r="AY7" s="406" t="e">
        <f t="shared" ca="1" si="7"/>
        <v>#N/A</v>
      </c>
      <c r="AZ7" s="406" t="e">
        <f t="shared" ca="1" si="7"/>
        <v>#N/A</v>
      </c>
      <c r="BA7" s="406" t="e">
        <f t="shared" ca="1" si="7"/>
        <v>#N/A</v>
      </c>
      <c r="BB7" s="406" t="s">
        <v>1067</v>
      </c>
      <c r="BC7" s="407" t="str">
        <f t="shared" ca="1" si="8"/>
        <v/>
      </c>
      <c r="BD7" s="410"/>
      <c r="BE7" s="410"/>
      <c r="BF7"/>
      <c r="BG7"/>
      <c r="BH7"/>
      <c r="BI7"/>
      <c r="BJ7"/>
    </row>
    <row r="8" spans="1:116" x14ac:dyDescent="0.25">
      <c r="A8" s="11" t="s">
        <v>1280</v>
      </c>
      <c r="C8" s="406">
        <f t="shared" si="9"/>
        <v>6</v>
      </c>
      <c r="D8" s="406" t="e">
        <f t="shared" ca="1" si="3"/>
        <v>#N/A</v>
      </c>
      <c r="E8" s="406" t="e">
        <f t="shared" ca="1" si="3"/>
        <v>#N/A</v>
      </c>
      <c r="F8" s="406" t="e">
        <f t="shared" ca="1" si="3"/>
        <v>#N/A</v>
      </c>
      <c r="G8" s="406" t="e">
        <f t="shared" ca="1" si="3"/>
        <v>#N/A</v>
      </c>
      <c r="H8" s="406" t="e">
        <f t="shared" ca="1" si="3"/>
        <v>#N/A</v>
      </c>
      <c r="I8" s="406" t="e">
        <f t="shared" ca="1" si="3"/>
        <v>#N/A</v>
      </c>
      <c r="J8" s="406" t="e">
        <f t="shared" ca="1" si="3"/>
        <v>#N/A</v>
      </c>
      <c r="K8" s="406" t="e">
        <f t="shared" ca="1" si="3"/>
        <v>#N/A</v>
      </c>
      <c r="L8" s="406" t="e">
        <f t="shared" ca="1" si="3"/>
        <v>#N/A</v>
      </c>
      <c r="M8" s="406" t="e">
        <f t="shared" ca="1" si="3"/>
        <v>#N/A</v>
      </c>
      <c r="N8" s="406" t="e">
        <f t="shared" ca="1" si="4"/>
        <v>#N/A</v>
      </c>
      <c r="O8" s="406" t="e">
        <f t="shared" ca="1" si="4"/>
        <v>#N/A</v>
      </c>
      <c r="P8" s="406" t="e">
        <f t="shared" ca="1" si="4"/>
        <v>#N/A</v>
      </c>
      <c r="Q8" s="406" t="e">
        <f t="shared" ca="1" si="4"/>
        <v>#N/A</v>
      </c>
      <c r="R8" s="406" t="e">
        <f t="shared" ca="1" si="4"/>
        <v>#N/A</v>
      </c>
      <c r="S8" s="406" t="e">
        <f t="shared" ca="1" si="4"/>
        <v>#N/A</v>
      </c>
      <c r="T8" s="406" t="e">
        <f t="shared" ca="1" si="4"/>
        <v>#N/A</v>
      </c>
      <c r="U8" s="406" t="e">
        <f t="shared" ca="1" si="4"/>
        <v>#N/A</v>
      </c>
      <c r="V8" s="406" t="e">
        <f t="shared" ca="1" si="4"/>
        <v>#N/A</v>
      </c>
      <c r="W8" s="406" t="e">
        <f t="shared" ca="1" si="4"/>
        <v>#N/A</v>
      </c>
      <c r="X8" s="406" t="e">
        <f t="shared" ca="1" si="5"/>
        <v>#N/A</v>
      </c>
      <c r="Y8" s="406" t="e">
        <f t="shared" ca="1" si="5"/>
        <v>#N/A</v>
      </c>
      <c r="Z8" s="406" t="e">
        <f t="shared" ca="1" si="5"/>
        <v>#N/A</v>
      </c>
      <c r="AA8" s="406" t="e">
        <f t="shared" ca="1" si="5"/>
        <v>#N/A</v>
      </c>
      <c r="AB8" s="406" t="e">
        <f t="shared" ca="1" si="5"/>
        <v>#N/A</v>
      </c>
      <c r="AC8" s="406" t="e">
        <f t="shared" ca="1" si="5"/>
        <v>#N/A</v>
      </c>
      <c r="AD8" s="406" t="e">
        <f t="shared" ca="1" si="5"/>
        <v>#N/A</v>
      </c>
      <c r="AE8" s="406" t="e">
        <f t="shared" ca="1" si="5"/>
        <v>#N/A</v>
      </c>
      <c r="AF8" s="406" t="e">
        <f t="shared" ca="1" si="5"/>
        <v>#N/A</v>
      </c>
      <c r="AG8" s="406" t="e">
        <f t="shared" ca="1" si="5"/>
        <v>#N/A</v>
      </c>
      <c r="AH8" s="406" t="e">
        <f t="shared" ca="1" si="6"/>
        <v>#N/A</v>
      </c>
      <c r="AI8" s="406" t="e">
        <f t="shared" ca="1" si="6"/>
        <v>#N/A</v>
      </c>
      <c r="AJ8" s="406" t="e">
        <f t="shared" ca="1" si="6"/>
        <v>#N/A</v>
      </c>
      <c r="AK8" s="406" t="e">
        <f t="shared" ca="1" si="6"/>
        <v>#N/A</v>
      </c>
      <c r="AL8" s="406" t="e">
        <f t="shared" ca="1" si="6"/>
        <v>#N/A</v>
      </c>
      <c r="AM8" s="406" t="e">
        <f t="shared" ca="1" si="6"/>
        <v>#N/A</v>
      </c>
      <c r="AN8" s="406" t="e">
        <f t="shared" ca="1" si="6"/>
        <v>#N/A</v>
      </c>
      <c r="AO8" s="406" t="e">
        <f t="shared" ca="1" si="6"/>
        <v>#N/A</v>
      </c>
      <c r="AP8" s="406" t="e">
        <f t="shared" ca="1" si="6"/>
        <v>#N/A</v>
      </c>
      <c r="AQ8" s="406" t="e">
        <f t="shared" ca="1" si="6"/>
        <v>#N/A</v>
      </c>
      <c r="AR8" s="406" t="e">
        <f t="shared" ca="1" si="7"/>
        <v>#N/A</v>
      </c>
      <c r="AS8" s="406" t="e">
        <f t="shared" ca="1" si="7"/>
        <v>#N/A</v>
      </c>
      <c r="AT8" s="406" t="e">
        <f t="shared" ca="1" si="7"/>
        <v>#N/A</v>
      </c>
      <c r="AU8" s="406" t="e">
        <f t="shared" ca="1" si="7"/>
        <v>#N/A</v>
      </c>
      <c r="AV8" s="406" t="e">
        <f t="shared" ca="1" si="7"/>
        <v>#N/A</v>
      </c>
      <c r="AW8" s="406" t="e">
        <f t="shared" ca="1" si="7"/>
        <v>#N/A</v>
      </c>
      <c r="AX8" s="406" t="e">
        <f t="shared" ca="1" si="7"/>
        <v>#N/A</v>
      </c>
      <c r="AY8" s="406" t="e">
        <f t="shared" ca="1" si="7"/>
        <v>#N/A</v>
      </c>
      <c r="AZ8" s="406" t="e">
        <f t="shared" ca="1" si="7"/>
        <v>#N/A</v>
      </c>
      <c r="BA8" s="406" t="e">
        <f t="shared" ca="1" si="7"/>
        <v>#N/A</v>
      </c>
      <c r="BB8" s="406" t="s">
        <v>1068</v>
      </c>
      <c r="BC8" s="407" t="str">
        <f t="shared" ca="1" si="8"/>
        <v/>
      </c>
      <c r="BD8" s="410"/>
      <c r="BE8" s="410"/>
      <c r="BF8"/>
      <c r="BG8"/>
      <c r="BH8"/>
      <c r="BI8"/>
      <c r="BJ8"/>
    </row>
    <row r="9" spans="1:116" x14ac:dyDescent="0.25">
      <c r="A9" s="11" t="e">
        <f ca="1">INDEX($D$2:$BA$201,MATCH($BB2,$D$2:$D$201,0)-1,MATCH(BC$1,INDIRECT(CONCATENATE("D" &amp; $A$6 &amp; ":BA" &amp; $A$6)),0))</f>
        <v>#N/A</v>
      </c>
      <c r="C9" s="406">
        <f t="shared" si="9"/>
        <v>7</v>
      </c>
      <c r="D9" s="406" t="e">
        <f t="shared" ca="1" si="3"/>
        <v>#N/A</v>
      </c>
      <c r="E9" s="406" t="e">
        <f t="shared" ca="1" si="3"/>
        <v>#N/A</v>
      </c>
      <c r="F9" s="406" t="e">
        <f t="shared" ca="1" si="3"/>
        <v>#N/A</v>
      </c>
      <c r="G9" s="406" t="e">
        <f t="shared" ca="1" si="3"/>
        <v>#N/A</v>
      </c>
      <c r="H9" s="406" t="e">
        <f t="shared" ca="1" si="3"/>
        <v>#N/A</v>
      </c>
      <c r="I9" s="406" t="e">
        <f t="shared" ca="1" si="3"/>
        <v>#N/A</v>
      </c>
      <c r="J9" s="406" t="e">
        <f t="shared" ca="1" si="3"/>
        <v>#N/A</v>
      </c>
      <c r="K9" s="406" t="e">
        <f t="shared" ca="1" si="3"/>
        <v>#N/A</v>
      </c>
      <c r="L9" s="406" t="e">
        <f t="shared" ca="1" si="3"/>
        <v>#N/A</v>
      </c>
      <c r="M9" s="406" t="e">
        <f t="shared" ca="1" si="3"/>
        <v>#N/A</v>
      </c>
      <c r="N9" s="406" t="e">
        <f t="shared" ca="1" si="4"/>
        <v>#N/A</v>
      </c>
      <c r="O9" s="406" t="e">
        <f t="shared" ca="1" si="4"/>
        <v>#N/A</v>
      </c>
      <c r="P9" s="406" t="e">
        <f t="shared" ca="1" si="4"/>
        <v>#N/A</v>
      </c>
      <c r="Q9" s="406" t="e">
        <f t="shared" ca="1" si="4"/>
        <v>#N/A</v>
      </c>
      <c r="R9" s="406" t="e">
        <f t="shared" ca="1" si="4"/>
        <v>#N/A</v>
      </c>
      <c r="S9" s="406" t="e">
        <f t="shared" ca="1" si="4"/>
        <v>#N/A</v>
      </c>
      <c r="T9" s="406" t="e">
        <f t="shared" ca="1" si="4"/>
        <v>#N/A</v>
      </c>
      <c r="U9" s="406" t="e">
        <f t="shared" ca="1" si="4"/>
        <v>#N/A</v>
      </c>
      <c r="V9" s="406" t="e">
        <f t="shared" ca="1" si="4"/>
        <v>#N/A</v>
      </c>
      <c r="W9" s="406" t="e">
        <f t="shared" ca="1" si="4"/>
        <v>#N/A</v>
      </c>
      <c r="X9" s="406" t="e">
        <f t="shared" ca="1" si="5"/>
        <v>#N/A</v>
      </c>
      <c r="Y9" s="406" t="e">
        <f t="shared" ca="1" si="5"/>
        <v>#N/A</v>
      </c>
      <c r="Z9" s="406" t="e">
        <f t="shared" ca="1" si="5"/>
        <v>#N/A</v>
      </c>
      <c r="AA9" s="406" t="e">
        <f t="shared" ca="1" si="5"/>
        <v>#N/A</v>
      </c>
      <c r="AB9" s="406" t="e">
        <f t="shared" ca="1" si="5"/>
        <v>#N/A</v>
      </c>
      <c r="AC9" s="406" t="e">
        <f t="shared" ca="1" si="5"/>
        <v>#N/A</v>
      </c>
      <c r="AD9" s="406" t="e">
        <f t="shared" ca="1" si="5"/>
        <v>#N/A</v>
      </c>
      <c r="AE9" s="406" t="e">
        <f t="shared" ca="1" si="5"/>
        <v>#N/A</v>
      </c>
      <c r="AF9" s="406" t="e">
        <f t="shared" ca="1" si="5"/>
        <v>#N/A</v>
      </c>
      <c r="AG9" s="406" t="e">
        <f t="shared" ca="1" si="5"/>
        <v>#N/A</v>
      </c>
      <c r="AH9" s="406" t="e">
        <f t="shared" ca="1" si="6"/>
        <v>#N/A</v>
      </c>
      <c r="AI9" s="406" t="e">
        <f t="shared" ca="1" si="6"/>
        <v>#N/A</v>
      </c>
      <c r="AJ9" s="406" t="e">
        <f t="shared" ca="1" si="6"/>
        <v>#N/A</v>
      </c>
      <c r="AK9" s="406" t="e">
        <f t="shared" ca="1" si="6"/>
        <v>#N/A</v>
      </c>
      <c r="AL9" s="406" t="e">
        <f t="shared" ca="1" si="6"/>
        <v>#N/A</v>
      </c>
      <c r="AM9" s="406" t="e">
        <f t="shared" ca="1" si="6"/>
        <v>#N/A</v>
      </c>
      <c r="AN9" s="406" t="e">
        <f t="shared" ca="1" si="6"/>
        <v>#N/A</v>
      </c>
      <c r="AO9" s="406" t="e">
        <f t="shared" ca="1" si="6"/>
        <v>#N/A</v>
      </c>
      <c r="AP9" s="406" t="e">
        <f t="shared" ca="1" si="6"/>
        <v>#N/A</v>
      </c>
      <c r="AQ9" s="406" t="e">
        <f t="shared" ca="1" si="6"/>
        <v>#N/A</v>
      </c>
      <c r="AR9" s="406" t="e">
        <f t="shared" ca="1" si="7"/>
        <v>#N/A</v>
      </c>
      <c r="AS9" s="406" t="e">
        <f t="shared" ca="1" si="7"/>
        <v>#N/A</v>
      </c>
      <c r="AT9" s="406" t="e">
        <f t="shared" ca="1" si="7"/>
        <v>#N/A</v>
      </c>
      <c r="AU9" s="406" t="e">
        <f t="shared" ca="1" si="7"/>
        <v>#N/A</v>
      </c>
      <c r="AV9" s="406" t="e">
        <f t="shared" ca="1" si="7"/>
        <v>#N/A</v>
      </c>
      <c r="AW9" s="406" t="e">
        <f t="shared" ca="1" si="7"/>
        <v>#N/A</v>
      </c>
      <c r="AX9" s="406" t="e">
        <f t="shared" ca="1" si="7"/>
        <v>#N/A</v>
      </c>
      <c r="AY9" s="406" t="e">
        <f t="shared" ca="1" si="7"/>
        <v>#N/A</v>
      </c>
      <c r="AZ9" s="406" t="e">
        <f t="shared" ca="1" si="7"/>
        <v>#N/A</v>
      </c>
      <c r="BA9" s="406" t="e">
        <f t="shared" ca="1" si="7"/>
        <v>#N/A</v>
      </c>
      <c r="BB9" s="406" t="s">
        <v>1069</v>
      </c>
      <c r="BC9" s="407" t="str">
        <f t="shared" ca="1" si="8"/>
        <v/>
      </c>
      <c r="BD9" s="410"/>
      <c r="BE9" s="410"/>
      <c r="BF9"/>
      <c r="BG9"/>
      <c r="BH9"/>
      <c r="BI9"/>
      <c r="BJ9"/>
    </row>
    <row r="10" spans="1:116" x14ac:dyDescent="0.25">
      <c r="A10" s="411" t="s">
        <v>1281</v>
      </c>
      <c r="C10" s="406">
        <f t="shared" si="9"/>
        <v>8</v>
      </c>
      <c r="D10" s="406" t="e">
        <f t="shared" ca="1" si="3"/>
        <v>#N/A</v>
      </c>
      <c r="E10" s="406" t="e">
        <f t="shared" ca="1" si="3"/>
        <v>#N/A</v>
      </c>
      <c r="F10" s="406" t="e">
        <f t="shared" ca="1" si="3"/>
        <v>#N/A</v>
      </c>
      <c r="G10" s="406" t="e">
        <f t="shared" ca="1" si="3"/>
        <v>#N/A</v>
      </c>
      <c r="H10" s="406" t="e">
        <f t="shared" ca="1" si="3"/>
        <v>#N/A</v>
      </c>
      <c r="I10" s="406" t="e">
        <f t="shared" ca="1" si="3"/>
        <v>#N/A</v>
      </c>
      <c r="J10" s="406" t="e">
        <f t="shared" ca="1" si="3"/>
        <v>#N/A</v>
      </c>
      <c r="K10" s="406" t="e">
        <f t="shared" ca="1" si="3"/>
        <v>#N/A</v>
      </c>
      <c r="L10" s="406" t="e">
        <f t="shared" ca="1" si="3"/>
        <v>#N/A</v>
      </c>
      <c r="M10" s="406" t="e">
        <f t="shared" ca="1" si="3"/>
        <v>#N/A</v>
      </c>
      <c r="N10" s="406" t="e">
        <f t="shared" ca="1" si="4"/>
        <v>#N/A</v>
      </c>
      <c r="O10" s="406" t="e">
        <f t="shared" ca="1" si="4"/>
        <v>#N/A</v>
      </c>
      <c r="P10" s="406" t="e">
        <f t="shared" ca="1" si="4"/>
        <v>#N/A</v>
      </c>
      <c r="Q10" s="406" t="e">
        <f t="shared" ca="1" si="4"/>
        <v>#N/A</v>
      </c>
      <c r="R10" s="406" t="e">
        <f t="shared" ca="1" si="4"/>
        <v>#N/A</v>
      </c>
      <c r="S10" s="406" t="e">
        <f t="shared" ca="1" si="4"/>
        <v>#N/A</v>
      </c>
      <c r="T10" s="406" t="e">
        <f t="shared" ca="1" si="4"/>
        <v>#N/A</v>
      </c>
      <c r="U10" s="406" t="e">
        <f t="shared" ca="1" si="4"/>
        <v>#N/A</v>
      </c>
      <c r="V10" s="406" t="e">
        <f t="shared" ca="1" si="4"/>
        <v>#N/A</v>
      </c>
      <c r="W10" s="406" t="e">
        <f t="shared" ca="1" si="4"/>
        <v>#N/A</v>
      </c>
      <c r="X10" s="406" t="e">
        <f t="shared" ca="1" si="5"/>
        <v>#N/A</v>
      </c>
      <c r="Y10" s="406" t="e">
        <f t="shared" ca="1" si="5"/>
        <v>#N/A</v>
      </c>
      <c r="Z10" s="406" t="e">
        <f t="shared" ca="1" si="5"/>
        <v>#N/A</v>
      </c>
      <c r="AA10" s="406" t="e">
        <f t="shared" ca="1" si="5"/>
        <v>#N/A</v>
      </c>
      <c r="AB10" s="406" t="e">
        <f t="shared" ca="1" si="5"/>
        <v>#N/A</v>
      </c>
      <c r="AC10" s="406" t="e">
        <f t="shared" ca="1" si="5"/>
        <v>#N/A</v>
      </c>
      <c r="AD10" s="406" t="e">
        <f t="shared" ca="1" si="5"/>
        <v>#N/A</v>
      </c>
      <c r="AE10" s="406" t="e">
        <f t="shared" ca="1" si="5"/>
        <v>#N/A</v>
      </c>
      <c r="AF10" s="406" t="e">
        <f t="shared" ca="1" si="5"/>
        <v>#N/A</v>
      </c>
      <c r="AG10" s="406" t="e">
        <f t="shared" ca="1" si="5"/>
        <v>#N/A</v>
      </c>
      <c r="AH10" s="406" t="e">
        <f t="shared" ca="1" si="6"/>
        <v>#N/A</v>
      </c>
      <c r="AI10" s="406" t="e">
        <f t="shared" ca="1" si="6"/>
        <v>#N/A</v>
      </c>
      <c r="AJ10" s="406" t="e">
        <f t="shared" ca="1" si="6"/>
        <v>#N/A</v>
      </c>
      <c r="AK10" s="406" t="e">
        <f t="shared" ca="1" si="6"/>
        <v>#N/A</v>
      </c>
      <c r="AL10" s="406" t="e">
        <f t="shared" ca="1" si="6"/>
        <v>#N/A</v>
      </c>
      <c r="AM10" s="406" t="e">
        <f t="shared" ca="1" si="6"/>
        <v>#N/A</v>
      </c>
      <c r="AN10" s="406" t="e">
        <f t="shared" ca="1" si="6"/>
        <v>#N/A</v>
      </c>
      <c r="AO10" s="406" t="e">
        <f t="shared" ca="1" si="6"/>
        <v>#N/A</v>
      </c>
      <c r="AP10" s="406" t="e">
        <f t="shared" ca="1" si="6"/>
        <v>#N/A</v>
      </c>
      <c r="AQ10" s="406" t="e">
        <f t="shared" ca="1" si="6"/>
        <v>#N/A</v>
      </c>
      <c r="AR10" s="406" t="e">
        <f t="shared" ca="1" si="7"/>
        <v>#N/A</v>
      </c>
      <c r="AS10" s="406" t="e">
        <f t="shared" ca="1" si="7"/>
        <v>#N/A</v>
      </c>
      <c r="AT10" s="406" t="e">
        <f t="shared" ca="1" si="7"/>
        <v>#N/A</v>
      </c>
      <c r="AU10" s="406" t="e">
        <f t="shared" ca="1" si="7"/>
        <v>#N/A</v>
      </c>
      <c r="AV10" s="406" t="e">
        <f t="shared" ca="1" si="7"/>
        <v>#N/A</v>
      </c>
      <c r="AW10" s="406" t="e">
        <f t="shared" ca="1" si="7"/>
        <v>#N/A</v>
      </c>
      <c r="AX10" s="406" t="e">
        <f t="shared" ca="1" si="7"/>
        <v>#N/A</v>
      </c>
      <c r="AY10" s="406" t="e">
        <f t="shared" ca="1" si="7"/>
        <v>#N/A</v>
      </c>
      <c r="AZ10" s="406" t="e">
        <f t="shared" ca="1" si="7"/>
        <v>#N/A</v>
      </c>
      <c r="BA10" s="406" t="e">
        <f t="shared" ca="1" si="7"/>
        <v>#N/A</v>
      </c>
      <c r="BB10" s="406" t="s">
        <v>1070</v>
      </c>
      <c r="BC10" s="407" t="str">
        <f t="shared" ca="1" si="8"/>
        <v/>
      </c>
      <c r="BD10" s="410"/>
      <c r="BE10" s="410"/>
      <c r="BF10"/>
      <c r="BG10"/>
      <c r="BH10"/>
      <c r="BI10"/>
      <c r="BJ10"/>
    </row>
    <row r="11" spans="1:116" x14ac:dyDescent="0.25">
      <c r="C11" s="406">
        <f t="shared" si="9"/>
        <v>9</v>
      </c>
      <c r="D11" s="406" t="e">
        <f t="shared" ca="1" si="3"/>
        <v>#N/A</v>
      </c>
      <c r="E11" s="406" t="e">
        <f t="shared" ca="1" si="3"/>
        <v>#N/A</v>
      </c>
      <c r="F11" s="406" t="e">
        <f t="shared" ca="1" si="3"/>
        <v>#N/A</v>
      </c>
      <c r="G11" s="406" t="e">
        <f t="shared" ca="1" si="3"/>
        <v>#N/A</v>
      </c>
      <c r="H11" s="406" t="e">
        <f t="shared" ca="1" si="3"/>
        <v>#N/A</v>
      </c>
      <c r="I11" s="406" t="e">
        <f t="shared" ca="1" si="3"/>
        <v>#N/A</v>
      </c>
      <c r="J11" s="406" t="e">
        <f t="shared" ca="1" si="3"/>
        <v>#N/A</v>
      </c>
      <c r="K11" s="406" t="e">
        <f t="shared" ca="1" si="3"/>
        <v>#N/A</v>
      </c>
      <c r="L11" s="406" t="e">
        <f t="shared" ca="1" si="3"/>
        <v>#N/A</v>
      </c>
      <c r="M11" s="406" t="e">
        <f t="shared" ca="1" si="3"/>
        <v>#N/A</v>
      </c>
      <c r="N11" s="406" t="e">
        <f t="shared" ca="1" si="4"/>
        <v>#N/A</v>
      </c>
      <c r="O11" s="406" t="e">
        <f t="shared" ca="1" si="4"/>
        <v>#N/A</v>
      </c>
      <c r="P11" s="406" t="e">
        <f t="shared" ca="1" si="4"/>
        <v>#N/A</v>
      </c>
      <c r="Q11" s="406" t="e">
        <f t="shared" ca="1" si="4"/>
        <v>#N/A</v>
      </c>
      <c r="R11" s="406" t="e">
        <f t="shared" ca="1" si="4"/>
        <v>#N/A</v>
      </c>
      <c r="S11" s="406" t="e">
        <f t="shared" ca="1" si="4"/>
        <v>#N/A</v>
      </c>
      <c r="T11" s="406" t="e">
        <f t="shared" ca="1" si="4"/>
        <v>#N/A</v>
      </c>
      <c r="U11" s="406" t="e">
        <f t="shared" ca="1" si="4"/>
        <v>#N/A</v>
      </c>
      <c r="V11" s="406" t="e">
        <f t="shared" ca="1" si="4"/>
        <v>#N/A</v>
      </c>
      <c r="W11" s="406" t="e">
        <f t="shared" ca="1" si="4"/>
        <v>#N/A</v>
      </c>
      <c r="X11" s="406" t="e">
        <f t="shared" ca="1" si="5"/>
        <v>#N/A</v>
      </c>
      <c r="Y11" s="406" t="e">
        <f t="shared" ca="1" si="5"/>
        <v>#N/A</v>
      </c>
      <c r="Z11" s="406" t="e">
        <f t="shared" ca="1" si="5"/>
        <v>#N/A</v>
      </c>
      <c r="AA11" s="406" t="e">
        <f t="shared" ca="1" si="5"/>
        <v>#N/A</v>
      </c>
      <c r="AB11" s="406" t="e">
        <f t="shared" ca="1" si="5"/>
        <v>#N/A</v>
      </c>
      <c r="AC11" s="406" t="e">
        <f t="shared" ca="1" si="5"/>
        <v>#N/A</v>
      </c>
      <c r="AD11" s="406" t="e">
        <f t="shared" ca="1" si="5"/>
        <v>#N/A</v>
      </c>
      <c r="AE11" s="406" t="e">
        <f t="shared" ca="1" si="5"/>
        <v>#N/A</v>
      </c>
      <c r="AF11" s="406" t="e">
        <f t="shared" ca="1" si="5"/>
        <v>#N/A</v>
      </c>
      <c r="AG11" s="406" t="e">
        <f t="shared" ca="1" si="5"/>
        <v>#N/A</v>
      </c>
      <c r="AH11" s="406" t="e">
        <f t="shared" ca="1" si="6"/>
        <v>#N/A</v>
      </c>
      <c r="AI11" s="406" t="e">
        <f t="shared" ca="1" si="6"/>
        <v>#N/A</v>
      </c>
      <c r="AJ11" s="406" t="e">
        <f t="shared" ca="1" si="6"/>
        <v>#N/A</v>
      </c>
      <c r="AK11" s="406" t="e">
        <f t="shared" ca="1" si="6"/>
        <v>#N/A</v>
      </c>
      <c r="AL11" s="406" t="e">
        <f t="shared" ca="1" si="6"/>
        <v>#N/A</v>
      </c>
      <c r="AM11" s="406" t="e">
        <f t="shared" ca="1" si="6"/>
        <v>#N/A</v>
      </c>
      <c r="AN11" s="406" t="e">
        <f t="shared" ca="1" si="6"/>
        <v>#N/A</v>
      </c>
      <c r="AO11" s="406" t="e">
        <f t="shared" ca="1" si="6"/>
        <v>#N/A</v>
      </c>
      <c r="AP11" s="406" t="e">
        <f t="shared" ca="1" si="6"/>
        <v>#N/A</v>
      </c>
      <c r="AQ11" s="406" t="e">
        <f t="shared" ca="1" si="6"/>
        <v>#N/A</v>
      </c>
      <c r="AR11" s="406" t="e">
        <f t="shared" ca="1" si="7"/>
        <v>#N/A</v>
      </c>
      <c r="AS11" s="406" t="e">
        <f t="shared" ca="1" si="7"/>
        <v>#N/A</v>
      </c>
      <c r="AT11" s="406" t="e">
        <f t="shared" ca="1" si="7"/>
        <v>#N/A</v>
      </c>
      <c r="AU11" s="406" t="e">
        <f t="shared" ca="1" si="7"/>
        <v>#N/A</v>
      </c>
      <c r="AV11" s="406" t="e">
        <f t="shared" ca="1" si="7"/>
        <v>#N/A</v>
      </c>
      <c r="AW11" s="406" t="e">
        <f t="shared" ca="1" si="7"/>
        <v>#N/A</v>
      </c>
      <c r="AX11" s="406" t="e">
        <f t="shared" ca="1" si="7"/>
        <v>#N/A</v>
      </c>
      <c r="AY11" s="406" t="e">
        <f t="shared" ca="1" si="7"/>
        <v>#N/A</v>
      </c>
      <c r="AZ11" s="406" t="e">
        <f t="shared" ca="1" si="7"/>
        <v>#N/A</v>
      </c>
      <c r="BA11" s="406" t="e">
        <f t="shared" ca="1" si="7"/>
        <v>#N/A</v>
      </c>
      <c r="BB11" s="406" t="s">
        <v>1071</v>
      </c>
      <c r="BC11" s="407" t="str">
        <f t="shared" ca="1" si="8"/>
        <v/>
      </c>
      <c r="BD11" s="410"/>
      <c r="BE11" s="410"/>
      <c r="BF11"/>
      <c r="BG11"/>
      <c r="BH11"/>
      <c r="BI11"/>
      <c r="BJ11"/>
    </row>
    <row r="12" spans="1:116" x14ac:dyDescent="0.25">
      <c r="C12" s="406">
        <f t="shared" si="9"/>
        <v>10</v>
      </c>
      <c r="D12" s="406" t="e">
        <f t="shared" ref="D12:M21" ca="1" si="10">TRIM(INDIRECT("'" &amp; "TNX RTF" &amp; "'!" &amp; ADDRESS($A$3+$C12,D$1)))</f>
        <v>#N/A</v>
      </c>
      <c r="E12" s="406" t="e">
        <f t="shared" ca="1" si="10"/>
        <v>#N/A</v>
      </c>
      <c r="F12" s="406" t="e">
        <f t="shared" ca="1" si="10"/>
        <v>#N/A</v>
      </c>
      <c r="G12" s="406" t="e">
        <f t="shared" ca="1" si="10"/>
        <v>#N/A</v>
      </c>
      <c r="H12" s="406" t="e">
        <f t="shared" ca="1" si="10"/>
        <v>#N/A</v>
      </c>
      <c r="I12" s="406" t="e">
        <f t="shared" ca="1" si="10"/>
        <v>#N/A</v>
      </c>
      <c r="J12" s="406" t="e">
        <f t="shared" ca="1" si="10"/>
        <v>#N/A</v>
      </c>
      <c r="K12" s="406" t="e">
        <f t="shared" ca="1" si="10"/>
        <v>#N/A</v>
      </c>
      <c r="L12" s="406" t="e">
        <f t="shared" ca="1" si="10"/>
        <v>#N/A</v>
      </c>
      <c r="M12" s="406" t="e">
        <f t="shared" ca="1" si="10"/>
        <v>#N/A</v>
      </c>
      <c r="N12" s="406" t="e">
        <f t="shared" ref="N12:W21" ca="1" si="11">TRIM(INDIRECT("'" &amp; "TNX RTF" &amp; "'!" &amp; ADDRESS($A$3+$C12,N$1)))</f>
        <v>#N/A</v>
      </c>
      <c r="O12" s="406" t="e">
        <f t="shared" ca="1" si="11"/>
        <v>#N/A</v>
      </c>
      <c r="P12" s="406" t="e">
        <f t="shared" ca="1" si="11"/>
        <v>#N/A</v>
      </c>
      <c r="Q12" s="406" t="e">
        <f t="shared" ca="1" si="11"/>
        <v>#N/A</v>
      </c>
      <c r="R12" s="406" t="e">
        <f t="shared" ca="1" si="11"/>
        <v>#N/A</v>
      </c>
      <c r="S12" s="406" t="e">
        <f t="shared" ca="1" si="11"/>
        <v>#N/A</v>
      </c>
      <c r="T12" s="406" t="e">
        <f t="shared" ca="1" si="11"/>
        <v>#N/A</v>
      </c>
      <c r="U12" s="406" t="e">
        <f t="shared" ca="1" si="11"/>
        <v>#N/A</v>
      </c>
      <c r="V12" s="406" t="e">
        <f t="shared" ca="1" si="11"/>
        <v>#N/A</v>
      </c>
      <c r="W12" s="406" t="e">
        <f t="shared" ca="1" si="11"/>
        <v>#N/A</v>
      </c>
      <c r="X12" s="406" t="e">
        <f t="shared" ref="X12:AG21" ca="1" si="12">TRIM(INDIRECT("'" &amp; "TNX RTF" &amp; "'!" &amp; ADDRESS($A$3+$C12,X$1)))</f>
        <v>#N/A</v>
      </c>
      <c r="Y12" s="406" t="e">
        <f t="shared" ca="1" si="12"/>
        <v>#N/A</v>
      </c>
      <c r="Z12" s="406" t="e">
        <f t="shared" ca="1" si="12"/>
        <v>#N/A</v>
      </c>
      <c r="AA12" s="406" t="e">
        <f t="shared" ca="1" si="12"/>
        <v>#N/A</v>
      </c>
      <c r="AB12" s="406" t="e">
        <f t="shared" ca="1" si="12"/>
        <v>#N/A</v>
      </c>
      <c r="AC12" s="406" t="e">
        <f t="shared" ca="1" si="12"/>
        <v>#N/A</v>
      </c>
      <c r="AD12" s="406" t="e">
        <f t="shared" ca="1" si="12"/>
        <v>#N/A</v>
      </c>
      <c r="AE12" s="406" t="e">
        <f t="shared" ca="1" si="12"/>
        <v>#N/A</v>
      </c>
      <c r="AF12" s="406" t="e">
        <f t="shared" ca="1" si="12"/>
        <v>#N/A</v>
      </c>
      <c r="AG12" s="406" t="e">
        <f t="shared" ca="1" si="12"/>
        <v>#N/A</v>
      </c>
      <c r="AH12" s="406" t="e">
        <f t="shared" ref="AH12:AQ21" ca="1" si="13">TRIM(INDIRECT("'" &amp; "TNX RTF" &amp; "'!" &amp; ADDRESS($A$3+$C12,AH$1)))</f>
        <v>#N/A</v>
      </c>
      <c r="AI12" s="406" t="e">
        <f t="shared" ca="1" si="13"/>
        <v>#N/A</v>
      </c>
      <c r="AJ12" s="406" t="e">
        <f t="shared" ca="1" si="13"/>
        <v>#N/A</v>
      </c>
      <c r="AK12" s="406" t="e">
        <f t="shared" ca="1" si="13"/>
        <v>#N/A</v>
      </c>
      <c r="AL12" s="406" t="e">
        <f t="shared" ca="1" si="13"/>
        <v>#N/A</v>
      </c>
      <c r="AM12" s="406" t="e">
        <f t="shared" ca="1" si="13"/>
        <v>#N/A</v>
      </c>
      <c r="AN12" s="406" t="e">
        <f t="shared" ca="1" si="13"/>
        <v>#N/A</v>
      </c>
      <c r="AO12" s="406" t="e">
        <f t="shared" ca="1" si="13"/>
        <v>#N/A</v>
      </c>
      <c r="AP12" s="406" t="e">
        <f t="shared" ca="1" si="13"/>
        <v>#N/A</v>
      </c>
      <c r="AQ12" s="406" t="e">
        <f t="shared" ca="1" si="13"/>
        <v>#N/A</v>
      </c>
      <c r="AR12" s="406" t="e">
        <f t="shared" ref="AR12:BA21" ca="1" si="14">TRIM(INDIRECT("'" &amp; "TNX RTF" &amp; "'!" &amp; ADDRESS($A$3+$C12,AR$1)))</f>
        <v>#N/A</v>
      </c>
      <c r="AS12" s="406" t="e">
        <f t="shared" ca="1" si="14"/>
        <v>#N/A</v>
      </c>
      <c r="AT12" s="406" t="e">
        <f t="shared" ca="1" si="14"/>
        <v>#N/A</v>
      </c>
      <c r="AU12" s="406" t="e">
        <f t="shared" ca="1" si="14"/>
        <v>#N/A</v>
      </c>
      <c r="AV12" s="406" t="e">
        <f t="shared" ca="1" si="14"/>
        <v>#N/A</v>
      </c>
      <c r="AW12" s="406" t="e">
        <f t="shared" ca="1" si="14"/>
        <v>#N/A</v>
      </c>
      <c r="AX12" s="406" t="e">
        <f t="shared" ca="1" si="14"/>
        <v>#N/A</v>
      </c>
      <c r="AY12" s="406" t="e">
        <f t="shared" ca="1" si="14"/>
        <v>#N/A</v>
      </c>
      <c r="AZ12" s="406" t="e">
        <f t="shared" ca="1" si="14"/>
        <v>#N/A</v>
      </c>
      <c r="BA12" s="406" t="e">
        <f t="shared" ca="1" si="14"/>
        <v>#N/A</v>
      </c>
      <c r="BB12" s="406" t="s">
        <v>1072</v>
      </c>
      <c r="BC12" s="407" t="str">
        <f t="shared" ca="1" si="8"/>
        <v/>
      </c>
      <c r="BD12" s="410"/>
      <c r="BE12" s="410"/>
      <c r="BF12"/>
      <c r="BG12"/>
      <c r="BH12"/>
      <c r="BI12"/>
      <c r="BJ12"/>
    </row>
    <row r="13" spans="1:116" x14ac:dyDescent="0.25">
      <c r="C13" s="406">
        <f t="shared" si="9"/>
        <v>11</v>
      </c>
      <c r="D13" s="406" t="e">
        <f t="shared" ca="1" si="10"/>
        <v>#N/A</v>
      </c>
      <c r="E13" s="406" t="e">
        <f t="shared" ca="1" si="10"/>
        <v>#N/A</v>
      </c>
      <c r="F13" s="406" t="e">
        <f t="shared" ca="1" si="10"/>
        <v>#N/A</v>
      </c>
      <c r="G13" s="406" t="e">
        <f t="shared" ca="1" si="10"/>
        <v>#N/A</v>
      </c>
      <c r="H13" s="406" t="e">
        <f t="shared" ca="1" si="10"/>
        <v>#N/A</v>
      </c>
      <c r="I13" s="406" t="e">
        <f t="shared" ca="1" si="10"/>
        <v>#N/A</v>
      </c>
      <c r="J13" s="406" t="e">
        <f t="shared" ca="1" si="10"/>
        <v>#N/A</v>
      </c>
      <c r="K13" s="406" t="e">
        <f t="shared" ca="1" si="10"/>
        <v>#N/A</v>
      </c>
      <c r="L13" s="406" t="e">
        <f t="shared" ca="1" si="10"/>
        <v>#N/A</v>
      </c>
      <c r="M13" s="406" t="e">
        <f t="shared" ca="1" si="10"/>
        <v>#N/A</v>
      </c>
      <c r="N13" s="406" t="e">
        <f t="shared" ca="1" si="11"/>
        <v>#N/A</v>
      </c>
      <c r="O13" s="406" t="e">
        <f t="shared" ca="1" si="11"/>
        <v>#N/A</v>
      </c>
      <c r="P13" s="406" t="e">
        <f t="shared" ca="1" si="11"/>
        <v>#N/A</v>
      </c>
      <c r="Q13" s="406" t="e">
        <f t="shared" ca="1" si="11"/>
        <v>#N/A</v>
      </c>
      <c r="R13" s="406" t="e">
        <f t="shared" ca="1" si="11"/>
        <v>#N/A</v>
      </c>
      <c r="S13" s="406" t="e">
        <f t="shared" ca="1" si="11"/>
        <v>#N/A</v>
      </c>
      <c r="T13" s="406" t="e">
        <f t="shared" ca="1" si="11"/>
        <v>#N/A</v>
      </c>
      <c r="U13" s="406" t="e">
        <f t="shared" ca="1" si="11"/>
        <v>#N/A</v>
      </c>
      <c r="V13" s="406" t="e">
        <f t="shared" ca="1" si="11"/>
        <v>#N/A</v>
      </c>
      <c r="W13" s="406" t="e">
        <f t="shared" ca="1" si="11"/>
        <v>#N/A</v>
      </c>
      <c r="X13" s="406" t="e">
        <f t="shared" ca="1" si="12"/>
        <v>#N/A</v>
      </c>
      <c r="Y13" s="406" t="e">
        <f t="shared" ca="1" si="12"/>
        <v>#N/A</v>
      </c>
      <c r="Z13" s="406" t="e">
        <f t="shared" ca="1" si="12"/>
        <v>#N/A</v>
      </c>
      <c r="AA13" s="406" t="e">
        <f t="shared" ca="1" si="12"/>
        <v>#N/A</v>
      </c>
      <c r="AB13" s="406" t="e">
        <f t="shared" ca="1" si="12"/>
        <v>#N/A</v>
      </c>
      <c r="AC13" s="406" t="e">
        <f t="shared" ca="1" si="12"/>
        <v>#N/A</v>
      </c>
      <c r="AD13" s="406" t="e">
        <f t="shared" ca="1" si="12"/>
        <v>#N/A</v>
      </c>
      <c r="AE13" s="406" t="e">
        <f t="shared" ca="1" si="12"/>
        <v>#N/A</v>
      </c>
      <c r="AF13" s="406" t="e">
        <f t="shared" ca="1" si="12"/>
        <v>#N/A</v>
      </c>
      <c r="AG13" s="406" t="e">
        <f t="shared" ca="1" si="12"/>
        <v>#N/A</v>
      </c>
      <c r="AH13" s="406" t="e">
        <f t="shared" ca="1" si="13"/>
        <v>#N/A</v>
      </c>
      <c r="AI13" s="406" t="e">
        <f t="shared" ca="1" si="13"/>
        <v>#N/A</v>
      </c>
      <c r="AJ13" s="406" t="e">
        <f t="shared" ca="1" si="13"/>
        <v>#N/A</v>
      </c>
      <c r="AK13" s="406" t="e">
        <f t="shared" ca="1" si="13"/>
        <v>#N/A</v>
      </c>
      <c r="AL13" s="406" t="e">
        <f t="shared" ca="1" si="13"/>
        <v>#N/A</v>
      </c>
      <c r="AM13" s="406" t="e">
        <f t="shared" ca="1" si="13"/>
        <v>#N/A</v>
      </c>
      <c r="AN13" s="406" t="e">
        <f t="shared" ca="1" si="13"/>
        <v>#N/A</v>
      </c>
      <c r="AO13" s="406" t="e">
        <f t="shared" ca="1" si="13"/>
        <v>#N/A</v>
      </c>
      <c r="AP13" s="406" t="e">
        <f t="shared" ca="1" si="13"/>
        <v>#N/A</v>
      </c>
      <c r="AQ13" s="406" t="e">
        <f t="shared" ca="1" si="13"/>
        <v>#N/A</v>
      </c>
      <c r="AR13" s="406" t="e">
        <f t="shared" ca="1" si="14"/>
        <v>#N/A</v>
      </c>
      <c r="AS13" s="406" t="e">
        <f t="shared" ca="1" si="14"/>
        <v>#N/A</v>
      </c>
      <c r="AT13" s="406" t="e">
        <f t="shared" ca="1" si="14"/>
        <v>#N/A</v>
      </c>
      <c r="AU13" s="406" t="e">
        <f t="shared" ca="1" si="14"/>
        <v>#N/A</v>
      </c>
      <c r="AV13" s="406" t="e">
        <f t="shared" ca="1" si="14"/>
        <v>#N/A</v>
      </c>
      <c r="AW13" s="406" t="e">
        <f t="shared" ca="1" si="14"/>
        <v>#N/A</v>
      </c>
      <c r="AX13" s="406" t="e">
        <f t="shared" ca="1" si="14"/>
        <v>#N/A</v>
      </c>
      <c r="AY13" s="406" t="e">
        <f t="shared" ca="1" si="14"/>
        <v>#N/A</v>
      </c>
      <c r="AZ13" s="406" t="e">
        <f t="shared" ca="1" si="14"/>
        <v>#N/A</v>
      </c>
      <c r="BA13" s="406" t="e">
        <f t="shared" ca="1" si="14"/>
        <v>#N/A</v>
      </c>
      <c r="BB13" s="406" t="s">
        <v>1080</v>
      </c>
      <c r="BC13" s="407" t="str">
        <f t="shared" ca="1" si="8"/>
        <v/>
      </c>
      <c r="BD13" s="410"/>
      <c r="BE13" s="410"/>
      <c r="BF13"/>
      <c r="BG13"/>
      <c r="BH13"/>
      <c r="BI13"/>
      <c r="BJ13"/>
    </row>
    <row r="14" spans="1:116" x14ac:dyDescent="0.25">
      <c r="C14" s="406">
        <f t="shared" si="9"/>
        <v>12</v>
      </c>
      <c r="D14" s="406" t="e">
        <f t="shared" ca="1" si="10"/>
        <v>#N/A</v>
      </c>
      <c r="E14" s="406" t="e">
        <f t="shared" ca="1" si="10"/>
        <v>#N/A</v>
      </c>
      <c r="F14" s="406" t="e">
        <f t="shared" ca="1" si="10"/>
        <v>#N/A</v>
      </c>
      <c r="G14" s="406" t="e">
        <f t="shared" ca="1" si="10"/>
        <v>#N/A</v>
      </c>
      <c r="H14" s="406" t="e">
        <f t="shared" ca="1" si="10"/>
        <v>#N/A</v>
      </c>
      <c r="I14" s="406" t="e">
        <f t="shared" ca="1" si="10"/>
        <v>#N/A</v>
      </c>
      <c r="J14" s="406" t="e">
        <f t="shared" ca="1" si="10"/>
        <v>#N/A</v>
      </c>
      <c r="K14" s="406" t="e">
        <f t="shared" ca="1" si="10"/>
        <v>#N/A</v>
      </c>
      <c r="L14" s="406" t="e">
        <f t="shared" ca="1" si="10"/>
        <v>#N/A</v>
      </c>
      <c r="M14" s="406" t="e">
        <f t="shared" ca="1" si="10"/>
        <v>#N/A</v>
      </c>
      <c r="N14" s="406" t="e">
        <f t="shared" ca="1" si="11"/>
        <v>#N/A</v>
      </c>
      <c r="O14" s="406" t="e">
        <f t="shared" ca="1" si="11"/>
        <v>#N/A</v>
      </c>
      <c r="P14" s="406" t="e">
        <f t="shared" ca="1" si="11"/>
        <v>#N/A</v>
      </c>
      <c r="Q14" s="406" t="e">
        <f t="shared" ca="1" si="11"/>
        <v>#N/A</v>
      </c>
      <c r="R14" s="406" t="e">
        <f t="shared" ca="1" si="11"/>
        <v>#N/A</v>
      </c>
      <c r="S14" s="406" t="e">
        <f t="shared" ca="1" si="11"/>
        <v>#N/A</v>
      </c>
      <c r="T14" s="406" t="e">
        <f t="shared" ca="1" si="11"/>
        <v>#N/A</v>
      </c>
      <c r="U14" s="406" t="e">
        <f t="shared" ca="1" si="11"/>
        <v>#N/A</v>
      </c>
      <c r="V14" s="406" t="e">
        <f t="shared" ca="1" si="11"/>
        <v>#N/A</v>
      </c>
      <c r="W14" s="406" t="e">
        <f t="shared" ca="1" si="11"/>
        <v>#N/A</v>
      </c>
      <c r="X14" s="406" t="e">
        <f t="shared" ca="1" si="12"/>
        <v>#N/A</v>
      </c>
      <c r="Y14" s="406" t="e">
        <f t="shared" ca="1" si="12"/>
        <v>#N/A</v>
      </c>
      <c r="Z14" s="406" t="e">
        <f t="shared" ca="1" si="12"/>
        <v>#N/A</v>
      </c>
      <c r="AA14" s="406" t="e">
        <f t="shared" ca="1" si="12"/>
        <v>#N/A</v>
      </c>
      <c r="AB14" s="406" t="e">
        <f t="shared" ca="1" si="12"/>
        <v>#N/A</v>
      </c>
      <c r="AC14" s="406" t="e">
        <f t="shared" ca="1" si="12"/>
        <v>#N/A</v>
      </c>
      <c r="AD14" s="406" t="e">
        <f t="shared" ca="1" si="12"/>
        <v>#N/A</v>
      </c>
      <c r="AE14" s="406" t="e">
        <f t="shared" ca="1" si="12"/>
        <v>#N/A</v>
      </c>
      <c r="AF14" s="406" t="e">
        <f t="shared" ca="1" si="12"/>
        <v>#N/A</v>
      </c>
      <c r="AG14" s="406" t="e">
        <f t="shared" ca="1" si="12"/>
        <v>#N/A</v>
      </c>
      <c r="AH14" s="406" t="e">
        <f t="shared" ca="1" si="13"/>
        <v>#N/A</v>
      </c>
      <c r="AI14" s="406" t="e">
        <f t="shared" ca="1" si="13"/>
        <v>#N/A</v>
      </c>
      <c r="AJ14" s="406" t="e">
        <f t="shared" ca="1" si="13"/>
        <v>#N/A</v>
      </c>
      <c r="AK14" s="406" t="e">
        <f t="shared" ca="1" si="13"/>
        <v>#N/A</v>
      </c>
      <c r="AL14" s="406" t="e">
        <f t="shared" ca="1" si="13"/>
        <v>#N/A</v>
      </c>
      <c r="AM14" s="406" t="e">
        <f t="shared" ca="1" si="13"/>
        <v>#N/A</v>
      </c>
      <c r="AN14" s="406" t="e">
        <f t="shared" ca="1" si="13"/>
        <v>#N/A</v>
      </c>
      <c r="AO14" s="406" t="e">
        <f t="shared" ca="1" si="13"/>
        <v>#N/A</v>
      </c>
      <c r="AP14" s="406" t="e">
        <f t="shared" ca="1" si="13"/>
        <v>#N/A</v>
      </c>
      <c r="AQ14" s="406" t="e">
        <f t="shared" ca="1" si="13"/>
        <v>#N/A</v>
      </c>
      <c r="AR14" s="406" t="e">
        <f t="shared" ca="1" si="14"/>
        <v>#N/A</v>
      </c>
      <c r="AS14" s="406" t="e">
        <f t="shared" ca="1" si="14"/>
        <v>#N/A</v>
      </c>
      <c r="AT14" s="406" t="e">
        <f t="shared" ca="1" si="14"/>
        <v>#N/A</v>
      </c>
      <c r="AU14" s="406" t="e">
        <f t="shared" ca="1" si="14"/>
        <v>#N/A</v>
      </c>
      <c r="AV14" s="406" t="e">
        <f t="shared" ca="1" si="14"/>
        <v>#N/A</v>
      </c>
      <c r="AW14" s="406" t="e">
        <f t="shared" ca="1" si="14"/>
        <v>#N/A</v>
      </c>
      <c r="AX14" s="406" t="e">
        <f t="shared" ca="1" si="14"/>
        <v>#N/A</v>
      </c>
      <c r="AY14" s="406" t="e">
        <f t="shared" ca="1" si="14"/>
        <v>#N/A</v>
      </c>
      <c r="AZ14" s="406" t="e">
        <f t="shared" ca="1" si="14"/>
        <v>#N/A</v>
      </c>
      <c r="BA14" s="406" t="e">
        <f t="shared" ca="1" si="14"/>
        <v>#N/A</v>
      </c>
      <c r="BB14" s="406" t="s">
        <v>1081</v>
      </c>
      <c r="BC14" s="407" t="str">
        <f t="shared" ca="1" si="8"/>
        <v/>
      </c>
      <c r="BD14" s="410"/>
      <c r="BE14" s="410"/>
      <c r="BF14"/>
      <c r="BG14"/>
      <c r="BH14"/>
      <c r="BI14"/>
      <c r="BJ14"/>
    </row>
    <row r="15" spans="1:116" x14ac:dyDescent="0.25">
      <c r="C15" s="406">
        <f t="shared" si="9"/>
        <v>13</v>
      </c>
      <c r="D15" s="406" t="e">
        <f t="shared" ca="1" si="10"/>
        <v>#N/A</v>
      </c>
      <c r="E15" s="406" t="e">
        <f t="shared" ca="1" si="10"/>
        <v>#N/A</v>
      </c>
      <c r="F15" s="406" t="e">
        <f t="shared" ca="1" si="10"/>
        <v>#N/A</v>
      </c>
      <c r="G15" s="406" t="e">
        <f t="shared" ca="1" si="10"/>
        <v>#N/A</v>
      </c>
      <c r="H15" s="406" t="e">
        <f t="shared" ca="1" si="10"/>
        <v>#N/A</v>
      </c>
      <c r="I15" s="406" t="e">
        <f t="shared" ca="1" si="10"/>
        <v>#N/A</v>
      </c>
      <c r="J15" s="406" t="e">
        <f t="shared" ca="1" si="10"/>
        <v>#N/A</v>
      </c>
      <c r="K15" s="406" t="e">
        <f t="shared" ca="1" si="10"/>
        <v>#N/A</v>
      </c>
      <c r="L15" s="406" t="e">
        <f t="shared" ca="1" si="10"/>
        <v>#N/A</v>
      </c>
      <c r="M15" s="406" t="e">
        <f t="shared" ca="1" si="10"/>
        <v>#N/A</v>
      </c>
      <c r="N15" s="406" t="e">
        <f t="shared" ca="1" si="11"/>
        <v>#N/A</v>
      </c>
      <c r="O15" s="406" t="e">
        <f t="shared" ca="1" si="11"/>
        <v>#N/A</v>
      </c>
      <c r="P15" s="406" t="e">
        <f t="shared" ca="1" si="11"/>
        <v>#N/A</v>
      </c>
      <c r="Q15" s="406" t="e">
        <f t="shared" ca="1" si="11"/>
        <v>#N/A</v>
      </c>
      <c r="R15" s="406" t="e">
        <f t="shared" ca="1" si="11"/>
        <v>#N/A</v>
      </c>
      <c r="S15" s="406" t="e">
        <f t="shared" ca="1" si="11"/>
        <v>#N/A</v>
      </c>
      <c r="T15" s="406" t="e">
        <f t="shared" ca="1" si="11"/>
        <v>#N/A</v>
      </c>
      <c r="U15" s="406" t="e">
        <f t="shared" ca="1" si="11"/>
        <v>#N/A</v>
      </c>
      <c r="V15" s="406" t="e">
        <f t="shared" ca="1" si="11"/>
        <v>#N/A</v>
      </c>
      <c r="W15" s="406" t="e">
        <f t="shared" ca="1" si="11"/>
        <v>#N/A</v>
      </c>
      <c r="X15" s="406" t="e">
        <f t="shared" ca="1" si="12"/>
        <v>#N/A</v>
      </c>
      <c r="Y15" s="406" t="e">
        <f t="shared" ca="1" si="12"/>
        <v>#N/A</v>
      </c>
      <c r="Z15" s="406" t="e">
        <f t="shared" ca="1" si="12"/>
        <v>#N/A</v>
      </c>
      <c r="AA15" s="406" t="e">
        <f t="shared" ca="1" si="12"/>
        <v>#N/A</v>
      </c>
      <c r="AB15" s="406" t="e">
        <f t="shared" ca="1" si="12"/>
        <v>#N/A</v>
      </c>
      <c r="AC15" s="406" t="e">
        <f t="shared" ca="1" si="12"/>
        <v>#N/A</v>
      </c>
      <c r="AD15" s="406" t="e">
        <f t="shared" ca="1" si="12"/>
        <v>#N/A</v>
      </c>
      <c r="AE15" s="406" t="e">
        <f t="shared" ca="1" si="12"/>
        <v>#N/A</v>
      </c>
      <c r="AF15" s="406" t="e">
        <f t="shared" ca="1" si="12"/>
        <v>#N/A</v>
      </c>
      <c r="AG15" s="406" t="e">
        <f t="shared" ca="1" si="12"/>
        <v>#N/A</v>
      </c>
      <c r="AH15" s="406" t="e">
        <f t="shared" ca="1" si="13"/>
        <v>#N/A</v>
      </c>
      <c r="AI15" s="406" t="e">
        <f t="shared" ca="1" si="13"/>
        <v>#N/A</v>
      </c>
      <c r="AJ15" s="406" t="e">
        <f t="shared" ca="1" si="13"/>
        <v>#N/A</v>
      </c>
      <c r="AK15" s="406" t="e">
        <f t="shared" ca="1" si="13"/>
        <v>#N/A</v>
      </c>
      <c r="AL15" s="406" t="e">
        <f t="shared" ca="1" si="13"/>
        <v>#N/A</v>
      </c>
      <c r="AM15" s="406" t="e">
        <f t="shared" ca="1" si="13"/>
        <v>#N/A</v>
      </c>
      <c r="AN15" s="406" t="e">
        <f t="shared" ca="1" si="13"/>
        <v>#N/A</v>
      </c>
      <c r="AO15" s="406" t="e">
        <f t="shared" ca="1" si="13"/>
        <v>#N/A</v>
      </c>
      <c r="AP15" s="406" t="e">
        <f t="shared" ca="1" si="13"/>
        <v>#N/A</v>
      </c>
      <c r="AQ15" s="406" t="e">
        <f t="shared" ca="1" si="13"/>
        <v>#N/A</v>
      </c>
      <c r="AR15" s="406" t="e">
        <f t="shared" ca="1" si="14"/>
        <v>#N/A</v>
      </c>
      <c r="AS15" s="406" t="e">
        <f t="shared" ca="1" si="14"/>
        <v>#N/A</v>
      </c>
      <c r="AT15" s="406" t="e">
        <f t="shared" ca="1" si="14"/>
        <v>#N/A</v>
      </c>
      <c r="AU15" s="406" t="e">
        <f t="shared" ca="1" si="14"/>
        <v>#N/A</v>
      </c>
      <c r="AV15" s="406" t="e">
        <f t="shared" ca="1" si="14"/>
        <v>#N/A</v>
      </c>
      <c r="AW15" s="406" t="e">
        <f t="shared" ca="1" si="14"/>
        <v>#N/A</v>
      </c>
      <c r="AX15" s="406" t="e">
        <f t="shared" ca="1" si="14"/>
        <v>#N/A</v>
      </c>
      <c r="AY15" s="406" t="e">
        <f t="shared" ca="1" si="14"/>
        <v>#N/A</v>
      </c>
      <c r="AZ15" s="406" t="e">
        <f t="shared" ca="1" si="14"/>
        <v>#N/A</v>
      </c>
      <c r="BA15" s="406" t="e">
        <f t="shared" ca="1" si="14"/>
        <v>#N/A</v>
      </c>
      <c r="BB15" s="406" t="s">
        <v>1082</v>
      </c>
      <c r="BC15" s="407" t="str">
        <f t="shared" ca="1" si="8"/>
        <v/>
      </c>
      <c r="BD15" s="410"/>
      <c r="BE15" s="410"/>
      <c r="BF15"/>
      <c r="BG15"/>
      <c r="BH15"/>
      <c r="BI15"/>
      <c r="BJ15"/>
    </row>
    <row r="16" spans="1:116" x14ac:dyDescent="0.25">
      <c r="C16" s="406">
        <f t="shared" si="9"/>
        <v>14</v>
      </c>
      <c r="D16" s="406" t="e">
        <f t="shared" ca="1" si="10"/>
        <v>#N/A</v>
      </c>
      <c r="E16" s="406" t="e">
        <f t="shared" ca="1" si="10"/>
        <v>#N/A</v>
      </c>
      <c r="F16" s="406" t="e">
        <f t="shared" ca="1" si="10"/>
        <v>#N/A</v>
      </c>
      <c r="G16" s="406" t="e">
        <f t="shared" ca="1" si="10"/>
        <v>#N/A</v>
      </c>
      <c r="H16" s="406" t="e">
        <f t="shared" ca="1" si="10"/>
        <v>#N/A</v>
      </c>
      <c r="I16" s="406" t="e">
        <f t="shared" ca="1" si="10"/>
        <v>#N/A</v>
      </c>
      <c r="J16" s="406" t="e">
        <f t="shared" ca="1" si="10"/>
        <v>#N/A</v>
      </c>
      <c r="K16" s="406" t="e">
        <f t="shared" ca="1" si="10"/>
        <v>#N/A</v>
      </c>
      <c r="L16" s="406" t="e">
        <f t="shared" ca="1" si="10"/>
        <v>#N/A</v>
      </c>
      <c r="M16" s="406" t="e">
        <f t="shared" ca="1" si="10"/>
        <v>#N/A</v>
      </c>
      <c r="N16" s="406" t="e">
        <f t="shared" ca="1" si="11"/>
        <v>#N/A</v>
      </c>
      <c r="O16" s="406" t="e">
        <f t="shared" ca="1" si="11"/>
        <v>#N/A</v>
      </c>
      <c r="P16" s="406" t="e">
        <f t="shared" ca="1" si="11"/>
        <v>#N/A</v>
      </c>
      <c r="Q16" s="406" t="e">
        <f t="shared" ca="1" si="11"/>
        <v>#N/A</v>
      </c>
      <c r="R16" s="406" t="e">
        <f t="shared" ca="1" si="11"/>
        <v>#N/A</v>
      </c>
      <c r="S16" s="406" t="e">
        <f t="shared" ca="1" si="11"/>
        <v>#N/A</v>
      </c>
      <c r="T16" s="406" t="e">
        <f t="shared" ca="1" si="11"/>
        <v>#N/A</v>
      </c>
      <c r="U16" s="406" t="e">
        <f t="shared" ca="1" si="11"/>
        <v>#N/A</v>
      </c>
      <c r="V16" s="406" t="e">
        <f t="shared" ca="1" si="11"/>
        <v>#N/A</v>
      </c>
      <c r="W16" s="406" t="e">
        <f t="shared" ca="1" si="11"/>
        <v>#N/A</v>
      </c>
      <c r="X16" s="406" t="e">
        <f t="shared" ca="1" si="12"/>
        <v>#N/A</v>
      </c>
      <c r="Y16" s="406" t="e">
        <f t="shared" ca="1" si="12"/>
        <v>#N/A</v>
      </c>
      <c r="Z16" s="406" t="e">
        <f t="shared" ca="1" si="12"/>
        <v>#N/A</v>
      </c>
      <c r="AA16" s="406" t="e">
        <f t="shared" ca="1" si="12"/>
        <v>#N/A</v>
      </c>
      <c r="AB16" s="406" t="e">
        <f t="shared" ca="1" si="12"/>
        <v>#N/A</v>
      </c>
      <c r="AC16" s="406" t="e">
        <f t="shared" ca="1" si="12"/>
        <v>#N/A</v>
      </c>
      <c r="AD16" s="406" t="e">
        <f t="shared" ca="1" si="12"/>
        <v>#N/A</v>
      </c>
      <c r="AE16" s="406" t="e">
        <f t="shared" ca="1" si="12"/>
        <v>#N/A</v>
      </c>
      <c r="AF16" s="406" t="e">
        <f t="shared" ca="1" si="12"/>
        <v>#N/A</v>
      </c>
      <c r="AG16" s="406" t="e">
        <f t="shared" ca="1" si="12"/>
        <v>#N/A</v>
      </c>
      <c r="AH16" s="406" t="e">
        <f t="shared" ca="1" si="13"/>
        <v>#N/A</v>
      </c>
      <c r="AI16" s="406" t="e">
        <f t="shared" ca="1" si="13"/>
        <v>#N/A</v>
      </c>
      <c r="AJ16" s="406" t="e">
        <f t="shared" ca="1" si="13"/>
        <v>#N/A</v>
      </c>
      <c r="AK16" s="406" t="e">
        <f t="shared" ca="1" si="13"/>
        <v>#N/A</v>
      </c>
      <c r="AL16" s="406" t="e">
        <f t="shared" ca="1" si="13"/>
        <v>#N/A</v>
      </c>
      <c r="AM16" s="406" t="e">
        <f t="shared" ca="1" si="13"/>
        <v>#N/A</v>
      </c>
      <c r="AN16" s="406" t="e">
        <f t="shared" ca="1" si="13"/>
        <v>#N/A</v>
      </c>
      <c r="AO16" s="406" t="e">
        <f t="shared" ca="1" si="13"/>
        <v>#N/A</v>
      </c>
      <c r="AP16" s="406" t="e">
        <f t="shared" ca="1" si="13"/>
        <v>#N/A</v>
      </c>
      <c r="AQ16" s="406" t="e">
        <f t="shared" ca="1" si="13"/>
        <v>#N/A</v>
      </c>
      <c r="AR16" s="406" t="e">
        <f t="shared" ca="1" si="14"/>
        <v>#N/A</v>
      </c>
      <c r="AS16" s="406" t="e">
        <f t="shared" ca="1" si="14"/>
        <v>#N/A</v>
      </c>
      <c r="AT16" s="406" t="e">
        <f t="shared" ca="1" si="14"/>
        <v>#N/A</v>
      </c>
      <c r="AU16" s="406" t="e">
        <f t="shared" ca="1" si="14"/>
        <v>#N/A</v>
      </c>
      <c r="AV16" s="406" t="e">
        <f t="shared" ca="1" si="14"/>
        <v>#N/A</v>
      </c>
      <c r="AW16" s="406" t="e">
        <f t="shared" ca="1" si="14"/>
        <v>#N/A</v>
      </c>
      <c r="AX16" s="406" t="e">
        <f t="shared" ca="1" si="14"/>
        <v>#N/A</v>
      </c>
      <c r="AY16" s="406" t="e">
        <f t="shared" ca="1" si="14"/>
        <v>#N/A</v>
      </c>
      <c r="AZ16" s="406" t="e">
        <f t="shared" ca="1" si="14"/>
        <v>#N/A</v>
      </c>
      <c r="BA16" s="406" t="e">
        <f t="shared" ca="1" si="14"/>
        <v>#N/A</v>
      </c>
      <c r="BB16" s="406" t="s">
        <v>1083</v>
      </c>
      <c r="BC16" s="407" t="str">
        <f t="shared" ca="1" si="8"/>
        <v/>
      </c>
      <c r="BD16" s="410"/>
      <c r="BE16" s="410"/>
      <c r="BF16"/>
      <c r="BG16"/>
      <c r="BH16"/>
      <c r="BI16"/>
      <c r="BJ16"/>
    </row>
    <row r="17" spans="3:62" x14ac:dyDescent="0.25">
      <c r="C17" s="406">
        <f t="shared" si="9"/>
        <v>15</v>
      </c>
      <c r="D17" s="406" t="e">
        <f t="shared" ca="1" si="10"/>
        <v>#N/A</v>
      </c>
      <c r="E17" s="406" t="e">
        <f t="shared" ca="1" si="10"/>
        <v>#N/A</v>
      </c>
      <c r="F17" s="406" t="e">
        <f t="shared" ca="1" si="10"/>
        <v>#N/A</v>
      </c>
      <c r="G17" s="406" t="e">
        <f t="shared" ca="1" si="10"/>
        <v>#N/A</v>
      </c>
      <c r="H17" s="406" t="e">
        <f t="shared" ca="1" si="10"/>
        <v>#N/A</v>
      </c>
      <c r="I17" s="406" t="e">
        <f t="shared" ca="1" si="10"/>
        <v>#N/A</v>
      </c>
      <c r="J17" s="406" t="e">
        <f t="shared" ca="1" si="10"/>
        <v>#N/A</v>
      </c>
      <c r="K17" s="406" t="e">
        <f t="shared" ca="1" si="10"/>
        <v>#N/A</v>
      </c>
      <c r="L17" s="406" t="e">
        <f t="shared" ca="1" si="10"/>
        <v>#N/A</v>
      </c>
      <c r="M17" s="406" t="e">
        <f t="shared" ca="1" si="10"/>
        <v>#N/A</v>
      </c>
      <c r="N17" s="406" t="e">
        <f t="shared" ca="1" si="11"/>
        <v>#N/A</v>
      </c>
      <c r="O17" s="406" t="e">
        <f t="shared" ca="1" si="11"/>
        <v>#N/A</v>
      </c>
      <c r="P17" s="406" t="e">
        <f t="shared" ca="1" si="11"/>
        <v>#N/A</v>
      </c>
      <c r="Q17" s="406" t="e">
        <f t="shared" ca="1" si="11"/>
        <v>#N/A</v>
      </c>
      <c r="R17" s="406" t="e">
        <f t="shared" ca="1" si="11"/>
        <v>#N/A</v>
      </c>
      <c r="S17" s="406" t="e">
        <f t="shared" ca="1" si="11"/>
        <v>#N/A</v>
      </c>
      <c r="T17" s="406" t="e">
        <f t="shared" ca="1" si="11"/>
        <v>#N/A</v>
      </c>
      <c r="U17" s="406" t="e">
        <f t="shared" ca="1" si="11"/>
        <v>#N/A</v>
      </c>
      <c r="V17" s="406" t="e">
        <f t="shared" ca="1" si="11"/>
        <v>#N/A</v>
      </c>
      <c r="W17" s="406" t="e">
        <f t="shared" ca="1" si="11"/>
        <v>#N/A</v>
      </c>
      <c r="X17" s="406" t="e">
        <f t="shared" ca="1" si="12"/>
        <v>#N/A</v>
      </c>
      <c r="Y17" s="406" t="e">
        <f t="shared" ca="1" si="12"/>
        <v>#N/A</v>
      </c>
      <c r="Z17" s="406" t="e">
        <f t="shared" ca="1" si="12"/>
        <v>#N/A</v>
      </c>
      <c r="AA17" s="406" t="e">
        <f t="shared" ca="1" si="12"/>
        <v>#N/A</v>
      </c>
      <c r="AB17" s="406" t="e">
        <f t="shared" ca="1" si="12"/>
        <v>#N/A</v>
      </c>
      <c r="AC17" s="406" t="e">
        <f t="shared" ca="1" si="12"/>
        <v>#N/A</v>
      </c>
      <c r="AD17" s="406" t="e">
        <f t="shared" ca="1" si="12"/>
        <v>#N/A</v>
      </c>
      <c r="AE17" s="406" t="e">
        <f t="shared" ca="1" si="12"/>
        <v>#N/A</v>
      </c>
      <c r="AF17" s="406" t="e">
        <f t="shared" ca="1" si="12"/>
        <v>#N/A</v>
      </c>
      <c r="AG17" s="406" t="e">
        <f t="shared" ca="1" si="12"/>
        <v>#N/A</v>
      </c>
      <c r="AH17" s="406" t="e">
        <f t="shared" ca="1" si="13"/>
        <v>#N/A</v>
      </c>
      <c r="AI17" s="406" t="e">
        <f t="shared" ca="1" si="13"/>
        <v>#N/A</v>
      </c>
      <c r="AJ17" s="406" t="e">
        <f t="shared" ca="1" si="13"/>
        <v>#N/A</v>
      </c>
      <c r="AK17" s="406" t="e">
        <f t="shared" ca="1" si="13"/>
        <v>#N/A</v>
      </c>
      <c r="AL17" s="406" t="e">
        <f t="shared" ca="1" si="13"/>
        <v>#N/A</v>
      </c>
      <c r="AM17" s="406" t="e">
        <f t="shared" ca="1" si="13"/>
        <v>#N/A</v>
      </c>
      <c r="AN17" s="406" t="e">
        <f t="shared" ca="1" si="13"/>
        <v>#N/A</v>
      </c>
      <c r="AO17" s="406" t="e">
        <f t="shared" ca="1" si="13"/>
        <v>#N/A</v>
      </c>
      <c r="AP17" s="406" t="e">
        <f t="shared" ca="1" si="13"/>
        <v>#N/A</v>
      </c>
      <c r="AQ17" s="406" t="e">
        <f t="shared" ca="1" si="13"/>
        <v>#N/A</v>
      </c>
      <c r="AR17" s="406" t="e">
        <f t="shared" ca="1" si="14"/>
        <v>#N/A</v>
      </c>
      <c r="AS17" s="406" t="e">
        <f t="shared" ca="1" si="14"/>
        <v>#N/A</v>
      </c>
      <c r="AT17" s="406" t="e">
        <f t="shared" ca="1" si="14"/>
        <v>#N/A</v>
      </c>
      <c r="AU17" s="406" t="e">
        <f t="shared" ca="1" si="14"/>
        <v>#N/A</v>
      </c>
      <c r="AV17" s="406" t="e">
        <f t="shared" ca="1" si="14"/>
        <v>#N/A</v>
      </c>
      <c r="AW17" s="406" t="e">
        <f t="shared" ca="1" si="14"/>
        <v>#N/A</v>
      </c>
      <c r="AX17" s="406" t="e">
        <f t="shared" ca="1" si="14"/>
        <v>#N/A</v>
      </c>
      <c r="AY17" s="406" t="e">
        <f t="shared" ca="1" si="14"/>
        <v>#N/A</v>
      </c>
      <c r="AZ17" s="406" t="e">
        <f t="shared" ca="1" si="14"/>
        <v>#N/A</v>
      </c>
      <c r="BA17" s="406" t="e">
        <f t="shared" ca="1" si="14"/>
        <v>#N/A</v>
      </c>
      <c r="BB17" s="406" t="s">
        <v>1084</v>
      </c>
      <c r="BC17" s="407" t="str">
        <f t="shared" ca="1" si="8"/>
        <v/>
      </c>
      <c r="BD17" s="410"/>
      <c r="BE17" s="410"/>
      <c r="BF17"/>
      <c r="BG17"/>
      <c r="BH17"/>
      <c r="BI17"/>
      <c r="BJ17"/>
    </row>
    <row r="18" spans="3:62" x14ac:dyDescent="0.25">
      <c r="C18" s="406">
        <f t="shared" si="9"/>
        <v>16</v>
      </c>
      <c r="D18" s="406" t="e">
        <f t="shared" ca="1" si="10"/>
        <v>#N/A</v>
      </c>
      <c r="E18" s="406" t="e">
        <f t="shared" ca="1" si="10"/>
        <v>#N/A</v>
      </c>
      <c r="F18" s="406" t="e">
        <f t="shared" ca="1" si="10"/>
        <v>#N/A</v>
      </c>
      <c r="G18" s="406" t="e">
        <f t="shared" ca="1" si="10"/>
        <v>#N/A</v>
      </c>
      <c r="H18" s="406" t="e">
        <f t="shared" ca="1" si="10"/>
        <v>#N/A</v>
      </c>
      <c r="I18" s="406" t="e">
        <f t="shared" ca="1" si="10"/>
        <v>#N/A</v>
      </c>
      <c r="J18" s="406" t="e">
        <f t="shared" ca="1" si="10"/>
        <v>#N/A</v>
      </c>
      <c r="K18" s="406" t="e">
        <f t="shared" ca="1" si="10"/>
        <v>#N/A</v>
      </c>
      <c r="L18" s="406" t="e">
        <f t="shared" ca="1" si="10"/>
        <v>#N/A</v>
      </c>
      <c r="M18" s="406" t="e">
        <f t="shared" ca="1" si="10"/>
        <v>#N/A</v>
      </c>
      <c r="N18" s="406" t="e">
        <f t="shared" ca="1" si="11"/>
        <v>#N/A</v>
      </c>
      <c r="O18" s="406" t="e">
        <f t="shared" ca="1" si="11"/>
        <v>#N/A</v>
      </c>
      <c r="P18" s="406" t="e">
        <f t="shared" ca="1" si="11"/>
        <v>#N/A</v>
      </c>
      <c r="Q18" s="406" t="e">
        <f t="shared" ca="1" si="11"/>
        <v>#N/A</v>
      </c>
      <c r="R18" s="406" t="e">
        <f t="shared" ca="1" si="11"/>
        <v>#N/A</v>
      </c>
      <c r="S18" s="406" t="e">
        <f t="shared" ca="1" si="11"/>
        <v>#N/A</v>
      </c>
      <c r="T18" s="406" t="e">
        <f t="shared" ca="1" si="11"/>
        <v>#N/A</v>
      </c>
      <c r="U18" s="406" t="e">
        <f t="shared" ca="1" si="11"/>
        <v>#N/A</v>
      </c>
      <c r="V18" s="406" t="e">
        <f t="shared" ca="1" si="11"/>
        <v>#N/A</v>
      </c>
      <c r="W18" s="406" t="e">
        <f t="shared" ca="1" si="11"/>
        <v>#N/A</v>
      </c>
      <c r="X18" s="406" t="e">
        <f t="shared" ca="1" si="12"/>
        <v>#N/A</v>
      </c>
      <c r="Y18" s="406" t="e">
        <f t="shared" ca="1" si="12"/>
        <v>#N/A</v>
      </c>
      <c r="Z18" s="406" t="e">
        <f t="shared" ca="1" si="12"/>
        <v>#N/A</v>
      </c>
      <c r="AA18" s="406" t="e">
        <f t="shared" ca="1" si="12"/>
        <v>#N/A</v>
      </c>
      <c r="AB18" s="406" t="e">
        <f t="shared" ca="1" si="12"/>
        <v>#N/A</v>
      </c>
      <c r="AC18" s="406" t="e">
        <f t="shared" ca="1" si="12"/>
        <v>#N/A</v>
      </c>
      <c r="AD18" s="406" t="e">
        <f t="shared" ca="1" si="12"/>
        <v>#N/A</v>
      </c>
      <c r="AE18" s="406" t="e">
        <f t="shared" ca="1" si="12"/>
        <v>#N/A</v>
      </c>
      <c r="AF18" s="406" t="e">
        <f t="shared" ca="1" si="12"/>
        <v>#N/A</v>
      </c>
      <c r="AG18" s="406" t="e">
        <f t="shared" ca="1" si="12"/>
        <v>#N/A</v>
      </c>
      <c r="AH18" s="406" t="e">
        <f t="shared" ca="1" si="13"/>
        <v>#N/A</v>
      </c>
      <c r="AI18" s="406" t="e">
        <f t="shared" ca="1" si="13"/>
        <v>#N/A</v>
      </c>
      <c r="AJ18" s="406" t="e">
        <f t="shared" ca="1" si="13"/>
        <v>#N/A</v>
      </c>
      <c r="AK18" s="406" t="e">
        <f t="shared" ca="1" si="13"/>
        <v>#N/A</v>
      </c>
      <c r="AL18" s="406" t="e">
        <f t="shared" ca="1" si="13"/>
        <v>#N/A</v>
      </c>
      <c r="AM18" s="406" t="e">
        <f t="shared" ca="1" si="13"/>
        <v>#N/A</v>
      </c>
      <c r="AN18" s="406" t="e">
        <f t="shared" ca="1" si="13"/>
        <v>#N/A</v>
      </c>
      <c r="AO18" s="406" t="e">
        <f t="shared" ca="1" si="13"/>
        <v>#N/A</v>
      </c>
      <c r="AP18" s="406" t="e">
        <f t="shared" ca="1" si="13"/>
        <v>#N/A</v>
      </c>
      <c r="AQ18" s="406" t="e">
        <f t="shared" ca="1" si="13"/>
        <v>#N/A</v>
      </c>
      <c r="AR18" s="406" t="e">
        <f t="shared" ca="1" si="14"/>
        <v>#N/A</v>
      </c>
      <c r="AS18" s="406" t="e">
        <f t="shared" ca="1" si="14"/>
        <v>#N/A</v>
      </c>
      <c r="AT18" s="406" t="e">
        <f t="shared" ca="1" si="14"/>
        <v>#N/A</v>
      </c>
      <c r="AU18" s="406" t="e">
        <f t="shared" ca="1" si="14"/>
        <v>#N/A</v>
      </c>
      <c r="AV18" s="406" t="e">
        <f t="shared" ca="1" si="14"/>
        <v>#N/A</v>
      </c>
      <c r="AW18" s="406" t="e">
        <f t="shared" ca="1" si="14"/>
        <v>#N/A</v>
      </c>
      <c r="AX18" s="406" t="e">
        <f t="shared" ca="1" si="14"/>
        <v>#N/A</v>
      </c>
      <c r="AY18" s="406" t="e">
        <f t="shared" ca="1" si="14"/>
        <v>#N/A</v>
      </c>
      <c r="AZ18" s="406" t="e">
        <f t="shared" ca="1" si="14"/>
        <v>#N/A</v>
      </c>
      <c r="BA18" s="406" t="e">
        <f t="shared" ca="1" si="14"/>
        <v>#N/A</v>
      </c>
      <c r="BB18" s="406" t="s">
        <v>1085</v>
      </c>
      <c r="BC18" s="407" t="str">
        <f t="shared" ca="1" si="8"/>
        <v/>
      </c>
      <c r="BD18" s="410"/>
      <c r="BE18" s="410"/>
      <c r="BF18"/>
      <c r="BG18"/>
      <c r="BH18"/>
      <c r="BI18"/>
      <c r="BJ18"/>
    </row>
    <row r="19" spans="3:62" x14ac:dyDescent="0.25">
      <c r="C19" s="406">
        <f t="shared" si="9"/>
        <v>17</v>
      </c>
      <c r="D19" s="406" t="e">
        <f t="shared" ca="1" si="10"/>
        <v>#N/A</v>
      </c>
      <c r="E19" s="406" t="e">
        <f t="shared" ca="1" si="10"/>
        <v>#N/A</v>
      </c>
      <c r="F19" s="406" t="e">
        <f t="shared" ca="1" si="10"/>
        <v>#N/A</v>
      </c>
      <c r="G19" s="406" t="e">
        <f t="shared" ca="1" si="10"/>
        <v>#N/A</v>
      </c>
      <c r="H19" s="406" t="e">
        <f t="shared" ca="1" si="10"/>
        <v>#N/A</v>
      </c>
      <c r="I19" s="406" t="e">
        <f t="shared" ca="1" si="10"/>
        <v>#N/A</v>
      </c>
      <c r="J19" s="406" t="e">
        <f t="shared" ca="1" si="10"/>
        <v>#N/A</v>
      </c>
      <c r="K19" s="406" t="e">
        <f t="shared" ca="1" si="10"/>
        <v>#N/A</v>
      </c>
      <c r="L19" s="406" t="e">
        <f t="shared" ca="1" si="10"/>
        <v>#N/A</v>
      </c>
      <c r="M19" s="406" t="e">
        <f t="shared" ca="1" si="10"/>
        <v>#N/A</v>
      </c>
      <c r="N19" s="406" t="e">
        <f t="shared" ca="1" si="11"/>
        <v>#N/A</v>
      </c>
      <c r="O19" s="406" t="e">
        <f t="shared" ca="1" si="11"/>
        <v>#N/A</v>
      </c>
      <c r="P19" s="406" t="e">
        <f t="shared" ca="1" si="11"/>
        <v>#N/A</v>
      </c>
      <c r="Q19" s="406" t="e">
        <f t="shared" ca="1" si="11"/>
        <v>#N/A</v>
      </c>
      <c r="R19" s="406" t="e">
        <f t="shared" ca="1" si="11"/>
        <v>#N/A</v>
      </c>
      <c r="S19" s="406" t="e">
        <f t="shared" ca="1" si="11"/>
        <v>#N/A</v>
      </c>
      <c r="T19" s="406" t="e">
        <f t="shared" ca="1" si="11"/>
        <v>#N/A</v>
      </c>
      <c r="U19" s="406" t="e">
        <f t="shared" ca="1" si="11"/>
        <v>#N/A</v>
      </c>
      <c r="V19" s="406" t="e">
        <f t="shared" ca="1" si="11"/>
        <v>#N/A</v>
      </c>
      <c r="W19" s="406" t="e">
        <f t="shared" ca="1" si="11"/>
        <v>#N/A</v>
      </c>
      <c r="X19" s="406" t="e">
        <f t="shared" ca="1" si="12"/>
        <v>#N/A</v>
      </c>
      <c r="Y19" s="406" t="e">
        <f t="shared" ca="1" si="12"/>
        <v>#N/A</v>
      </c>
      <c r="Z19" s="406" t="e">
        <f t="shared" ca="1" si="12"/>
        <v>#N/A</v>
      </c>
      <c r="AA19" s="406" t="e">
        <f t="shared" ca="1" si="12"/>
        <v>#N/A</v>
      </c>
      <c r="AB19" s="406" t="e">
        <f t="shared" ca="1" si="12"/>
        <v>#N/A</v>
      </c>
      <c r="AC19" s="406" t="e">
        <f t="shared" ca="1" si="12"/>
        <v>#N/A</v>
      </c>
      <c r="AD19" s="406" t="e">
        <f t="shared" ca="1" si="12"/>
        <v>#N/A</v>
      </c>
      <c r="AE19" s="406" t="e">
        <f t="shared" ca="1" si="12"/>
        <v>#N/A</v>
      </c>
      <c r="AF19" s="406" t="e">
        <f t="shared" ca="1" si="12"/>
        <v>#N/A</v>
      </c>
      <c r="AG19" s="406" t="e">
        <f t="shared" ca="1" si="12"/>
        <v>#N/A</v>
      </c>
      <c r="AH19" s="406" t="e">
        <f t="shared" ca="1" si="13"/>
        <v>#N/A</v>
      </c>
      <c r="AI19" s="406" t="e">
        <f t="shared" ca="1" si="13"/>
        <v>#N/A</v>
      </c>
      <c r="AJ19" s="406" t="e">
        <f t="shared" ca="1" si="13"/>
        <v>#N/A</v>
      </c>
      <c r="AK19" s="406" t="e">
        <f t="shared" ca="1" si="13"/>
        <v>#N/A</v>
      </c>
      <c r="AL19" s="406" t="e">
        <f t="shared" ca="1" si="13"/>
        <v>#N/A</v>
      </c>
      <c r="AM19" s="406" t="e">
        <f t="shared" ca="1" si="13"/>
        <v>#N/A</v>
      </c>
      <c r="AN19" s="406" t="e">
        <f t="shared" ca="1" si="13"/>
        <v>#N/A</v>
      </c>
      <c r="AO19" s="406" t="e">
        <f t="shared" ca="1" si="13"/>
        <v>#N/A</v>
      </c>
      <c r="AP19" s="406" t="e">
        <f t="shared" ca="1" si="13"/>
        <v>#N/A</v>
      </c>
      <c r="AQ19" s="406" t="e">
        <f t="shared" ca="1" si="13"/>
        <v>#N/A</v>
      </c>
      <c r="AR19" s="406" t="e">
        <f t="shared" ca="1" si="14"/>
        <v>#N/A</v>
      </c>
      <c r="AS19" s="406" t="e">
        <f t="shared" ca="1" si="14"/>
        <v>#N/A</v>
      </c>
      <c r="AT19" s="406" t="e">
        <f t="shared" ca="1" si="14"/>
        <v>#N/A</v>
      </c>
      <c r="AU19" s="406" t="e">
        <f t="shared" ca="1" si="14"/>
        <v>#N/A</v>
      </c>
      <c r="AV19" s="406" t="e">
        <f t="shared" ca="1" si="14"/>
        <v>#N/A</v>
      </c>
      <c r="AW19" s="406" t="e">
        <f t="shared" ca="1" si="14"/>
        <v>#N/A</v>
      </c>
      <c r="AX19" s="406" t="e">
        <f t="shared" ca="1" si="14"/>
        <v>#N/A</v>
      </c>
      <c r="AY19" s="406" t="e">
        <f t="shared" ca="1" si="14"/>
        <v>#N/A</v>
      </c>
      <c r="AZ19" s="406" t="e">
        <f t="shared" ca="1" si="14"/>
        <v>#N/A</v>
      </c>
      <c r="BA19" s="406" t="e">
        <f t="shared" ca="1" si="14"/>
        <v>#N/A</v>
      </c>
      <c r="BB19" s="406" t="s">
        <v>1086</v>
      </c>
      <c r="BC19" s="407" t="str">
        <f t="shared" ca="1" si="8"/>
        <v/>
      </c>
      <c r="BD19" s="410"/>
      <c r="BE19" s="410"/>
      <c r="BF19"/>
      <c r="BG19"/>
      <c r="BH19"/>
      <c r="BI19"/>
      <c r="BJ19"/>
    </row>
    <row r="20" spans="3:62" x14ac:dyDescent="0.25">
      <c r="C20" s="406">
        <f t="shared" si="9"/>
        <v>18</v>
      </c>
      <c r="D20" s="406" t="e">
        <f t="shared" ca="1" si="10"/>
        <v>#N/A</v>
      </c>
      <c r="E20" s="406" t="e">
        <f t="shared" ca="1" si="10"/>
        <v>#N/A</v>
      </c>
      <c r="F20" s="406" t="e">
        <f t="shared" ca="1" si="10"/>
        <v>#N/A</v>
      </c>
      <c r="G20" s="406" t="e">
        <f t="shared" ca="1" si="10"/>
        <v>#N/A</v>
      </c>
      <c r="H20" s="406" t="e">
        <f t="shared" ca="1" si="10"/>
        <v>#N/A</v>
      </c>
      <c r="I20" s="406" t="e">
        <f t="shared" ca="1" si="10"/>
        <v>#N/A</v>
      </c>
      <c r="J20" s="406" t="e">
        <f t="shared" ca="1" si="10"/>
        <v>#N/A</v>
      </c>
      <c r="K20" s="406" t="e">
        <f t="shared" ca="1" si="10"/>
        <v>#N/A</v>
      </c>
      <c r="L20" s="406" t="e">
        <f t="shared" ca="1" si="10"/>
        <v>#N/A</v>
      </c>
      <c r="M20" s="406" t="e">
        <f t="shared" ca="1" si="10"/>
        <v>#N/A</v>
      </c>
      <c r="N20" s="406" t="e">
        <f t="shared" ca="1" si="11"/>
        <v>#N/A</v>
      </c>
      <c r="O20" s="406" t="e">
        <f t="shared" ca="1" si="11"/>
        <v>#N/A</v>
      </c>
      <c r="P20" s="406" t="e">
        <f t="shared" ca="1" si="11"/>
        <v>#N/A</v>
      </c>
      <c r="Q20" s="406" t="e">
        <f t="shared" ca="1" si="11"/>
        <v>#N/A</v>
      </c>
      <c r="R20" s="406" t="e">
        <f t="shared" ca="1" si="11"/>
        <v>#N/A</v>
      </c>
      <c r="S20" s="406" t="e">
        <f t="shared" ca="1" si="11"/>
        <v>#N/A</v>
      </c>
      <c r="T20" s="406" t="e">
        <f t="shared" ca="1" si="11"/>
        <v>#N/A</v>
      </c>
      <c r="U20" s="406" t="e">
        <f t="shared" ca="1" si="11"/>
        <v>#N/A</v>
      </c>
      <c r="V20" s="406" t="e">
        <f t="shared" ca="1" si="11"/>
        <v>#N/A</v>
      </c>
      <c r="W20" s="406" t="e">
        <f t="shared" ca="1" si="11"/>
        <v>#N/A</v>
      </c>
      <c r="X20" s="406" t="e">
        <f t="shared" ca="1" si="12"/>
        <v>#N/A</v>
      </c>
      <c r="Y20" s="406" t="e">
        <f t="shared" ca="1" si="12"/>
        <v>#N/A</v>
      </c>
      <c r="Z20" s="406" t="e">
        <f t="shared" ca="1" si="12"/>
        <v>#N/A</v>
      </c>
      <c r="AA20" s="406" t="e">
        <f t="shared" ca="1" si="12"/>
        <v>#N/A</v>
      </c>
      <c r="AB20" s="406" t="e">
        <f t="shared" ca="1" si="12"/>
        <v>#N/A</v>
      </c>
      <c r="AC20" s="406" t="e">
        <f t="shared" ca="1" si="12"/>
        <v>#N/A</v>
      </c>
      <c r="AD20" s="406" t="e">
        <f t="shared" ca="1" si="12"/>
        <v>#N/A</v>
      </c>
      <c r="AE20" s="406" t="e">
        <f t="shared" ca="1" si="12"/>
        <v>#N/A</v>
      </c>
      <c r="AF20" s="406" t="e">
        <f t="shared" ca="1" si="12"/>
        <v>#N/A</v>
      </c>
      <c r="AG20" s="406" t="e">
        <f t="shared" ca="1" si="12"/>
        <v>#N/A</v>
      </c>
      <c r="AH20" s="406" t="e">
        <f t="shared" ca="1" si="13"/>
        <v>#N/A</v>
      </c>
      <c r="AI20" s="406" t="e">
        <f t="shared" ca="1" si="13"/>
        <v>#N/A</v>
      </c>
      <c r="AJ20" s="406" t="e">
        <f t="shared" ca="1" si="13"/>
        <v>#N/A</v>
      </c>
      <c r="AK20" s="406" t="e">
        <f t="shared" ca="1" si="13"/>
        <v>#N/A</v>
      </c>
      <c r="AL20" s="406" t="e">
        <f t="shared" ca="1" si="13"/>
        <v>#N/A</v>
      </c>
      <c r="AM20" s="406" t="e">
        <f t="shared" ca="1" si="13"/>
        <v>#N/A</v>
      </c>
      <c r="AN20" s="406" t="e">
        <f t="shared" ca="1" si="13"/>
        <v>#N/A</v>
      </c>
      <c r="AO20" s="406" t="e">
        <f t="shared" ca="1" si="13"/>
        <v>#N/A</v>
      </c>
      <c r="AP20" s="406" t="e">
        <f t="shared" ca="1" si="13"/>
        <v>#N/A</v>
      </c>
      <c r="AQ20" s="406" t="e">
        <f t="shared" ca="1" si="13"/>
        <v>#N/A</v>
      </c>
      <c r="AR20" s="406" t="e">
        <f t="shared" ca="1" si="14"/>
        <v>#N/A</v>
      </c>
      <c r="AS20" s="406" t="e">
        <f t="shared" ca="1" si="14"/>
        <v>#N/A</v>
      </c>
      <c r="AT20" s="406" t="e">
        <f t="shared" ca="1" si="14"/>
        <v>#N/A</v>
      </c>
      <c r="AU20" s="406" t="e">
        <f t="shared" ca="1" si="14"/>
        <v>#N/A</v>
      </c>
      <c r="AV20" s="406" t="e">
        <f t="shared" ca="1" si="14"/>
        <v>#N/A</v>
      </c>
      <c r="AW20" s="406" t="e">
        <f t="shared" ca="1" si="14"/>
        <v>#N/A</v>
      </c>
      <c r="AX20" s="406" t="e">
        <f t="shared" ca="1" si="14"/>
        <v>#N/A</v>
      </c>
      <c r="AY20" s="406" t="e">
        <f t="shared" ca="1" si="14"/>
        <v>#N/A</v>
      </c>
      <c r="AZ20" s="406" t="e">
        <f t="shared" ca="1" si="14"/>
        <v>#N/A</v>
      </c>
      <c r="BA20" s="406" t="e">
        <f t="shared" ca="1" si="14"/>
        <v>#N/A</v>
      </c>
      <c r="BB20" s="406" t="s">
        <v>1087</v>
      </c>
      <c r="BC20" s="407" t="str">
        <f t="shared" ca="1" si="8"/>
        <v/>
      </c>
      <c r="BD20" s="410"/>
      <c r="BE20" s="410"/>
      <c r="BF20"/>
      <c r="BG20"/>
      <c r="BH20"/>
      <c r="BI20"/>
      <c r="BJ20"/>
    </row>
    <row r="21" spans="3:62" x14ac:dyDescent="0.25">
      <c r="C21" s="406">
        <f t="shared" si="9"/>
        <v>19</v>
      </c>
      <c r="D21" s="406" t="e">
        <f t="shared" ca="1" si="10"/>
        <v>#N/A</v>
      </c>
      <c r="E21" s="406" t="e">
        <f t="shared" ca="1" si="10"/>
        <v>#N/A</v>
      </c>
      <c r="F21" s="406" t="e">
        <f t="shared" ca="1" si="10"/>
        <v>#N/A</v>
      </c>
      <c r="G21" s="406" t="e">
        <f t="shared" ca="1" si="10"/>
        <v>#N/A</v>
      </c>
      <c r="H21" s="406" t="e">
        <f t="shared" ca="1" si="10"/>
        <v>#N/A</v>
      </c>
      <c r="I21" s="406" t="e">
        <f t="shared" ca="1" si="10"/>
        <v>#N/A</v>
      </c>
      <c r="J21" s="406" t="e">
        <f t="shared" ca="1" si="10"/>
        <v>#N/A</v>
      </c>
      <c r="K21" s="406" t="e">
        <f t="shared" ca="1" si="10"/>
        <v>#N/A</v>
      </c>
      <c r="L21" s="406" t="e">
        <f t="shared" ca="1" si="10"/>
        <v>#N/A</v>
      </c>
      <c r="M21" s="406" t="e">
        <f t="shared" ca="1" si="10"/>
        <v>#N/A</v>
      </c>
      <c r="N21" s="406" t="e">
        <f t="shared" ca="1" si="11"/>
        <v>#N/A</v>
      </c>
      <c r="O21" s="406" t="e">
        <f t="shared" ca="1" si="11"/>
        <v>#N/A</v>
      </c>
      <c r="P21" s="406" t="e">
        <f t="shared" ca="1" si="11"/>
        <v>#N/A</v>
      </c>
      <c r="Q21" s="406" t="e">
        <f t="shared" ca="1" si="11"/>
        <v>#N/A</v>
      </c>
      <c r="R21" s="406" t="e">
        <f t="shared" ca="1" si="11"/>
        <v>#N/A</v>
      </c>
      <c r="S21" s="406" t="e">
        <f t="shared" ca="1" si="11"/>
        <v>#N/A</v>
      </c>
      <c r="T21" s="406" t="e">
        <f t="shared" ca="1" si="11"/>
        <v>#N/A</v>
      </c>
      <c r="U21" s="406" t="e">
        <f t="shared" ca="1" si="11"/>
        <v>#N/A</v>
      </c>
      <c r="V21" s="406" t="e">
        <f t="shared" ca="1" si="11"/>
        <v>#N/A</v>
      </c>
      <c r="W21" s="406" t="e">
        <f t="shared" ca="1" si="11"/>
        <v>#N/A</v>
      </c>
      <c r="X21" s="406" t="e">
        <f t="shared" ca="1" si="12"/>
        <v>#N/A</v>
      </c>
      <c r="Y21" s="406" t="e">
        <f t="shared" ca="1" si="12"/>
        <v>#N/A</v>
      </c>
      <c r="Z21" s="406" t="e">
        <f t="shared" ca="1" si="12"/>
        <v>#N/A</v>
      </c>
      <c r="AA21" s="406" t="e">
        <f t="shared" ca="1" si="12"/>
        <v>#N/A</v>
      </c>
      <c r="AB21" s="406" t="e">
        <f t="shared" ca="1" si="12"/>
        <v>#N/A</v>
      </c>
      <c r="AC21" s="406" t="e">
        <f t="shared" ca="1" si="12"/>
        <v>#N/A</v>
      </c>
      <c r="AD21" s="406" t="e">
        <f t="shared" ca="1" si="12"/>
        <v>#N/A</v>
      </c>
      <c r="AE21" s="406" t="e">
        <f t="shared" ca="1" si="12"/>
        <v>#N/A</v>
      </c>
      <c r="AF21" s="406" t="e">
        <f t="shared" ca="1" si="12"/>
        <v>#N/A</v>
      </c>
      <c r="AG21" s="406" t="e">
        <f t="shared" ca="1" si="12"/>
        <v>#N/A</v>
      </c>
      <c r="AH21" s="406" t="e">
        <f t="shared" ca="1" si="13"/>
        <v>#N/A</v>
      </c>
      <c r="AI21" s="406" t="e">
        <f t="shared" ca="1" si="13"/>
        <v>#N/A</v>
      </c>
      <c r="AJ21" s="406" t="e">
        <f t="shared" ca="1" si="13"/>
        <v>#N/A</v>
      </c>
      <c r="AK21" s="406" t="e">
        <f t="shared" ca="1" si="13"/>
        <v>#N/A</v>
      </c>
      <c r="AL21" s="406" t="e">
        <f t="shared" ca="1" si="13"/>
        <v>#N/A</v>
      </c>
      <c r="AM21" s="406" t="e">
        <f t="shared" ca="1" si="13"/>
        <v>#N/A</v>
      </c>
      <c r="AN21" s="406" t="e">
        <f t="shared" ca="1" si="13"/>
        <v>#N/A</v>
      </c>
      <c r="AO21" s="406" t="e">
        <f t="shared" ca="1" si="13"/>
        <v>#N/A</v>
      </c>
      <c r="AP21" s="406" t="e">
        <f t="shared" ca="1" si="13"/>
        <v>#N/A</v>
      </c>
      <c r="AQ21" s="406" t="e">
        <f t="shared" ca="1" si="13"/>
        <v>#N/A</v>
      </c>
      <c r="AR21" s="406" t="e">
        <f t="shared" ca="1" si="14"/>
        <v>#N/A</v>
      </c>
      <c r="AS21" s="406" t="e">
        <f t="shared" ca="1" si="14"/>
        <v>#N/A</v>
      </c>
      <c r="AT21" s="406" t="e">
        <f t="shared" ca="1" si="14"/>
        <v>#N/A</v>
      </c>
      <c r="AU21" s="406" t="e">
        <f t="shared" ca="1" si="14"/>
        <v>#N/A</v>
      </c>
      <c r="AV21" s="406" t="e">
        <f t="shared" ca="1" si="14"/>
        <v>#N/A</v>
      </c>
      <c r="AW21" s="406" t="e">
        <f t="shared" ca="1" si="14"/>
        <v>#N/A</v>
      </c>
      <c r="AX21" s="406" t="e">
        <f t="shared" ca="1" si="14"/>
        <v>#N/A</v>
      </c>
      <c r="AY21" s="406" t="e">
        <f t="shared" ca="1" si="14"/>
        <v>#N/A</v>
      </c>
      <c r="AZ21" s="406" t="e">
        <f t="shared" ca="1" si="14"/>
        <v>#N/A</v>
      </c>
      <c r="BA21" s="406" t="e">
        <f t="shared" ca="1" si="14"/>
        <v>#N/A</v>
      </c>
      <c r="BB21" s="406" t="s">
        <v>1091</v>
      </c>
      <c r="BC21" s="407" t="str">
        <f t="shared" ca="1" si="8"/>
        <v/>
      </c>
      <c r="BD21" s="410"/>
      <c r="BE21" s="410"/>
      <c r="BF21"/>
      <c r="BG21"/>
      <c r="BH21"/>
      <c r="BI21"/>
      <c r="BJ21"/>
    </row>
    <row r="22" spans="3:62" x14ac:dyDescent="0.25">
      <c r="C22" s="406">
        <f t="shared" si="9"/>
        <v>20</v>
      </c>
      <c r="D22" s="406" t="e">
        <f t="shared" ref="D22:M31" ca="1" si="15">TRIM(INDIRECT("'" &amp; "TNX RTF" &amp; "'!" &amp; ADDRESS($A$3+$C22,D$1)))</f>
        <v>#N/A</v>
      </c>
      <c r="E22" s="406" t="e">
        <f t="shared" ca="1" si="15"/>
        <v>#N/A</v>
      </c>
      <c r="F22" s="406" t="e">
        <f t="shared" ca="1" si="15"/>
        <v>#N/A</v>
      </c>
      <c r="G22" s="406" t="e">
        <f t="shared" ca="1" si="15"/>
        <v>#N/A</v>
      </c>
      <c r="H22" s="406" t="e">
        <f t="shared" ca="1" si="15"/>
        <v>#N/A</v>
      </c>
      <c r="I22" s="406" t="e">
        <f t="shared" ca="1" si="15"/>
        <v>#N/A</v>
      </c>
      <c r="J22" s="406" t="e">
        <f t="shared" ca="1" si="15"/>
        <v>#N/A</v>
      </c>
      <c r="K22" s="406" t="e">
        <f t="shared" ca="1" si="15"/>
        <v>#N/A</v>
      </c>
      <c r="L22" s="406" t="e">
        <f t="shared" ca="1" si="15"/>
        <v>#N/A</v>
      </c>
      <c r="M22" s="406" t="e">
        <f t="shared" ca="1" si="15"/>
        <v>#N/A</v>
      </c>
      <c r="N22" s="406" t="e">
        <f t="shared" ref="N22:W31" ca="1" si="16">TRIM(INDIRECT("'" &amp; "TNX RTF" &amp; "'!" &amp; ADDRESS($A$3+$C22,N$1)))</f>
        <v>#N/A</v>
      </c>
      <c r="O22" s="406" t="e">
        <f t="shared" ca="1" si="16"/>
        <v>#N/A</v>
      </c>
      <c r="P22" s="406" t="e">
        <f t="shared" ca="1" si="16"/>
        <v>#N/A</v>
      </c>
      <c r="Q22" s="406" t="e">
        <f t="shared" ca="1" si="16"/>
        <v>#N/A</v>
      </c>
      <c r="R22" s="406" t="e">
        <f t="shared" ca="1" si="16"/>
        <v>#N/A</v>
      </c>
      <c r="S22" s="406" t="e">
        <f t="shared" ca="1" si="16"/>
        <v>#N/A</v>
      </c>
      <c r="T22" s="406" t="e">
        <f t="shared" ca="1" si="16"/>
        <v>#N/A</v>
      </c>
      <c r="U22" s="406" t="e">
        <f t="shared" ca="1" si="16"/>
        <v>#N/A</v>
      </c>
      <c r="V22" s="406" t="e">
        <f t="shared" ca="1" si="16"/>
        <v>#N/A</v>
      </c>
      <c r="W22" s="406" t="e">
        <f t="shared" ca="1" si="16"/>
        <v>#N/A</v>
      </c>
      <c r="X22" s="406" t="e">
        <f t="shared" ref="X22:AG31" ca="1" si="17">TRIM(INDIRECT("'" &amp; "TNX RTF" &amp; "'!" &amp; ADDRESS($A$3+$C22,X$1)))</f>
        <v>#N/A</v>
      </c>
      <c r="Y22" s="406" t="e">
        <f t="shared" ca="1" si="17"/>
        <v>#N/A</v>
      </c>
      <c r="Z22" s="406" t="e">
        <f t="shared" ca="1" si="17"/>
        <v>#N/A</v>
      </c>
      <c r="AA22" s="406" t="e">
        <f t="shared" ca="1" si="17"/>
        <v>#N/A</v>
      </c>
      <c r="AB22" s="406" t="e">
        <f t="shared" ca="1" si="17"/>
        <v>#N/A</v>
      </c>
      <c r="AC22" s="406" t="e">
        <f t="shared" ca="1" si="17"/>
        <v>#N/A</v>
      </c>
      <c r="AD22" s="406" t="e">
        <f t="shared" ca="1" si="17"/>
        <v>#N/A</v>
      </c>
      <c r="AE22" s="406" t="e">
        <f t="shared" ca="1" si="17"/>
        <v>#N/A</v>
      </c>
      <c r="AF22" s="406" t="e">
        <f t="shared" ca="1" si="17"/>
        <v>#N/A</v>
      </c>
      <c r="AG22" s="406" t="e">
        <f t="shared" ca="1" si="17"/>
        <v>#N/A</v>
      </c>
      <c r="AH22" s="406" t="e">
        <f t="shared" ref="AH22:AQ31" ca="1" si="18">TRIM(INDIRECT("'" &amp; "TNX RTF" &amp; "'!" &amp; ADDRESS($A$3+$C22,AH$1)))</f>
        <v>#N/A</v>
      </c>
      <c r="AI22" s="406" t="e">
        <f t="shared" ca="1" si="18"/>
        <v>#N/A</v>
      </c>
      <c r="AJ22" s="406" t="e">
        <f t="shared" ca="1" si="18"/>
        <v>#N/A</v>
      </c>
      <c r="AK22" s="406" t="e">
        <f t="shared" ca="1" si="18"/>
        <v>#N/A</v>
      </c>
      <c r="AL22" s="406" t="e">
        <f t="shared" ca="1" si="18"/>
        <v>#N/A</v>
      </c>
      <c r="AM22" s="406" t="e">
        <f t="shared" ca="1" si="18"/>
        <v>#N/A</v>
      </c>
      <c r="AN22" s="406" t="e">
        <f t="shared" ca="1" si="18"/>
        <v>#N/A</v>
      </c>
      <c r="AO22" s="406" t="e">
        <f t="shared" ca="1" si="18"/>
        <v>#N/A</v>
      </c>
      <c r="AP22" s="406" t="e">
        <f t="shared" ca="1" si="18"/>
        <v>#N/A</v>
      </c>
      <c r="AQ22" s="406" t="e">
        <f t="shared" ca="1" si="18"/>
        <v>#N/A</v>
      </c>
      <c r="AR22" s="406" t="e">
        <f t="shared" ref="AR22:BA31" ca="1" si="19">TRIM(INDIRECT("'" &amp; "TNX RTF" &amp; "'!" &amp; ADDRESS($A$3+$C22,AR$1)))</f>
        <v>#N/A</v>
      </c>
      <c r="AS22" s="406" t="e">
        <f t="shared" ca="1" si="19"/>
        <v>#N/A</v>
      </c>
      <c r="AT22" s="406" t="e">
        <f t="shared" ca="1" si="19"/>
        <v>#N/A</v>
      </c>
      <c r="AU22" s="406" t="e">
        <f t="shared" ca="1" si="19"/>
        <v>#N/A</v>
      </c>
      <c r="AV22" s="406" t="e">
        <f t="shared" ca="1" si="19"/>
        <v>#N/A</v>
      </c>
      <c r="AW22" s="406" t="e">
        <f t="shared" ca="1" si="19"/>
        <v>#N/A</v>
      </c>
      <c r="AX22" s="406" t="e">
        <f t="shared" ca="1" si="19"/>
        <v>#N/A</v>
      </c>
      <c r="AY22" s="406" t="e">
        <f t="shared" ca="1" si="19"/>
        <v>#N/A</v>
      </c>
      <c r="AZ22" s="406" t="e">
        <f t="shared" ca="1" si="19"/>
        <v>#N/A</v>
      </c>
      <c r="BA22" s="406" t="e">
        <f t="shared" ca="1" si="19"/>
        <v>#N/A</v>
      </c>
      <c r="BB22" s="406" t="s">
        <v>1092</v>
      </c>
      <c r="BC22" s="407" t="str">
        <f t="shared" ca="1" si="8"/>
        <v/>
      </c>
      <c r="BD22" s="410"/>
      <c r="BE22" s="410"/>
      <c r="BF22"/>
      <c r="BG22"/>
      <c r="BH22"/>
      <c r="BI22"/>
      <c r="BJ22"/>
    </row>
    <row r="23" spans="3:62" x14ac:dyDescent="0.25">
      <c r="C23" s="406">
        <f t="shared" si="9"/>
        <v>21</v>
      </c>
      <c r="D23" s="406" t="e">
        <f t="shared" ca="1" si="15"/>
        <v>#N/A</v>
      </c>
      <c r="E23" s="406" t="e">
        <f t="shared" ca="1" si="15"/>
        <v>#N/A</v>
      </c>
      <c r="F23" s="406" t="e">
        <f t="shared" ca="1" si="15"/>
        <v>#N/A</v>
      </c>
      <c r="G23" s="406" t="e">
        <f t="shared" ca="1" si="15"/>
        <v>#N/A</v>
      </c>
      <c r="H23" s="406" t="e">
        <f t="shared" ca="1" si="15"/>
        <v>#N/A</v>
      </c>
      <c r="I23" s="406" t="e">
        <f t="shared" ca="1" si="15"/>
        <v>#N/A</v>
      </c>
      <c r="J23" s="406" t="e">
        <f t="shared" ca="1" si="15"/>
        <v>#N/A</v>
      </c>
      <c r="K23" s="406" t="e">
        <f t="shared" ca="1" si="15"/>
        <v>#N/A</v>
      </c>
      <c r="L23" s="406" t="e">
        <f t="shared" ca="1" si="15"/>
        <v>#N/A</v>
      </c>
      <c r="M23" s="406" t="e">
        <f t="shared" ca="1" si="15"/>
        <v>#N/A</v>
      </c>
      <c r="N23" s="406" t="e">
        <f t="shared" ca="1" si="16"/>
        <v>#N/A</v>
      </c>
      <c r="O23" s="406" t="e">
        <f t="shared" ca="1" si="16"/>
        <v>#N/A</v>
      </c>
      <c r="P23" s="406" t="e">
        <f t="shared" ca="1" si="16"/>
        <v>#N/A</v>
      </c>
      <c r="Q23" s="406" t="e">
        <f t="shared" ca="1" si="16"/>
        <v>#N/A</v>
      </c>
      <c r="R23" s="406" t="e">
        <f t="shared" ca="1" si="16"/>
        <v>#N/A</v>
      </c>
      <c r="S23" s="406" t="e">
        <f t="shared" ca="1" si="16"/>
        <v>#N/A</v>
      </c>
      <c r="T23" s="406" t="e">
        <f t="shared" ca="1" si="16"/>
        <v>#N/A</v>
      </c>
      <c r="U23" s="406" t="e">
        <f t="shared" ca="1" si="16"/>
        <v>#N/A</v>
      </c>
      <c r="V23" s="406" t="e">
        <f t="shared" ca="1" si="16"/>
        <v>#N/A</v>
      </c>
      <c r="W23" s="406" t="e">
        <f t="shared" ca="1" si="16"/>
        <v>#N/A</v>
      </c>
      <c r="X23" s="406" t="e">
        <f t="shared" ca="1" si="17"/>
        <v>#N/A</v>
      </c>
      <c r="Y23" s="406" t="e">
        <f t="shared" ca="1" si="17"/>
        <v>#N/A</v>
      </c>
      <c r="Z23" s="406" t="e">
        <f t="shared" ca="1" si="17"/>
        <v>#N/A</v>
      </c>
      <c r="AA23" s="406" t="e">
        <f t="shared" ca="1" si="17"/>
        <v>#N/A</v>
      </c>
      <c r="AB23" s="406" t="e">
        <f t="shared" ca="1" si="17"/>
        <v>#N/A</v>
      </c>
      <c r="AC23" s="406" t="e">
        <f t="shared" ca="1" si="17"/>
        <v>#N/A</v>
      </c>
      <c r="AD23" s="406" t="e">
        <f t="shared" ca="1" si="17"/>
        <v>#N/A</v>
      </c>
      <c r="AE23" s="406" t="e">
        <f t="shared" ca="1" si="17"/>
        <v>#N/A</v>
      </c>
      <c r="AF23" s="406" t="e">
        <f t="shared" ca="1" si="17"/>
        <v>#N/A</v>
      </c>
      <c r="AG23" s="406" t="e">
        <f t="shared" ca="1" si="17"/>
        <v>#N/A</v>
      </c>
      <c r="AH23" s="406" t="e">
        <f t="shared" ca="1" si="18"/>
        <v>#N/A</v>
      </c>
      <c r="AI23" s="406" t="e">
        <f t="shared" ca="1" si="18"/>
        <v>#N/A</v>
      </c>
      <c r="AJ23" s="406" t="e">
        <f t="shared" ca="1" si="18"/>
        <v>#N/A</v>
      </c>
      <c r="AK23" s="406" t="e">
        <f t="shared" ca="1" si="18"/>
        <v>#N/A</v>
      </c>
      <c r="AL23" s="406" t="e">
        <f t="shared" ca="1" si="18"/>
        <v>#N/A</v>
      </c>
      <c r="AM23" s="406" t="e">
        <f t="shared" ca="1" si="18"/>
        <v>#N/A</v>
      </c>
      <c r="AN23" s="406" t="e">
        <f t="shared" ca="1" si="18"/>
        <v>#N/A</v>
      </c>
      <c r="AO23" s="406" t="e">
        <f t="shared" ca="1" si="18"/>
        <v>#N/A</v>
      </c>
      <c r="AP23" s="406" t="e">
        <f t="shared" ca="1" si="18"/>
        <v>#N/A</v>
      </c>
      <c r="AQ23" s="406" t="e">
        <f t="shared" ca="1" si="18"/>
        <v>#N/A</v>
      </c>
      <c r="AR23" s="406" t="e">
        <f t="shared" ca="1" si="19"/>
        <v>#N/A</v>
      </c>
      <c r="AS23" s="406" t="e">
        <f t="shared" ca="1" si="19"/>
        <v>#N/A</v>
      </c>
      <c r="AT23" s="406" t="e">
        <f t="shared" ca="1" si="19"/>
        <v>#N/A</v>
      </c>
      <c r="AU23" s="406" t="e">
        <f t="shared" ca="1" si="19"/>
        <v>#N/A</v>
      </c>
      <c r="AV23" s="406" t="e">
        <f t="shared" ca="1" si="19"/>
        <v>#N/A</v>
      </c>
      <c r="AW23" s="406" t="e">
        <f t="shared" ca="1" si="19"/>
        <v>#N/A</v>
      </c>
      <c r="AX23" s="406" t="e">
        <f t="shared" ca="1" si="19"/>
        <v>#N/A</v>
      </c>
      <c r="AY23" s="406" t="e">
        <f t="shared" ca="1" si="19"/>
        <v>#N/A</v>
      </c>
      <c r="AZ23" s="406" t="e">
        <f t="shared" ca="1" si="19"/>
        <v>#N/A</v>
      </c>
      <c r="BA23" s="406" t="e">
        <f t="shared" ca="1" si="19"/>
        <v>#N/A</v>
      </c>
      <c r="BB23" s="406" t="s">
        <v>1093</v>
      </c>
      <c r="BC23" s="407" t="str">
        <f t="shared" ca="1" si="8"/>
        <v/>
      </c>
      <c r="BD23" s="410"/>
      <c r="BE23" s="410"/>
      <c r="BF23"/>
      <c r="BG23"/>
      <c r="BH23"/>
      <c r="BI23"/>
      <c r="BJ23"/>
    </row>
    <row r="24" spans="3:62" x14ac:dyDescent="0.25">
      <c r="C24" s="406">
        <f t="shared" si="9"/>
        <v>22</v>
      </c>
      <c r="D24" s="406" t="e">
        <f t="shared" ca="1" si="15"/>
        <v>#N/A</v>
      </c>
      <c r="E24" s="406" t="e">
        <f t="shared" ca="1" si="15"/>
        <v>#N/A</v>
      </c>
      <c r="F24" s="406" t="e">
        <f t="shared" ca="1" si="15"/>
        <v>#N/A</v>
      </c>
      <c r="G24" s="406" t="e">
        <f t="shared" ca="1" si="15"/>
        <v>#N/A</v>
      </c>
      <c r="H24" s="406" t="e">
        <f t="shared" ca="1" si="15"/>
        <v>#N/A</v>
      </c>
      <c r="I24" s="406" t="e">
        <f t="shared" ca="1" si="15"/>
        <v>#N/A</v>
      </c>
      <c r="J24" s="406" t="e">
        <f t="shared" ca="1" si="15"/>
        <v>#N/A</v>
      </c>
      <c r="K24" s="406" t="e">
        <f t="shared" ca="1" si="15"/>
        <v>#N/A</v>
      </c>
      <c r="L24" s="406" t="e">
        <f t="shared" ca="1" si="15"/>
        <v>#N/A</v>
      </c>
      <c r="M24" s="406" t="e">
        <f t="shared" ca="1" si="15"/>
        <v>#N/A</v>
      </c>
      <c r="N24" s="406" t="e">
        <f t="shared" ca="1" si="16"/>
        <v>#N/A</v>
      </c>
      <c r="O24" s="406" t="e">
        <f t="shared" ca="1" si="16"/>
        <v>#N/A</v>
      </c>
      <c r="P24" s="406" t="e">
        <f t="shared" ca="1" si="16"/>
        <v>#N/A</v>
      </c>
      <c r="Q24" s="406" t="e">
        <f t="shared" ca="1" si="16"/>
        <v>#N/A</v>
      </c>
      <c r="R24" s="406" t="e">
        <f t="shared" ca="1" si="16"/>
        <v>#N/A</v>
      </c>
      <c r="S24" s="406" t="e">
        <f t="shared" ca="1" si="16"/>
        <v>#N/A</v>
      </c>
      <c r="T24" s="406" t="e">
        <f t="shared" ca="1" si="16"/>
        <v>#N/A</v>
      </c>
      <c r="U24" s="406" t="e">
        <f t="shared" ca="1" si="16"/>
        <v>#N/A</v>
      </c>
      <c r="V24" s="406" t="e">
        <f t="shared" ca="1" si="16"/>
        <v>#N/A</v>
      </c>
      <c r="W24" s="406" t="e">
        <f t="shared" ca="1" si="16"/>
        <v>#N/A</v>
      </c>
      <c r="X24" s="406" t="e">
        <f t="shared" ca="1" si="17"/>
        <v>#N/A</v>
      </c>
      <c r="Y24" s="406" t="e">
        <f t="shared" ca="1" si="17"/>
        <v>#N/A</v>
      </c>
      <c r="Z24" s="406" t="e">
        <f t="shared" ca="1" si="17"/>
        <v>#N/A</v>
      </c>
      <c r="AA24" s="406" t="e">
        <f t="shared" ca="1" si="17"/>
        <v>#N/A</v>
      </c>
      <c r="AB24" s="406" t="e">
        <f t="shared" ca="1" si="17"/>
        <v>#N/A</v>
      </c>
      <c r="AC24" s="406" t="e">
        <f t="shared" ca="1" si="17"/>
        <v>#N/A</v>
      </c>
      <c r="AD24" s="406" t="e">
        <f t="shared" ca="1" si="17"/>
        <v>#N/A</v>
      </c>
      <c r="AE24" s="406" t="e">
        <f t="shared" ca="1" si="17"/>
        <v>#N/A</v>
      </c>
      <c r="AF24" s="406" t="e">
        <f t="shared" ca="1" si="17"/>
        <v>#N/A</v>
      </c>
      <c r="AG24" s="406" t="e">
        <f t="shared" ca="1" si="17"/>
        <v>#N/A</v>
      </c>
      <c r="AH24" s="406" t="e">
        <f t="shared" ca="1" si="18"/>
        <v>#N/A</v>
      </c>
      <c r="AI24" s="406" t="e">
        <f t="shared" ca="1" si="18"/>
        <v>#N/A</v>
      </c>
      <c r="AJ24" s="406" t="e">
        <f t="shared" ca="1" si="18"/>
        <v>#N/A</v>
      </c>
      <c r="AK24" s="406" t="e">
        <f t="shared" ca="1" si="18"/>
        <v>#N/A</v>
      </c>
      <c r="AL24" s="406" t="e">
        <f t="shared" ca="1" si="18"/>
        <v>#N/A</v>
      </c>
      <c r="AM24" s="406" t="e">
        <f t="shared" ca="1" si="18"/>
        <v>#N/A</v>
      </c>
      <c r="AN24" s="406" t="e">
        <f t="shared" ca="1" si="18"/>
        <v>#N/A</v>
      </c>
      <c r="AO24" s="406" t="e">
        <f t="shared" ca="1" si="18"/>
        <v>#N/A</v>
      </c>
      <c r="AP24" s="406" t="e">
        <f t="shared" ca="1" si="18"/>
        <v>#N/A</v>
      </c>
      <c r="AQ24" s="406" t="e">
        <f t="shared" ca="1" si="18"/>
        <v>#N/A</v>
      </c>
      <c r="AR24" s="406" t="e">
        <f t="shared" ca="1" si="19"/>
        <v>#N/A</v>
      </c>
      <c r="AS24" s="406" t="e">
        <f t="shared" ca="1" si="19"/>
        <v>#N/A</v>
      </c>
      <c r="AT24" s="406" t="e">
        <f t="shared" ca="1" si="19"/>
        <v>#N/A</v>
      </c>
      <c r="AU24" s="406" t="e">
        <f t="shared" ca="1" si="19"/>
        <v>#N/A</v>
      </c>
      <c r="AV24" s="406" t="e">
        <f t="shared" ca="1" si="19"/>
        <v>#N/A</v>
      </c>
      <c r="AW24" s="406" t="e">
        <f t="shared" ca="1" si="19"/>
        <v>#N/A</v>
      </c>
      <c r="AX24" s="406" t="e">
        <f t="shared" ca="1" si="19"/>
        <v>#N/A</v>
      </c>
      <c r="AY24" s="406" t="e">
        <f t="shared" ca="1" si="19"/>
        <v>#N/A</v>
      </c>
      <c r="AZ24" s="406" t="e">
        <f t="shared" ca="1" si="19"/>
        <v>#N/A</v>
      </c>
      <c r="BA24" s="406" t="e">
        <f t="shared" ca="1" si="19"/>
        <v>#N/A</v>
      </c>
      <c r="BB24" s="406" t="s">
        <v>1094</v>
      </c>
      <c r="BC24" s="407" t="str">
        <f t="shared" ca="1" si="8"/>
        <v/>
      </c>
      <c r="BD24" s="410"/>
      <c r="BE24" s="410"/>
      <c r="BF24"/>
      <c r="BG24"/>
      <c r="BH24"/>
      <c r="BI24"/>
      <c r="BJ24"/>
    </row>
    <row r="25" spans="3:62" x14ac:dyDescent="0.25">
      <c r="C25" s="406">
        <f t="shared" si="9"/>
        <v>23</v>
      </c>
      <c r="D25" s="406" t="e">
        <f t="shared" ca="1" si="15"/>
        <v>#N/A</v>
      </c>
      <c r="E25" s="406" t="e">
        <f t="shared" ca="1" si="15"/>
        <v>#N/A</v>
      </c>
      <c r="F25" s="406" t="e">
        <f t="shared" ca="1" si="15"/>
        <v>#N/A</v>
      </c>
      <c r="G25" s="406" t="e">
        <f t="shared" ca="1" si="15"/>
        <v>#N/A</v>
      </c>
      <c r="H25" s="406" t="e">
        <f t="shared" ca="1" si="15"/>
        <v>#N/A</v>
      </c>
      <c r="I25" s="406" t="e">
        <f t="shared" ca="1" si="15"/>
        <v>#N/A</v>
      </c>
      <c r="J25" s="406" t="e">
        <f t="shared" ca="1" si="15"/>
        <v>#N/A</v>
      </c>
      <c r="K25" s="406" t="e">
        <f t="shared" ca="1" si="15"/>
        <v>#N/A</v>
      </c>
      <c r="L25" s="406" t="e">
        <f t="shared" ca="1" si="15"/>
        <v>#N/A</v>
      </c>
      <c r="M25" s="406" t="e">
        <f t="shared" ca="1" si="15"/>
        <v>#N/A</v>
      </c>
      <c r="N25" s="406" t="e">
        <f t="shared" ca="1" si="16"/>
        <v>#N/A</v>
      </c>
      <c r="O25" s="406" t="e">
        <f t="shared" ca="1" si="16"/>
        <v>#N/A</v>
      </c>
      <c r="P25" s="406" t="e">
        <f t="shared" ca="1" si="16"/>
        <v>#N/A</v>
      </c>
      <c r="Q25" s="406" t="e">
        <f t="shared" ca="1" si="16"/>
        <v>#N/A</v>
      </c>
      <c r="R25" s="406" t="e">
        <f t="shared" ca="1" si="16"/>
        <v>#N/A</v>
      </c>
      <c r="S25" s="406" t="e">
        <f t="shared" ca="1" si="16"/>
        <v>#N/A</v>
      </c>
      <c r="T25" s="406" t="e">
        <f t="shared" ca="1" si="16"/>
        <v>#N/A</v>
      </c>
      <c r="U25" s="406" t="e">
        <f t="shared" ca="1" si="16"/>
        <v>#N/A</v>
      </c>
      <c r="V25" s="406" t="e">
        <f t="shared" ca="1" si="16"/>
        <v>#N/A</v>
      </c>
      <c r="W25" s="406" t="e">
        <f t="shared" ca="1" si="16"/>
        <v>#N/A</v>
      </c>
      <c r="X25" s="406" t="e">
        <f t="shared" ca="1" si="17"/>
        <v>#N/A</v>
      </c>
      <c r="Y25" s="406" t="e">
        <f t="shared" ca="1" si="17"/>
        <v>#N/A</v>
      </c>
      <c r="Z25" s="406" t="e">
        <f t="shared" ca="1" si="17"/>
        <v>#N/A</v>
      </c>
      <c r="AA25" s="406" t="e">
        <f t="shared" ca="1" si="17"/>
        <v>#N/A</v>
      </c>
      <c r="AB25" s="406" t="e">
        <f t="shared" ca="1" si="17"/>
        <v>#N/A</v>
      </c>
      <c r="AC25" s="406" t="e">
        <f t="shared" ca="1" si="17"/>
        <v>#N/A</v>
      </c>
      <c r="AD25" s="406" t="e">
        <f t="shared" ca="1" si="17"/>
        <v>#N/A</v>
      </c>
      <c r="AE25" s="406" t="e">
        <f t="shared" ca="1" si="17"/>
        <v>#N/A</v>
      </c>
      <c r="AF25" s="406" t="e">
        <f t="shared" ca="1" si="17"/>
        <v>#N/A</v>
      </c>
      <c r="AG25" s="406" t="e">
        <f t="shared" ca="1" si="17"/>
        <v>#N/A</v>
      </c>
      <c r="AH25" s="406" t="e">
        <f t="shared" ca="1" si="18"/>
        <v>#N/A</v>
      </c>
      <c r="AI25" s="406" t="e">
        <f t="shared" ca="1" si="18"/>
        <v>#N/A</v>
      </c>
      <c r="AJ25" s="406" t="e">
        <f t="shared" ca="1" si="18"/>
        <v>#N/A</v>
      </c>
      <c r="AK25" s="406" t="e">
        <f t="shared" ca="1" si="18"/>
        <v>#N/A</v>
      </c>
      <c r="AL25" s="406" t="e">
        <f t="shared" ca="1" si="18"/>
        <v>#N/A</v>
      </c>
      <c r="AM25" s="406" t="e">
        <f t="shared" ca="1" si="18"/>
        <v>#N/A</v>
      </c>
      <c r="AN25" s="406" t="e">
        <f t="shared" ca="1" si="18"/>
        <v>#N/A</v>
      </c>
      <c r="AO25" s="406" t="e">
        <f t="shared" ca="1" si="18"/>
        <v>#N/A</v>
      </c>
      <c r="AP25" s="406" t="e">
        <f t="shared" ca="1" si="18"/>
        <v>#N/A</v>
      </c>
      <c r="AQ25" s="406" t="e">
        <f t="shared" ca="1" si="18"/>
        <v>#N/A</v>
      </c>
      <c r="AR25" s="406" t="e">
        <f t="shared" ca="1" si="19"/>
        <v>#N/A</v>
      </c>
      <c r="AS25" s="406" t="e">
        <f t="shared" ca="1" si="19"/>
        <v>#N/A</v>
      </c>
      <c r="AT25" s="406" t="e">
        <f t="shared" ca="1" si="19"/>
        <v>#N/A</v>
      </c>
      <c r="AU25" s="406" t="e">
        <f t="shared" ca="1" si="19"/>
        <v>#N/A</v>
      </c>
      <c r="AV25" s="406" t="e">
        <f t="shared" ca="1" si="19"/>
        <v>#N/A</v>
      </c>
      <c r="AW25" s="406" t="e">
        <f t="shared" ca="1" si="19"/>
        <v>#N/A</v>
      </c>
      <c r="AX25" s="406" t="e">
        <f t="shared" ca="1" si="19"/>
        <v>#N/A</v>
      </c>
      <c r="AY25" s="406" t="e">
        <f t="shared" ca="1" si="19"/>
        <v>#N/A</v>
      </c>
      <c r="AZ25" s="406" t="e">
        <f t="shared" ca="1" si="19"/>
        <v>#N/A</v>
      </c>
      <c r="BA25" s="406" t="e">
        <f t="shared" ca="1" si="19"/>
        <v>#N/A</v>
      </c>
      <c r="BB25" s="406" t="s">
        <v>1095</v>
      </c>
      <c r="BC25" s="407" t="str">
        <f t="shared" ca="1" si="8"/>
        <v/>
      </c>
      <c r="BD25" s="410"/>
      <c r="BE25" s="410"/>
      <c r="BF25"/>
      <c r="BG25"/>
      <c r="BH25"/>
      <c r="BI25"/>
      <c r="BJ25"/>
    </row>
    <row r="26" spans="3:62" x14ac:dyDescent="0.25">
      <c r="C26" s="406">
        <f t="shared" si="9"/>
        <v>24</v>
      </c>
      <c r="D26" s="406" t="e">
        <f t="shared" ca="1" si="15"/>
        <v>#N/A</v>
      </c>
      <c r="E26" s="406" t="e">
        <f t="shared" ca="1" si="15"/>
        <v>#N/A</v>
      </c>
      <c r="F26" s="406" t="e">
        <f t="shared" ca="1" si="15"/>
        <v>#N/A</v>
      </c>
      <c r="G26" s="406" t="e">
        <f t="shared" ca="1" si="15"/>
        <v>#N/A</v>
      </c>
      <c r="H26" s="406" t="e">
        <f t="shared" ca="1" si="15"/>
        <v>#N/A</v>
      </c>
      <c r="I26" s="406" t="e">
        <f t="shared" ca="1" si="15"/>
        <v>#N/A</v>
      </c>
      <c r="J26" s="406" t="e">
        <f t="shared" ca="1" si="15"/>
        <v>#N/A</v>
      </c>
      <c r="K26" s="406" t="e">
        <f t="shared" ca="1" si="15"/>
        <v>#N/A</v>
      </c>
      <c r="L26" s="406" t="e">
        <f t="shared" ca="1" si="15"/>
        <v>#N/A</v>
      </c>
      <c r="M26" s="406" t="e">
        <f t="shared" ca="1" si="15"/>
        <v>#N/A</v>
      </c>
      <c r="N26" s="406" t="e">
        <f t="shared" ca="1" si="16"/>
        <v>#N/A</v>
      </c>
      <c r="O26" s="406" t="e">
        <f t="shared" ca="1" si="16"/>
        <v>#N/A</v>
      </c>
      <c r="P26" s="406" t="e">
        <f t="shared" ca="1" si="16"/>
        <v>#N/A</v>
      </c>
      <c r="Q26" s="406" t="e">
        <f t="shared" ca="1" si="16"/>
        <v>#N/A</v>
      </c>
      <c r="R26" s="406" t="e">
        <f t="shared" ca="1" si="16"/>
        <v>#N/A</v>
      </c>
      <c r="S26" s="406" t="e">
        <f t="shared" ca="1" si="16"/>
        <v>#N/A</v>
      </c>
      <c r="T26" s="406" t="e">
        <f t="shared" ca="1" si="16"/>
        <v>#N/A</v>
      </c>
      <c r="U26" s="406" t="e">
        <f t="shared" ca="1" si="16"/>
        <v>#N/A</v>
      </c>
      <c r="V26" s="406" t="e">
        <f t="shared" ca="1" si="16"/>
        <v>#N/A</v>
      </c>
      <c r="W26" s="406" t="e">
        <f t="shared" ca="1" si="16"/>
        <v>#N/A</v>
      </c>
      <c r="X26" s="406" t="e">
        <f t="shared" ca="1" si="17"/>
        <v>#N/A</v>
      </c>
      <c r="Y26" s="406" t="e">
        <f t="shared" ca="1" si="17"/>
        <v>#N/A</v>
      </c>
      <c r="Z26" s="406" t="e">
        <f t="shared" ca="1" si="17"/>
        <v>#N/A</v>
      </c>
      <c r="AA26" s="406" t="e">
        <f t="shared" ca="1" si="17"/>
        <v>#N/A</v>
      </c>
      <c r="AB26" s="406" t="e">
        <f t="shared" ca="1" si="17"/>
        <v>#N/A</v>
      </c>
      <c r="AC26" s="406" t="e">
        <f t="shared" ca="1" si="17"/>
        <v>#N/A</v>
      </c>
      <c r="AD26" s="406" t="e">
        <f t="shared" ca="1" si="17"/>
        <v>#N/A</v>
      </c>
      <c r="AE26" s="406" t="e">
        <f t="shared" ca="1" si="17"/>
        <v>#N/A</v>
      </c>
      <c r="AF26" s="406" t="e">
        <f t="shared" ca="1" si="17"/>
        <v>#N/A</v>
      </c>
      <c r="AG26" s="406" t="e">
        <f t="shared" ca="1" si="17"/>
        <v>#N/A</v>
      </c>
      <c r="AH26" s="406" t="e">
        <f t="shared" ca="1" si="18"/>
        <v>#N/A</v>
      </c>
      <c r="AI26" s="406" t="e">
        <f t="shared" ca="1" si="18"/>
        <v>#N/A</v>
      </c>
      <c r="AJ26" s="406" t="e">
        <f t="shared" ca="1" si="18"/>
        <v>#N/A</v>
      </c>
      <c r="AK26" s="406" t="e">
        <f t="shared" ca="1" si="18"/>
        <v>#N/A</v>
      </c>
      <c r="AL26" s="406" t="e">
        <f t="shared" ca="1" si="18"/>
        <v>#N/A</v>
      </c>
      <c r="AM26" s="406" t="e">
        <f t="shared" ca="1" si="18"/>
        <v>#N/A</v>
      </c>
      <c r="AN26" s="406" t="e">
        <f t="shared" ca="1" si="18"/>
        <v>#N/A</v>
      </c>
      <c r="AO26" s="406" t="e">
        <f t="shared" ca="1" si="18"/>
        <v>#N/A</v>
      </c>
      <c r="AP26" s="406" t="e">
        <f t="shared" ca="1" si="18"/>
        <v>#N/A</v>
      </c>
      <c r="AQ26" s="406" t="e">
        <f t="shared" ca="1" si="18"/>
        <v>#N/A</v>
      </c>
      <c r="AR26" s="406" t="e">
        <f t="shared" ca="1" si="19"/>
        <v>#N/A</v>
      </c>
      <c r="AS26" s="406" t="e">
        <f t="shared" ca="1" si="19"/>
        <v>#N/A</v>
      </c>
      <c r="AT26" s="406" t="e">
        <f t="shared" ca="1" si="19"/>
        <v>#N/A</v>
      </c>
      <c r="AU26" s="406" t="e">
        <f t="shared" ca="1" si="19"/>
        <v>#N/A</v>
      </c>
      <c r="AV26" s="406" t="e">
        <f t="shared" ca="1" si="19"/>
        <v>#N/A</v>
      </c>
      <c r="AW26" s="406" t="e">
        <f t="shared" ca="1" si="19"/>
        <v>#N/A</v>
      </c>
      <c r="AX26" s="406" t="e">
        <f t="shared" ca="1" si="19"/>
        <v>#N/A</v>
      </c>
      <c r="AY26" s="406" t="e">
        <f t="shared" ca="1" si="19"/>
        <v>#N/A</v>
      </c>
      <c r="AZ26" s="406" t="e">
        <f t="shared" ca="1" si="19"/>
        <v>#N/A</v>
      </c>
      <c r="BA26" s="406" t="e">
        <f t="shared" ca="1" si="19"/>
        <v>#N/A</v>
      </c>
      <c r="BB26" s="406" t="s">
        <v>1097</v>
      </c>
      <c r="BC26" s="407" t="str">
        <f t="shared" ca="1" si="8"/>
        <v/>
      </c>
      <c r="BD26" s="410"/>
      <c r="BE26" s="410"/>
      <c r="BF26"/>
      <c r="BG26"/>
      <c r="BH26"/>
      <c r="BI26"/>
      <c r="BJ26"/>
    </row>
    <row r="27" spans="3:62" x14ac:dyDescent="0.25">
      <c r="C27" s="406">
        <f t="shared" si="9"/>
        <v>25</v>
      </c>
      <c r="D27" s="406" t="e">
        <f t="shared" ca="1" si="15"/>
        <v>#N/A</v>
      </c>
      <c r="E27" s="406" t="e">
        <f t="shared" ca="1" si="15"/>
        <v>#N/A</v>
      </c>
      <c r="F27" s="406" t="e">
        <f t="shared" ca="1" si="15"/>
        <v>#N/A</v>
      </c>
      <c r="G27" s="406" t="e">
        <f t="shared" ca="1" si="15"/>
        <v>#N/A</v>
      </c>
      <c r="H27" s="406" t="e">
        <f t="shared" ca="1" si="15"/>
        <v>#N/A</v>
      </c>
      <c r="I27" s="406" t="e">
        <f t="shared" ca="1" si="15"/>
        <v>#N/A</v>
      </c>
      <c r="J27" s="406" t="e">
        <f t="shared" ca="1" si="15"/>
        <v>#N/A</v>
      </c>
      <c r="K27" s="406" t="e">
        <f t="shared" ca="1" si="15"/>
        <v>#N/A</v>
      </c>
      <c r="L27" s="406" t="e">
        <f t="shared" ca="1" si="15"/>
        <v>#N/A</v>
      </c>
      <c r="M27" s="406" t="e">
        <f t="shared" ca="1" si="15"/>
        <v>#N/A</v>
      </c>
      <c r="N27" s="406" t="e">
        <f t="shared" ca="1" si="16"/>
        <v>#N/A</v>
      </c>
      <c r="O27" s="406" t="e">
        <f t="shared" ca="1" si="16"/>
        <v>#N/A</v>
      </c>
      <c r="P27" s="406" t="e">
        <f t="shared" ca="1" si="16"/>
        <v>#N/A</v>
      </c>
      <c r="Q27" s="406" t="e">
        <f t="shared" ca="1" si="16"/>
        <v>#N/A</v>
      </c>
      <c r="R27" s="406" t="e">
        <f t="shared" ca="1" si="16"/>
        <v>#N/A</v>
      </c>
      <c r="S27" s="406" t="e">
        <f t="shared" ca="1" si="16"/>
        <v>#N/A</v>
      </c>
      <c r="T27" s="406" t="e">
        <f t="shared" ca="1" si="16"/>
        <v>#N/A</v>
      </c>
      <c r="U27" s="406" t="e">
        <f t="shared" ca="1" si="16"/>
        <v>#N/A</v>
      </c>
      <c r="V27" s="406" t="e">
        <f t="shared" ca="1" si="16"/>
        <v>#N/A</v>
      </c>
      <c r="W27" s="406" t="e">
        <f t="shared" ca="1" si="16"/>
        <v>#N/A</v>
      </c>
      <c r="X27" s="406" t="e">
        <f t="shared" ca="1" si="17"/>
        <v>#N/A</v>
      </c>
      <c r="Y27" s="406" t="e">
        <f t="shared" ca="1" si="17"/>
        <v>#N/A</v>
      </c>
      <c r="Z27" s="406" t="e">
        <f t="shared" ca="1" si="17"/>
        <v>#N/A</v>
      </c>
      <c r="AA27" s="406" t="e">
        <f t="shared" ca="1" si="17"/>
        <v>#N/A</v>
      </c>
      <c r="AB27" s="406" t="e">
        <f t="shared" ca="1" si="17"/>
        <v>#N/A</v>
      </c>
      <c r="AC27" s="406" t="e">
        <f t="shared" ca="1" si="17"/>
        <v>#N/A</v>
      </c>
      <c r="AD27" s="406" t="e">
        <f t="shared" ca="1" si="17"/>
        <v>#N/A</v>
      </c>
      <c r="AE27" s="406" t="e">
        <f t="shared" ca="1" si="17"/>
        <v>#N/A</v>
      </c>
      <c r="AF27" s="406" t="e">
        <f t="shared" ca="1" si="17"/>
        <v>#N/A</v>
      </c>
      <c r="AG27" s="406" t="e">
        <f t="shared" ca="1" si="17"/>
        <v>#N/A</v>
      </c>
      <c r="AH27" s="406" t="e">
        <f t="shared" ca="1" si="18"/>
        <v>#N/A</v>
      </c>
      <c r="AI27" s="406" t="e">
        <f t="shared" ca="1" si="18"/>
        <v>#N/A</v>
      </c>
      <c r="AJ27" s="406" t="e">
        <f t="shared" ca="1" si="18"/>
        <v>#N/A</v>
      </c>
      <c r="AK27" s="406" t="e">
        <f t="shared" ca="1" si="18"/>
        <v>#N/A</v>
      </c>
      <c r="AL27" s="406" t="e">
        <f t="shared" ca="1" si="18"/>
        <v>#N/A</v>
      </c>
      <c r="AM27" s="406" t="e">
        <f t="shared" ca="1" si="18"/>
        <v>#N/A</v>
      </c>
      <c r="AN27" s="406" t="e">
        <f t="shared" ca="1" si="18"/>
        <v>#N/A</v>
      </c>
      <c r="AO27" s="406" t="e">
        <f t="shared" ca="1" si="18"/>
        <v>#N/A</v>
      </c>
      <c r="AP27" s="406" t="e">
        <f t="shared" ca="1" si="18"/>
        <v>#N/A</v>
      </c>
      <c r="AQ27" s="406" t="e">
        <f t="shared" ca="1" si="18"/>
        <v>#N/A</v>
      </c>
      <c r="AR27" s="406" t="e">
        <f t="shared" ca="1" si="19"/>
        <v>#N/A</v>
      </c>
      <c r="AS27" s="406" t="e">
        <f t="shared" ca="1" si="19"/>
        <v>#N/A</v>
      </c>
      <c r="AT27" s="406" t="e">
        <f t="shared" ca="1" si="19"/>
        <v>#N/A</v>
      </c>
      <c r="AU27" s="406" t="e">
        <f t="shared" ca="1" si="19"/>
        <v>#N/A</v>
      </c>
      <c r="AV27" s="406" t="e">
        <f t="shared" ca="1" si="19"/>
        <v>#N/A</v>
      </c>
      <c r="AW27" s="406" t="e">
        <f t="shared" ca="1" si="19"/>
        <v>#N/A</v>
      </c>
      <c r="AX27" s="406" t="e">
        <f t="shared" ca="1" si="19"/>
        <v>#N/A</v>
      </c>
      <c r="AY27" s="406" t="e">
        <f t="shared" ca="1" si="19"/>
        <v>#N/A</v>
      </c>
      <c r="AZ27" s="406" t="e">
        <f t="shared" ca="1" si="19"/>
        <v>#N/A</v>
      </c>
      <c r="BA27" s="406" t="e">
        <f t="shared" ca="1" si="19"/>
        <v>#N/A</v>
      </c>
      <c r="BB27" s="406" t="s">
        <v>1098</v>
      </c>
      <c r="BC27" s="407" t="str">
        <f t="shared" ca="1" si="8"/>
        <v/>
      </c>
      <c r="BD27" s="410"/>
      <c r="BE27" s="410"/>
      <c r="BF27"/>
      <c r="BG27"/>
      <c r="BH27"/>
      <c r="BI27"/>
      <c r="BJ27"/>
    </row>
    <row r="28" spans="3:62" x14ac:dyDescent="0.25">
      <c r="C28" s="406">
        <f t="shared" si="9"/>
        <v>26</v>
      </c>
      <c r="D28" s="406" t="e">
        <f t="shared" ca="1" si="15"/>
        <v>#N/A</v>
      </c>
      <c r="E28" s="406" t="e">
        <f t="shared" ca="1" si="15"/>
        <v>#N/A</v>
      </c>
      <c r="F28" s="406" t="e">
        <f t="shared" ca="1" si="15"/>
        <v>#N/A</v>
      </c>
      <c r="G28" s="406" t="e">
        <f t="shared" ca="1" si="15"/>
        <v>#N/A</v>
      </c>
      <c r="H28" s="406" t="e">
        <f t="shared" ca="1" si="15"/>
        <v>#N/A</v>
      </c>
      <c r="I28" s="406" t="e">
        <f t="shared" ca="1" si="15"/>
        <v>#N/A</v>
      </c>
      <c r="J28" s="406" t="e">
        <f t="shared" ca="1" si="15"/>
        <v>#N/A</v>
      </c>
      <c r="K28" s="406" t="e">
        <f t="shared" ca="1" si="15"/>
        <v>#N/A</v>
      </c>
      <c r="L28" s="406" t="e">
        <f t="shared" ca="1" si="15"/>
        <v>#N/A</v>
      </c>
      <c r="M28" s="406" t="e">
        <f t="shared" ca="1" si="15"/>
        <v>#N/A</v>
      </c>
      <c r="N28" s="406" t="e">
        <f t="shared" ca="1" si="16"/>
        <v>#N/A</v>
      </c>
      <c r="O28" s="406" t="e">
        <f t="shared" ca="1" si="16"/>
        <v>#N/A</v>
      </c>
      <c r="P28" s="406" t="e">
        <f t="shared" ca="1" si="16"/>
        <v>#N/A</v>
      </c>
      <c r="Q28" s="406" t="e">
        <f t="shared" ca="1" si="16"/>
        <v>#N/A</v>
      </c>
      <c r="R28" s="406" t="e">
        <f t="shared" ca="1" si="16"/>
        <v>#N/A</v>
      </c>
      <c r="S28" s="406" t="e">
        <f t="shared" ca="1" si="16"/>
        <v>#N/A</v>
      </c>
      <c r="T28" s="406" t="e">
        <f t="shared" ca="1" si="16"/>
        <v>#N/A</v>
      </c>
      <c r="U28" s="406" t="e">
        <f t="shared" ca="1" si="16"/>
        <v>#N/A</v>
      </c>
      <c r="V28" s="406" t="e">
        <f t="shared" ca="1" si="16"/>
        <v>#N/A</v>
      </c>
      <c r="W28" s="406" t="e">
        <f t="shared" ca="1" si="16"/>
        <v>#N/A</v>
      </c>
      <c r="X28" s="406" t="e">
        <f t="shared" ca="1" si="17"/>
        <v>#N/A</v>
      </c>
      <c r="Y28" s="406" t="e">
        <f t="shared" ca="1" si="17"/>
        <v>#N/A</v>
      </c>
      <c r="Z28" s="406" t="e">
        <f t="shared" ca="1" si="17"/>
        <v>#N/A</v>
      </c>
      <c r="AA28" s="406" t="e">
        <f t="shared" ca="1" si="17"/>
        <v>#N/A</v>
      </c>
      <c r="AB28" s="406" t="e">
        <f t="shared" ca="1" si="17"/>
        <v>#N/A</v>
      </c>
      <c r="AC28" s="406" t="e">
        <f t="shared" ca="1" si="17"/>
        <v>#N/A</v>
      </c>
      <c r="AD28" s="406" t="e">
        <f t="shared" ca="1" si="17"/>
        <v>#N/A</v>
      </c>
      <c r="AE28" s="406" t="e">
        <f t="shared" ca="1" si="17"/>
        <v>#N/A</v>
      </c>
      <c r="AF28" s="406" t="e">
        <f t="shared" ca="1" si="17"/>
        <v>#N/A</v>
      </c>
      <c r="AG28" s="406" t="e">
        <f t="shared" ca="1" si="17"/>
        <v>#N/A</v>
      </c>
      <c r="AH28" s="406" t="e">
        <f t="shared" ca="1" si="18"/>
        <v>#N/A</v>
      </c>
      <c r="AI28" s="406" t="e">
        <f t="shared" ca="1" si="18"/>
        <v>#N/A</v>
      </c>
      <c r="AJ28" s="406" t="e">
        <f t="shared" ca="1" si="18"/>
        <v>#N/A</v>
      </c>
      <c r="AK28" s="406" t="e">
        <f t="shared" ca="1" si="18"/>
        <v>#N/A</v>
      </c>
      <c r="AL28" s="406" t="e">
        <f t="shared" ca="1" si="18"/>
        <v>#N/A</v>
      </c>
      <c r="AM28" s="406" t="e">
        <f t="shared" ca="1" si="18"/>
        <v>#N/A</v>
      </c>
      <c r="AN28" s="406" t="e">
        <f t="shared" ca="1" si="18"/>
        <v>#N/A</v>
      </c>
      <c r="AO28" s="406" t="e">
        <f t="shared" ca="1" si="18"/>
        <v>#N/A</v>
      </c>
      <c r="AP28" s="406" t="e">
        <f t="shared" ca="1" si="18"/>
        <v>#N/A</v>
      </c>
      <c r="AQ28" s="406" t="e">
        <f t="shared" ca="1" si="18"/>
        <v>#N/A</v>
      </c>
      <c r="AR28" s="406" t="e">
        <f t="shared" ca="1" si="19"/>
        <v>#N/A</v>
      </c>
      <c r="AS28" s="406" t="e">
        <f t="shared" ca="1" si="19"/>
        <v>#N/A</v>
      </c>
      <c r="AT28" s="406" t="e">
        <f t="shared" ca="1" si="19"/>
        <v>#N/A</v>
      </c>
      <c r="AU28" s="406" t="e">
        <f t="shared" ca="1" si="19"/>
        <v>#N/A</v>
      </c>
      <c r="AV28" s="406" t="e">
        <f t="shared" ca="1" si="19"/>
        <v>#N/A</v>
      </c>
      <c r="AW28" s="406" t="e">
        <f t="shared" ca="1" si="19"/>
        <v>#N/A</v>
      </c>
      <c r="AX28" s="406" t="e">
        <f t="shared" ca="1" si="19"/>
        <v>#N/A</v>
      </c>
      <c r="AY28" s="406" t="e">
        <f t="shared" ca="1" si="19"/>
        <v>#N/A</v>
      </c>
      <c r="AZ28" s="406" t="e">
        <f t="shared" ca="1" si="19"/>
        <v>#N/A</v>
      </c>
      <c r="BA28" s="406" t="e">
        <f t="shared" ca="1" si="19"/>
        <v>#N/A</v>
      </c>
      <c r="BB28" s="406" t="s">
        <v>1099</v>
      </c>
      <c r="BC28" s="407" t="str">
        <f t="shared" ca="1" si="8"/>
        <v/>
      </c>
      <c r="BD28" s="410"/>
      <c r="BE28" s="410"/>
      <c r="BF28"/>
      <c r="BG28"/>
      <c r="BH28"/>
      <c r="BI28"/>
      <c r="BJ28"/>
    </row>
    <row r="29" spans="3:62" x14ac:dyDescent="0.25">
      <c r="C29" s="406">
        <f t="shared" si="9"/>
        <v>27</v>
      </c>
      <c r="D29" s="406" t="e">
        <f t="shared" ca="1" si="15"/>
        <v>#N/A</v>
      </c>
      <c r="E29" s="406" t="e">
        <f t="shared" ca="1" si="15"/>
        <v>#N/A</v>
      </c>
      <c r="F29" s="406" t="e">
        <f t="shared" ca="1" si="15"/>
        <v>#N/A</v>
      </c>
      <c r="G29" s="406" t="e">
        <f t="shared" ca="1" si="15"/>
        <v>#N/A</v>
      </c>
      <c r="H29" s="406" t="e">
        <f t="shared" ca="1" si="15"/>
        <v>#N/A</v>
      </c>
      <c r="I29" s="406" t="e">
        <f t="shared" ca="1" si="15"/>
        <v>#N/A</v>
      </c>
      <c r="J29" s="406" t="e">
        <f t="shared" ca="1" si="15"/>
        <v>#N/A</v>
      </c>
      <c r="K29" s="406" t="e">
        <f t="shared" ca="1" si="15"/>
        <v>#N/A</v>
      </c>
      <c r="L29" s="406" t="e">
        <f t="shared" ca="1" si="15"/>
        <v>#N/A</v>
      </c>
      <c r="M29" s="406" t="e">
        <f t="shared" ca="1" si="15"/>
        <v>#N/A</v>
      </c>
      <c r="N29" s="406" t="e">
        <f t="shared" ca="1" si="16"/>
        <v>#N/A</v>
      </c>
      <c r="O29" s="406" t="e">
        <f t="shared" ca="1" si="16"/>
        <v>#N/A</v>
      </c>
      <c r="P29" s="406" t="e">
        <f t="shared" ca="1" si="16"/>
        <v>#N/A</v>
      </c>
      <c r="Q29" s="406" t="e">
        <f t="shared" ca="1" si="16"/>
        <v>#N/A</v>
      </c>
      <c r="R29" s="406" t="e">
        <f t="shared" ca="1" si="16"/>
        <v>#N/A</v>
      </c>
      <c r="S29" s="406" t="e">
        <f t="shared" ca="1" si="16"/>
        <v>#N/A</v>
      </c>
      <c r="T29" s="406" t="e">
        <f t="shared" ca="1" si="16"/>
        <v>#N/A</v>
      </c>
      <c r="U29" s="406" t="e">
        <f t="shared" ca="1" si="16"/>
        <v>#N/A</v>
      </c>
      <c r="V29" s="406" t="e">
        <f t="shared" ca="1" si="16"/>
        <v>#N/A</v>
      </c>
      <c r="W29" s="406" t="e">
        <f t="shared" ca="1" si="16"/>
        <v>#N/A</v>
      </c>
      <c r="X29" s="406" t="e">
        <f t="shared" ca="1" si="17"/>
        <v>#N/A</v>
      </c>
      <c r="Y29" s="406" t="e">
        <f t="shared" ca="1" si="17"/>
        <v>#N/A</v>
      </c>
      <c r="Z29" s="406" t="e">
        <f t="shared" ca="1" si="17"/>
        <v>#N/A</v>
      </c>
      <c r="AA29" s="406" t="e">
        <f t="shared" ca="1" si="17"/>
        <v>#N/A</v>
      </c>
      <c r="AB29" s="406" t="e">
        <f t="shared" ca="1" si="17"/>
        <v>#N/A</v>
      </c>
      <c r="AC29" s="406" t="e">
        <f t="shared" ca="1" si="17"/>
        <v>#N/A</v>
      </c>
      <c r="AD29" s="406" t="e">
        <f t="shared" ca="1" si="17"/>
        <v>#N/A</v>
      </c>
      <c r="AE29" s="406" t="e">
        <f t="shared" ca="1" si="17"/>
        <v>#N/A</v>
      </c>
      <c r="AF29" s="406" t="e">
        <f t="shared" ca="1" si="17"/>
        <v>#N/A</v>
      </c>
      <c r="AG29" s="406" t="e">
        <f t="shared" ca="1" si="17"/>
        <v>#N/A</v>
      </c>
      <c r="AH29" s="406" t="e">
        <f t="shared" ca="1" si="18"/>
        <v>#N/A</v>
      </c>
      <c r="AI29" s="406" t="e">
        <f t="shared" ca="1" si="18"/>
        <v>#N/A</v>
      </c>
      <c r="AJ29" s="406" t="e">
        <f t="shared" ca="1" si="18"/>
        <v>#N/A</v>
      </c>
      <c r="AK29" s="406" t="e">
        <f t="shared" ca="1" si="18"/>
        <v>#N/A</v>
      </c>
      <c r="AL29" s="406" t="e">
        <f t="shared" ca="1" si="18"/>
        <v>#N/A</v>
      </c>
      <c r="AM29" s="406" t="e">
        <f t="shared" ca="1" si="18"/>
        <v>#N/A</v>
      </c>
      <c r="AN29" s="406" t="e">
        <f t="shared" ca="1" si="18"/>
        <v>#N/A</v>
      </c>
      <c r="AO29" s="406" t="e">
        <f t="shared" ca="1" si="18"/>
        <v>#N/A</v>
      </c>
      <c r="AP29" s="406" t="e">
        <f t="shared" ca="1" si="18"/>
        <v>#N/A</v>
      </c>
      <c r="AQ29" s="406" t="e">
        <f t="shared" ca="1" si="18"/>
        <v>#N/A</v>
      </c>
      <c r="AR29" s="406" t="e">
        <f t="shared" ca="1" si="19"/>
        <v>#N/A</v>
      </c>
      <c r="AS29" s="406" t="e">
        <f t="shared" ca="1" si="19"/>
        <v>#N/A</v>
      </c>
      <c r="AT29" s="406" t="e">
        <f t="shared" ca="1" si="19"/>
        <v>#N/A</v>
      </c>
      <c r="AU29" s="406" t="e">
        <f t="shared" ca="1" si="19"/>
        <v>#N/A</v>
      </c>
      <c r="AV29" s="406" t="e">
        <f t="shared" ca="1" si="19"/>
        <v>#N/A</v>
      </c>
      <c r="AW29" s="406" t="e">
        <f t="shared" ca="1" si="19"/>
        <v>#N/A</v>
      </c>
      <c r="AX29" s="406" t="e">
        <f t="shared" ca="1" si="19"/>
        <v>#N/A</v>
      </c>
      <c r="AY29" s="406" t="e">
        <f t="shared" ca="1" si="19"/>
        <v>#N/A</v>
      </c>
      <c r="AZ29" s="406" t="e">
        <f t="shared" ca="1" si="19"/>
        <v>#N/A</v>
      </c>
      <c r="BA29" s="406" t="e">
        <f t="shared" ca="1" si="19"/>
        <v>#N/A</v>
      </c>
      <c r="BB29" s="406" t="s">
        <v>1100</v>
      </c>
      <c r="BC29" s="407" t="str">
        <f t="shared" ca="1" si="8"/>
        <v/>
      </c>
      <c r="BD29" s="410"/>
      <c r="BE29" s="410"/>
    </row>
    <row r="30" spans="3:62" x14ac:dyDescent="0.25">
      <c r="C30" s="406">
        <f t="shared" si="9"/>
        <v>28</v>
      </c>
      <c r="D30" s="406" t="e">
        <f t="shared" ca="1" si="15"/>
        <v>#N/A</v>
      </c>
      <c r="E30" s="406" t="e">
        <f t="shared" ca="1" si="15"/>
        <v>#N/A</v>
      </c>
      <c r="F30" s="406" t="e">
        <f t="shared" ca="1" si="15"/>
        <v>#N/A</v>
      </c>
      <c r="G30" s="406" t="e">
        <f t="shared" ca="1" si="15"/>
        <v>#N/A</v>
      </c>
      <c r="H30" s="406" t="e">
        <f t="shared" ca="1" si="15"/>
        <v>#N/A</v>
      </c>
      <c r="I30" s="406" t="e">
        <f t="shared" ca="1" si="15"/>
        <v>#N/A</v>
      </c>
      <c r="J30" s="406" t="e">
        <f t="shared" ca="1" si="15"/>
        <v>#N/A</v>
      </c>
      <c r="K30" s="406" t="e">
        <f t="shared" ca="1" si="15"/>
        <v>#N/A</v>
      </c>
      <c r="L30" s="406" t="e">
        <f t="shared" ca="1" si="15"/>
        <v>#N/A</v>
      </c>
      <c r="M30" s="406" t="e">
        <f t="shared" ca="1" si="15"/>
        <v>#N/A</v>
      </c>
      <c r="N30" s="406" t="e">
        <f t="shared" ca="1" si="16"/>
        <v>#N/A</v>
      </c>
      <c r="O30" s="406" t="e">
        <f t="shared" ca="1" si="16"/>
        <v>#N/A</v>
      </c>
      <c r="P30" s="406" t="e">
        <f t="shared" ca="1" si="16"/>
        <v>#N/A</v>
      </c>
      <c r="Q30" s="406" t="e">
        <f t="shared" ca="1" si="16"/>
        <v>#N/A</v>
      </c>
      <c r="R30" s="406" t="e">
        <f t="shared" ca="1" si="16"/>
        <v>#N/A</v>
      </c>
      <c r="S30" s="406" t="e">
        <f t="shared" ca="1" si="16"/>
        <v>#N/A</v>
      </c>
      <c r="T30" s="406" t="e">
        <f t="shared" ca="1" si="16"/>
        <v>#N/A</v>
      </c>
      <c r="U30" s="406" t="e">
        <f t="shared" ca="1" si="16"/>
        <v>#N/A</v>
      </c>
      <c r="V30" s="406" t="e">
        <f t="shared" ca="1" si="16"/>
        <v>#N/A</v>
      </c>
      <c r="W30" s="406" t="e">
        <f t="shared" ca="1" si="16"/>
        <v>#N/A</v>
      </c>
      <c r="X30" s="406" t="e">
        <f t="shared" ca="1" si="17"/>
        <v>#N/A</v>
      </c>
      <c r="Y30" s="406" t="e">
        <f t="shared" ca="1" si="17"/>
        <v>#N/A</v>
      </c>
      <c r="Z30" s="406" t="e">
        <f t="shared" ca="1" si="17"/>
        <v>#N/A</v>
      </c>
      <c r="AA30" s="406" t="e">
        <f t="shared" ca="1" si="17"/>
        <v>#N/A</v>
      </c>
      <c r="AB30" s="406" t="e">
        <f t="shared" ca="1" si="17"/>
        <v>#N/A</v>
      </c>
      <c r="AC30" s="406" t="e">
        <f t="shared" ca="1" si="17"/>
        <v>#N/A</v>
      </c>
      <c r="AD30" s="406" t="e">
        <f t="shared" ca="1" si="17"/>
        <v>#N/A</v>
      </c>
      <c r="AE30" s="406" t="e">
        <f t="shared" ca="1" si="17"/>
        <v>#N/A</v>
      </c>
      <c r="AF30" s="406" t="e">
        <f t="shared" ca="1" si="17"/>
        <v>#N/A</v>
      </c>
      <c r="AG30" s="406" t="e">
        <f t="shared" ca="1" si="17"/>
        <v>#N/A</v>
      </c>
      <c r="AH30" s="406" t="e">
        <f t="shared" ca="1" si="18"/>
        <v>#N/A</v>
      </c>
      <c r="AI30" s="406" t="e">
        <f t="shared" ca="1" si="18"/>
        <v>#N/A</v>
      </c>
      <c r="AJ30" s="406" t="e">
        <f t="shared" ca="1" si="18"/>
        <v>#N/A</v>
      </c>
      <c r="AK30" s="406" t="e">
        <f t="shared" ca="1" si="18"/>
        <v>#N/A</v>
      </c>
      <c r="AL30" s="406" t="e">
        <f t="shared" ca="1" si="18"/>
        <v>#N/A</v>
      </c>
      <c r="AM30" s="406" t="e">
        <f t="shared" ca="1" si="18"/>
        <v>#N/A</v>
      </c>
      <c r="AN30" s="406" t="e">
        <f t="shared" ca="1" si="18"/>
        <v>#N/A</v>
      </c>
      <c r="AO30" s="406" t="e">
        <f t="shared" ca="1" si="18"/>
        <v>#N/A</v>
      </c>
      <c r="AP30" s="406" t="e">
        <f t="shared" ca="1" si="18"/>
        <v>#N/A</v>
      </c>
      <c r="AQ30" s="406" t="e">
        <f t="shared" ca="1" si="18"/>
        <v>#N/A</v>
      </c>
      <c r="AR30" s="406" t="e">
        <f t="shared" ca="1" si="19"/>
        <v>#N/A</v>
      </c>
      <c r="AS30" s="406" t="e">
        <f t="shared" ca="1" si="19"/>
        <v>#N/A</v>
      </c>
      <c r="AT30" s="406" t="e">
        <f t="shared" ca="1" si="19"/>
        <v>#N/A</v>
      </c>
      <c r="AU30" s="406" t="e">
        <f t="shared" ca="1" si="19"/>
        <v>#N/A</v>
      </c>
      <c r="AV30" s="406" t="e">
        <f t="shared" ca="1" si="19"/>
        <v>#N/A</v>
      </c>
      <c r="AW30" s="406" t="e">
        <f t="shared" ca="1" si="19"/>
        <v>#N/A</v>
      </c>
      <c r="AX30" s="406" t="e">
        <f t="shared" ca="1" si="19"/>
        <v>#N/A</v>
      </c>
      <c r="AY30" s="406" t="e">
        <f t="shared" ca="1" si="19"/>
        <v>#N/A</v>
      </c>
      <c r="AZ30" s="406" t="e">
        <f t="shared" ca="1" si="19"/>
        <v>#N/A</v>
      </c>
      <c r="BA30" s="406" t="e">
        <f t="shared" ca="1" si="19"/>
        <v>#N/A</v>
      </c>
      <c r="BB30" s="406" t="s">
        <v>1101</v>
      </c>
      <c r="BC30" s="407" t="str">
        <f t="shared" ca="1" si="8"/>
        <v/>
      </c>
      <c r="BD30" s="410"/>
      <c r="BE30" s="410"/>
    </row>
    <row r="31" spans="3:62" x14ac:dyDescent="0.25">
      <c r="C31" s="406">
        <f t="shared" si="9"/>
        <v>29</v>
      </c>
      <c r="D31" s="406" t="e">
        <f t="shared" ca="1" si="15"/>
        <v>#N/A</v>
      </c>
      <c r="E31" s="406" t="e">
        <f t="shared" ca="1" si="15"/>
        <v>#N/A</v>
      </c>
      <c r="F31" s="406" t="e">
        <f t="shared" ca="1" si="15"/>
        <v>#N/A</v>
      </c>
      <c r="G31" s="406" t="e">
        <f t="shared" ca="1" si="15"/>
        <v>#N/A</v>
      </c>
      <c r="H31" s="406" t="e">
        <f t="shared" ca="1" si="15"/>
        <v>#N/A</v>
      </c>
      <c r="I31" s="406" t="e">
        <f t="shared" ca="1" si="15"/>
        <v>#N/A</v>
      </c>
      <c r="J31" s="406" t="e">
        <f t="shared" ca="1" si="15"/>
        <v>#N/A</v>
      </c>
      <c r="K31" s="406" t="e">
        <f t="shared" ca="1" si="15"/>
        <v>#N/A</v>
      </c>
      <c r="L31" s="406" t="e">
        <f t="shared" ca="1" si="15"/>
        <v>#N/A</v>
      </c>
      <c r="M31" s="406" t="e">
        <f t="shared" ca="1" si="15"/>
        <v>#N/A</v>
      </c>
      <c r="N31" s="406" t="e">
        <f t="shared" ca="1" si="16"/>
        <v>#N/A</v>
      </c>
      <c r="O31" s="406" t="e">
        <f t="shared" ca="1" si="16"/>
        <v>#N/A</v>
      </c>
      <c r="P31" s="406" t="e">
        <f t="shared" ca="1" si="16"/>
        <v>#N/A</v>
      </c>
      <c r="Q31" s="406" t="e">
        <f t="shared" ca="1" si="16"/>
        <v>#N/A</v>
      </c>
      <c r="R31" s="406" t="e">
        <f t="shared" ca="1" si="16"/>
        <v>#N/A</v>
      </c>
      <c r="S31" s="406" t="e">
        <f t="shared" ca="1" si="16"/>
        <v>#N/A</v>
      </c>
      <c r="T31" s="406" t="e">
        <f t="shared" ca="1" si="16"/>
        <v>#N/A</v>
      </c>
      <c r="U31" s="406" t="e">
        <f t="shared" ca="1" si="16"/>
        <v>#N/A</v>
      </c>
      <c r="V31" s="406" t="e">
        <f t="shared" ca="1" si="16"/>
        <v>#N/A</v>
      </c>
      <c r="W31" s="406" t="e">
        <f t="shared" ca="1" si="16"/>
        <v>#N/A</v>
      </c>
      <c r="X31" s="406" t="e">
        <f t="shared" ca="1" si="17"/>
        <v>#N/A</v>
      </c>
      <c r="Y31" s="406" t="e">
        <f t="shared" ca="1" si="17"/>
        <v>#N/A</v>
      </c>
      <c r="Z31" s="406" t="e">
        <f t="shared" ca="1" si="17"/>
        <v>#N/A</v>
      </c>
      <c r="AA31" s="406" t="e">
        <f t="shared" ca="1" si="17"/>
        <v>#N/A</v>
      </c>
      <c r="AB31" s="406" t="e">
        <f t="shared" ca="1" si="17"/>
        <v>#N/A</v>
      </c>
      <c r="AC31" s="406" t="e">
        <f t="shared" ca="1" si="17"/>
        <v>#N/A</v>
      </c>
      <c r="AD31" s="406" t="e">
        <f t="shared" ca="1" si="17"/>
        <v>#N/A</v>
      </c>
      <c r="AE31" s="406" t="e">
        <f t="shared" ca="1" si="17"/>
        <v>#N/A</v>
      </c>
      <c r="AF31" s="406" t="e">
        <f t="shared" ca="1" si="17"/>
        <v>#N/A</v>
      </c>
      <c r="AG31" s="406" t="e">
        <f t="shared" ca="1" si="17"/>
        <v>#N/A</v>
      </c>
      <c r="AH31" s="406" t="e">
        <f t="shared" ca="1" si="18"/>
        <v>#N/A</v>
      </c>
      <c r="AI31" s="406" t="e">
        <f t="shared" ca="1" si="18"/>
        <v>#N/A</v>
      </c>
      <c r="AJ31" s="406" t="e">
        <f t="shared" ca="1" si="18"/>
        <v>#N/A</v>
      </c>
      <c r="AK31" s="406" t="e">
        <f t="shared" ca="1" si="18"/>
        <v>#N/A</v>
      </c>
      <c r="AL31" s="406" t="e">
        <f t="shared" ca="1" si="18"/>
        <v>#N/A</v>
      </c>
      <c r="AM31" s="406" t="e">
        <f t="shared" ca="1" si="18"/>
        <v>#N/A</v>
      </c>
      <c r="AN31" s="406" t="e">
        <f t="shared" ca="1" si="18"/>
        <v>#N/A</v>
      </c>
      <c r="AO31" s="406" t="e">
        <f t="shared" ca="1" si="18"/>
        <v>#N/A</v>
      </c>
      <c r="AP31" s="406" t="e">
        <f t="shared" ca="1" si="18"/>
        <v>#N/A</v>
      </c>
      <c r="AQ31" s="406" t="e">
        <f t="shared" ca="1" si="18"/>
        <v>#N/A</v>
      </c>
      <c r="AR31" s="406" t="e">
        <f t="shared" ca="1" si="19"/>
        <v>#N/A</v>
      </c>
      <c r="AS31" s="406" t="e">
        <f t="shared" ca="1" si="19"/>
        <v>#N/A</v>
      </c>
      <c r="AT31" s="406" t="e">
        <f t="shared" ca="1" si="19"/>
        <v>#N/A</v>
      </c>
      <c r="AU31" s="406" t="e">
        <f t="shared" ca="1" si="19"/>
        <v>#N/A</v>
      </c>
      <c r="AV31" s="406" t="e">
        <f t="shared" ca="1" si="19"/>
        <v>#N/A</v>
      </c>
      <c r="AW31" s="406" t="e">
        <f t="shared" ca="1" si="19"/>
        <v>#N/A</v>
      </c>
      <c r="AX31" s="406" t="e">
        <f t="shared" ca="1" si="19"/>
        <v>#N/A</v>
      </c>
      <c r="AY31" s="406" t="e">
        <f t="shared" ca="1" si="19"/>
        <v>#N/A</v>
      </c>
      <c r="AZ31" s="406" t="e">
        <f t="shared" ca="1" si="19"/>
        <v>#N/A</v>
      </c>
      <c r="BA31" s="406" t="e">
        <f t="shared" ca="1" si="19"/>
        <v>#N/A</v>
      </c>
      <c r="BB31" s="406" t="s">
        <v>1102</v>
      </c>
      <c r="BC31" s="407" t="str">
        <f t="shared" ca="1" si="8"/>
        <v/>
      </c>
      <c r="BD31" s="410"/>
      <c r="BE31" s="410"/>
    </row>
    <row r="32" spans="3:62" x14ac:dyDescent="0.25">
      <c r="C32" s="406">
        <f t="shared" si="9"/>
        <v>30</v>
      </c>
      <c r="D32" s="406" t="e">
        <f t="shared" ref="D32:M41" ca="1" si="20">TRIM(INDIRECT("'" &amp; "TNX RTF" &amp; "'!" &amp; ADDRESS($A$3+$C32,D$1)))</f>
        <v>#N/A</v>
      </c>
      <c r="E32" s="406" t="e">
        <f t="shared" ca="1" si="20"/>
        <v>#N/A</v>
      </c>
      <c r="F32" s="406" t="e">
        <f t="shared" ca="1" si="20"/>
        <v>#N/A</v>
      </c>
      <c r="G32" s="406" t="e">
        <f t="shared" ca="1" si="20"/>
        <v>#N/A</v>
      </c>
      <c r="H32" s="406" t="e">
        <f t="shared" ca="1" si="20"/>
        <v>#N/A</v>
      </c>
      <c r="I32" s="406" t="e">
        <f t="shared" ca="1" si="20"/>
        <v>#N/A</v>
      </c>
      <c r="J32" s="406" t="e">
        <f t="shared" ca="1" si="20"/>
        <v>#N/A</v>
      </c>
      <c r="K32" s="406" t="e">
        <f t="shared" ca="1" si="20"/>
        <v>#N/A</v>
      </c>
      <c r="L32" s="406" t="e">
        <f t="shared" ca="1" si="20"/>
        <v>#N/A</v>
      </c>
      <c r="M32" s="406" t="e">
        <f t="shared" ca="1" si="20"/>
        <v>#N/A</v>
      </c>
      <c r="N32" s="406" t="e">
        <f t="shared" ref="N32:W41" ca="1" si="21">TRIM(INDIRECT("'" &amp; "TNX RTF" &amp; "'!" &amp; ADDRESS($A$3+$C32,N$1)))</f>
        <v>#N/A</v>
      </c>
      <c r="O32" s="406" t="e">
        <f t="shared" ca="1" si="21"/>
        <v>#N/A</v>
      </c>
      <c r="P32" s="406" t="e">
        <f t="shared" ca="1" si="21"/>
        <v>#N/A</v>
      </c>
      <c r="Q32" s="406" t="e">
        <f t="shared" ca="1" si="21"/>
        <v>#N/A</v>
      </c>
      <c r="R32" s="406" t="e">
        <f t="shared" ca="1" si="21"/>
        <v>#N/A</v>
      </c>
      <c r="S32" s="406" t="e">
        <f t="shared" ca="1" si="21"/>
        <v>#N/A</v>
      </c>
      <c r="T32" s="406" t="e">
        <f t="shared" ca="1" si="21"/>
        <v>#N/A</v>
      </c>
      <c r="U32" s="406" t="e">
        <f t="shared" ca="1" si="21"/>
        <v>#N/A</v>
      </c>
      <c r="V32" s="406" t="e">
        <f t="shared" ca="1" si="21"/>
        <v>#N/A</v>
      </c>
      <c r="W32" s="406" t="e">
        <f t="shared" ca="1" si="21"/>
        <v>#N/A</v>
      </c>
      <c r="X32" s="406" t="e">
        <f t="shared" ref="X32:AG41" ca="1" si="22">TRIM(INDIRECT("'" &amp; "TNX RTF" &amp; "'!" &amp; ADDRESS($A$3+$C32,X$1)))</f>
        <v>#N/A</v>
      </c>
      <c r="Y32" s="406" t="e">
        <f t="shared" ca="1" si="22"/>
        <v>#N/A</v>
      </c>
      <c r="Z32" s="406" t="e">
        <f t="shared" ca="1" si="22"/>
        <v>#N/A</v>
      </c>
      <c r="AA32" s="406" t="e">
        <f t="shared" ca="1" si="22"/>
        <v>#N/A</v>
      </c>
      <c r="AB32" s="406" t="e">
        <f t="shared" ca="1" si="22"/>
        <v>#N/A</v>
      </c>
      <c r="AC32" s="406" t="e">
        <f t="shared" ca="1" si="22"/>
        <v>#N/A</v>
      </c>
      <c r="AD32" s="406" t="e">
        <f t="shared" ca="1" si="22"/>
        <v>#N/A</v>
      </c>
      <c r="AE32" s="406" t="e">
        <f t="shared" ca="1" si="22"/>
        <v>#N/A</v>
      </c>
      <c r="AF32" s="406" t="e">
        <f t="shared" ca="1" si="22"/>
        <v>#N/A</v>
      </c>
      <c r="AG32" s="406" t="e">
        <f t="shared" ca="1" si="22"/>
        <v>#N/A</v>
      </c>
      <c r="AH32" s="406" t="e">
        <f t="shared" ref="AH32:AQ41" ca="1" si="23">TRIM(INDIRECT("'" &amp; "TNX RTF" &amp; "'!" &amp; ADDRESS($A$3+$C32,AH$1)))</f>
        <v>#N/A</v>
      </c>
      <c r="AI32" s="406" t="e">
        <f t="shared" ca="1" si="23"/>
        <v>#N/A</v>
      </c>
      <c r="AJ32" s="406" t="e">
        <f t="shared" ca="1" si="23"/>
        <v>#N/A</v>
      </c>
      <c r="AK32" s="406" t="e">
        <f t="shared" ca="1" si="23"/>
        <v>#N/A</v>
      </c>
      <c r="AL32" s="406" t="e">
        <f t="shared" ca="1" si="23"/>
        <v>#N/A</v>
      </c>
      <c r="AM32" s="406" t="e">
        <f t="shared" ca="1" si="23"/>
        <v>#N/A</v>
      </c>
      <c r="AN32" s="406" t="e">
        <f t="shared" ca="1" si="23"/>
        <v>#N/A</v>
      </c>
      <c r="AO32" s="406" t="e">
        <f t="shared" ca="1" si="23"/>
        <v>#N/A</v>
      </c>
      <c r="AP32" s="406" t="e">
        <f t="shared" ca="1" si="23"/>
        <v>#N/A</v>
      </c>
      <c r="AQ32" s="406" t="e">
        <f t="shared" ca="1" si="23"/>
        <v>#N/A</v>
      </c>
      <c r="AR32" s="406" t="e">
        <f t="shared" ref="AR32:BA41" ca="1" si="24">TRIM(INDIRECT("'" &amp; "TNX RTF" &amp; "'!" &amp; ADDRESS($A$3+$C32,AR$1)))</f>
        <v>#N/A</v>
      </c>
      <c r="AS32" s="406" t="e">
        <f t="shared" ca="1" si="24"/>
        <v>#N/A</v>
      </c>
      <c r="AT32" s="406" t="e">
        <f t="shared" ca="1" si="24"/>
        <v>#N/A</v>
      </c>
      <c r="AU32" s="406" t="e">
        <f t="shared" ca="1" si="24"/>
        <v>#N/A</v>
      </c>
      <c r="AV32" s="406" t="e">
        <f t="shared" ca="1" si="24"/>
        <v>#N/A</v>
      </c>
      <c r="AW32" s="406" t="e">
        <f t="shared" ca="1" si="24"/>
        <v>#N/A</v>
      </c>
      <c r="AX32" s="406" t="e">
        <f t="shared" ca="1" si="24"/>
        <v>#N/A</v>
      </c>
      <c r="AY32" s="406" t="e">
        <f t="shared" ca="1" si="24"/>
        <v>#N/A</v>
      </c>
      <c r="AZ32" s="406" t="e">
        <f t="shared" ca="1" si="24"/>
        <v>#N/A</v>
      </c>
      <c r="BA32" s="406" t="e">
        <f t="shared" ca="1" si="24"/>
        <v>#N/A</v>
      </c>
      <c r="BB32" s="406" t="s">
        <v>1103</v>
      </c>
      <c r="BC32" s="407" t="str">
        <f t="shared" ca="1" si="8"/>
        <v/>
      </c>
      <c r="BD32" s="410"/>
      <c r="BE32" s="410"/>
    </row>
    <row r="33" spans="3:57" x14ac:dyDescent="0.25">
      <c r="C33" s="406">
        <f t="shared" si="9"/>
        <v>31</v>
      </c>
      <c r="D33" s="406" t="e">
        <f t="shared" ca="1" si="20"/>
        <v>#N/A</v>
      </c>
      <c r="E33" s="406" t="e">
        <f t="shared" ca="1" si="20"/>
        <v>#N/A</v>
      </c>
      <c r="F33" s="406" t="e">
        <f t="shared" ca="1" si="20"/>
        <v>#N/A</v>
      </c>
      <c r="G33" s="406" t="e">
        <f t="shared" ca="1" si="20"/>
        <v>#N/A</v>
      </c>
      <c r="H33" s="406" t="e">
        <f t="shared" ca="1" si="20"/>
        <v>#N/A</v>
      </c>
      <c r="I33" s="406" t="e">
        <f t="shared" ca="1" si="20"/>
        <v>#N/A</v>
      </c>
      <c r="J33" s="406" t="e">
        <f t="shared" ca="1" si="20"/>
        <v>#N/A</v>
      </c>
      <c r="K33" s="406" t="e">
        <f t="shared" ca="1" si="20"/>
        <v>#N/A</v>
      </c>
      <c r="L33" s="406" t="e">
        <f t="shared" ca="1" si="20"/>
        <v>#N/A</v>
      </c>
      <c r="M33" s="406" t="e">
        <f t="shared" ca="1" si="20"/>
        <v>#N/A</v>
      </c>
      <c r="N33" s="406" t="e">
        <f t="shared" ca="1" si="21"/>
        <v>#N/A</v>
      </c>
      <c r="O33" s="406" t="e">
        <f t="shared" ca="1" si="21"/>
        <v>#N/A</v>
      </c>
      <c r="P33" s="406" t="e">
        <f t="shared" ca="1" si="21"/>
        <v>#N/A</v>
      </c>
      <c r="Q33" s="406" t="e">
        <f t="shared" ca="1" si="21"/>
        <v>#N/A</v>
      </c>
      <c r="R33" s="406" t="e">
        <f t="shared" ca="1" si="21"/>
        <v>#N/A</v>
      </c>
      <c r="S33" s="406" t="e">
        <f t="shared" ca="1" si="21"/>
        <v>#N/A</v>
      </c>
      <c r="T33" s="406" t="e">
        <f t="shared" ca="1" si="21"/>
        <v>#N/A</v>
      </c>
      <c r="U33" s="406" t="e">
        <f t="shared" ca="1" si="21"/>
        <v>#N/A</v>
      </c>
      <c r="V33" s="406" t="e">
        <f t="shared" ca="1" si="21"/>
        <v>#N/A</v>
      </c>
      <c r="W33" s="406" t="e">
        <f t="shared" ca="1" si="21"/>
        <v>#N/A</v>
      </c>
      <c r="X33" s="406" t="e">
        <f t="shared" ca="1" si="22"/>
        <v>#N/A</v>
      </c>
      <c r="Y33" s="406" t="e">
        <f t="shared" ca="1" si="22"/>
        <v>#N/A</v>
      </c>
      <c r="Z33" s="406" t="e">
        <f t="shared" ca="1" si="22"/>
        <v>#N/A</v>
      </c>
      <c r="AA33" s="406" t="e">
        <f t="shared" ca="1" si="22"/>
        <v>#N/A</v>
      </c>
      <c r="AB33" s="406" t="e">
        <f t="shared" ca="1" si="22"/>
        <v>#N/A</v>
      </c>
      <c r="AC33" s="406" t="e">
        <f t="shared" ca="1" si="22"/>
        <v>#N/A</v>
      </c>
      <c r="AD33" s="406" t="e">
        <f t="shared" ca="1" si="22"/>
        <v>#N/A</v>
      </c>
      <c r="AE33" s="406" t="e">
        <f t="shared" ca="1" si="22"/>
        <v>#N/A</v>
      </c>
      <c r="AF33" s="406" t="e">
        <f t="shared" ca="1" si="22"/>
        <v>#N/A</v>
      </c>
      <c r="AG33" s="406" t="e">
        <f t="shared" ca="1" si="22"/>
        <v>#N/A</v>
      </c>
      <c r="AH33" s="406" t="e">
        <f t="shared" ca="1" si="23"/>
        <v>#N/A</v>
      </c>
      <c r="AI33" s="406" t="e">
        <f t="shared" ca="1" si="23"/>
        <v>#N/A</v>
      </c>
      <c r="AJ33" s="406" t="e">
        <f t="shared" ca="1" si="23"/>
        <v>#N/A</v>
      </c>
      <c r="AK33" s="406" t="e">
        <f t="shared" ca="1" si="23"/>
        <v>#N/A</v>
      </c>
      <c r="AL33" s="406" t="e">
        <f t="shared" ca="1" si="23"/>
        <v>#N/A</v>
      </c>
      <c r="AM33" s="406" t="e">
        <f t="shared" ca="1" si="23"/>
        <v>#N/A</v>
      </c>
      <c r="AN33" s="406" t="e">
        <f t="shared" ca="1" si="23"/>
        <v>#N/A</v>
      </c>
      <c r="AO33" s="406" t="e">
        <f t="shared" ca="1" si="23"/>
        <v>#N/A</v>
      </c>
      <c r="AP33" s="406" t="e">
        <f t="shared" ca="1" si="23"/>
        <v>#N/A</v>
      </c>
      <c r="AQ33" s="406" t="e">
        <f t="shared" ca="1" si="23"/>
        <v>#N/A</v>
      </c>
      <c r="AR33" s="406" t="e">
        <f t="shared" ca="1" si="24"/>
        <v>#N/A</v>
      </c>
      <c r="AS33" s="406" t="e">
        <f t="shared" ca="1" si="24"/>
        <v>#N/A</v>
      </c>
      <c r="AT33" s="406" t="e">
        <f t="shared" ca="1" si="24"/>
        <v>#N/A</v>
      </c>
      <c r="AU33" s="406" t="e">
        <f t="shared" ca="1" si="24"/>
        <v>#N/A</v>
      </c>
      <c r="AV33" s="406" t="e">
        <f t="shared" ca="1" si="24"/>
        <v>#N/A</v>
      </c>
      <c r="AW33" s="406" t="e">
        <f t="shared" ca="1" si="24"/>
        <v>#N/A</v>
      </c>
      <c r="AX33" s="406" t="e">
        <f t="shared" ca="1" si="24"/>
        <v>#N/A</v>
      </c>
      <c r="AY33" s="406" t="e">
        <f t="shared" ca="1" si="24"/>
        <v>#N/A</v>
      </c>
      <c r="AZ33" s="406" t="e">
        <f t="shared" ca="1" si="24"/>
        <v>#N/A</v>
      </c>
      <c r="BA33" s="406" t="e">
        <f t="shared" ca="1" si="24"/>
        <v>#N/A</v>
      </c>
      <c r="BB33" s="406" t="s">
        <v>1104</v>
      </c>
      <c r="BC33" s="407" t="str">
        <f t="shared" ca="1" si="8"/>
        <v/>
      </c>
      <c r="BD33" s="410"/>
      <c r="BE33" s="410"/>
    </row>
    <row r="34" spans="3:57" x14ac:dyDescent="0.25">
      <c r="C34" s="406">
        <f t="shared" si="9"/>
        <v>32</v>
      </c>
      <c r="D34" s="406" t="e">
        <f t="shared" ca="1" si="20"/>
        <v>#N/A</v>
      </c>
      <c r="E34" s="406" t="e">
        <f t="shared" ca="1" si="20"/>
        <v>#N/A</v>
      </c>
      <c r="F34" s="406" t="e">
        <f t="shared" ca="1" si="20"/>
        <v>#N/A</v>
      </c>
      <c r="G34" s="406" t="e">
        <f t="shared" ca="1" si="20"/>
        <v>#N/A</v>
      </c>
      <c r="H34" s="406" t="e">
        <f t="shared" ca="1" si="20"/>
        <v>#N/A</v>
      </c>
      <c r="I34" s="406" t="e">
        <f t="shared" ca="1" si="20"/>
        <v>#N/A</v>
      </c>
      <c r="J34" s="406" t="e">
        <f t="shared" ca="1" si="20"/>
        <v>#N/A</v>
      </c>
      <c r="K34" s="406" t="e">
        <f t="shared" ca="1" si="20"/>
        <v>#N/A</v>
      </c>
      <c r="L34" s="406" t="e">
        <f t="shared" ca="1" si="20"/>
        <v>#N/A</v>
      </c>
      <c r="M34" s="406" t="e">
        <f t="shared" ca="1" si="20"/>
        <v>#N/A</v>
      </c>
      <c r="N34" s="406" t="e">
        <f t="shared" ca="1" si="21"/>
        <v>#N/A</v>
      </c>
      <c r="O34" s="406" t="e">
        <f t="shared" ca="1" si="21"/>
        <v>#N/A</v>
      </c>
      <c r="P34" s="406" t="e">
        <f t="shared" ca="1" si="21"/>
        <v>#N/A</v>
      </c>
      <c r="Q34" s="406" t="e">
        <f t="shared" ca="1" si="21"/>
        <v>#N/A</v>
      </c>
      <c r="R34" s="406" t="e">
        <f t="shared" ca="1" si="21"/>
        <v>#N/A</v>
      </c>
      <c r="S34" s="406" t="e">
        <f t="shared" ca="1" si="21"/>
        <v>#N/A</v>
      </c>
      <c r="T34" s="406" t="e">
        <f t="shared" ca="1" si="21"/>
        <v>#N/A</v>
      </c>
      <c r="U34" s="406" t="e">
        <f t="shared" ca="1" si="21"/>
        <v>#N/A</v>
      </c>
      <c r="V34" s="406" t="e">
        <f t="shared" ca="1" si="21"/>
        <v>#N/A</v>
      </c>
      <c r="W34" s="406" t="e">
        <f t="shared" ca="1" si="21"/>
        <v>#N/A</v>
      </c>
      <c r="X34" s="406" t="e">
        <f t="shared" ca="1" si="22"/>
        <v>#N/A</v>
      </c>
      <c r="Y34" s="406" t="e">
        <f t="shared" ca="1" si="22"/>
        <v>#N/A</v>
      </c>
      <c r="Z34" s="406" t="e">
        <f t="shared" ca="1" si="22"/>
        <v>#N/A</v>
      </c>
      <c r="AA34" s="406" t="e">
        <f t="shared" ca="1" si="22"/>
        <v>#N/A</v>
      </c>
      <c r="AB34" s="406" t="e">
        <f t="shared" ca="1" si="22"/>
        <v>#N/A</v>
      </c>
      <c r="AC34" s="406" t="e">
        <f t="shared" ca="1" si="22"/>
        <v>#N/A</v>
      </c>
      <c r="AD34" s="406" t="e">
        <f t="shared" ca="1" si="22"/>
        <v>#N/A</v>
      </c>
      <c r="AE34" s="406" t="e">
        <f t="shared" ca="1" si="22"/>
        <v>#N/A</v>
      </c>
      <c r="AF34" s="406" t="e">
        <f t="shared" ca="1" si="22"/>
        <v>#N/A</v>
      </c>
      <c r="AG34" s="406" t="e">
        <f t="shared" ca="1" si="22"/>
        <v>#N/A</v>
      </c>
      <c r="AH34" s="406" t="e">
        <f t="shared" ca="1" si="23"/>
        <v>#N/A</v>
      </c>
      <c r="AI34" s="406" t="e">
        <f t="shared" ca="1" si="23"/>
        <v>#N/A</v>
      </c>
      <c r="AJ34" s="406" t="e">
        <f t="shared" ca="1" si="23"/>
        <v>#N/A</v>
      </c>
      <c r="AK34" s="406" t="e">
        <f t="shared" ca="1" si="23"/>
        <v>#N/A</v>
      </c>
      <c r="AL34" s="406" t="e">
        <f t="shared" ca="1" si="23"/>
        <v>#N/A</v>
      </c>
      <c r="AM34" s="406" t="e">
        <f t="shared" ca="1" si="23"/>
        <v>#N/A</v>
      </c>
      <c r="AN34" s="406" t="e">
        <f t="shared" ca="1" si="23"/>
        <v>#N/A</v>
      </c>
      <c r="AO34" s="406" t="e">
        <f t="shared" ca="1" si="23"/>
        <v>#N/A</v>
      </c>
      <c r="AP34" s="406" t="e">
        <f t="shared" ca="1" si="23"/>
        <v>#N/A</v>
      </c>
      <c r="AQ34" s="406" t="e">
        <f t="shared" ca="1" si="23"/>
        <v>#N/A</v>
      </c>
      <c r="AR34" s="406" t="e">
        <f t="shared" ca="1" si="24"/>
        <v>#N/A</v>
      </c>
      <c r="AS34" s="406" t="e">
        <f t="shared" ca="1" si="24"/>
        <v>#N/A</v>
      </c>
      <c r="AT34" s="406" t="e">
        <f t="shared" ca="1" si="24"/>
        <v>#N/A</v>
      </c>
      <c r="AU34" s="406" t="e">
        <f t="shared" ca="1" si="24"/>
        <v>#N/A</v>
      </c>
      <c r="AV34" s="406" t="e">
        <f t="shared" ca="1" si="24"/>
        <v>#N/A</v>
      </c>
      <c r="AW34" s="406" t="e">
        <f t="shared" ca="1" si="24"/>
        <v>#N/A</v>
      </c>
      <c r="AX34" s="406" t="e">
        <f t="shared" ca="1" si="24"/>
        <v>#N/A</v>
      </c>
      <c r="AY34" s="406" t="e">
        <f t="shared" ca="1" si="24"/>
        <v>#N/A</v>
      </c>
      <c r="AZ34" s="406" t="e">
        <f t="shared" ca="1" si="24"/>
        <v>#N/A</v>
      </c>
      <c r="BA34" s="406" t="e">
        <f t="shared" ca="1" si="24"/>
        <v>#N/A</v>
      </c>
      <c r="BB34" s="406" t="s">
        <v>1105</v>
      </c>
      <c r="BC34" s="407" t="str">
        <f t="shared" ca="1" si="8"/>
        <v/>
      </c>
      <c r="BD34" s="410"/>
      <c r="BE34" s="410"/>
    </row>
    <row r="35" spans="3:57" x14ac:dyDescent="0.25">
      <c r="C35" s="406">
        <f t="shared" si="9"/>
        <v>33</v>
      </c>
      <c r="D35" s="406" t="e">
        <f t="shared" ca="1" si="20"/>
        <v>#N/A</v>
      </c>
      <c r="E35" s="406" t="e">
        <f t="shared" ca="1" si="20"/>
        <v>#N/A</v>
      </c>
      <c r="F35" s="406" t="e">
        <f t="shared" ca="1" si="20"/>
        <v>#N/A</v>
      </c>
      <c r="G35" s="406" t="e">
        <f t="shared" ca="1" si="20"/>
        <v>#N/A</v>
      </c>
      <c r="H35" s="406" t="e">
        <f t="shared" ca="1" si="20"/>
        <v>#N/A</v>
      </c>
      <c r="I35" s="406" t="e">
        <f t="shared" ca="1" si="20"/>
        <v>#N/A</v>
      </c>
      <c r="J35" s="406" t="e">
        <f t="shared" ca="1" si="20"/>
        <v>#N/A</v>
      </c>
      <c r="K35" s="406" t="e">
        <f t="shared" ca="1" si="20"/>
        <v>#N/A</v>
      </c>
      <c r="L35" s="406" t="e">
        <f t="shared" ca="1" si="20"/>
        <v>#N/A</v>
      </c>
      <c r="M35" s="406" t="e">
        <f t="shared" ca="1" si="20"/>
        <v>#N/A</v>
      </c>
      <c r="N35" s="406" t="e">
        <f t="shared" ca="1" si="21"/>
        <v>#N/A</v>
      </c>
      <c r="O35" s="406" t="e">
        <f t="shared" ca="1" si="21"/>
        <v>#N/A</v>
      </c>
      <c r="P35" s="406" t="e">
        <f t="shared" ca="1" si="21"/>
        <v>#N/A</v>
      </c>
      <c r="Q35" s="406" t="e">
        <f t="shared" ca="1" si="21"/>
        <v>#N/A</v>
      </c>
      <c r="R35" s="406" t="e">
        <f t="shared" ca="1" si="21"/>
        <v>#N/A</v>
      </c>
      <c r="S35" s="406" t="e">
        <f t="shared" ca="1" si="21"/>
        <v>#N/A</v>
      </c>
      <c r="T35" s="406" t="e">
        <f t="shared" ca="1" si="21"/>
        <v>#N/A</v>
      </c>
      <c r="U35" s="406" t="e">
        <f t="shared" ca="1" si="21"/>
        <v>#N/A</v>
      </c>
      <c r="V35" s="406" t="e">
        <f t="shared" ca="1" si="21"/>
        <v>#N/A</v>
      </c>
      <c r="W35" s="406" t="e">
        <f t="shared" ca="1" si="21"/>
        <v>#N/A</v>
      </c>
      <c r="X35" s="406" t="e">
        <f t="shared" ca="1" si="22"/>
        <v>#N/A</v>
      </c>
      <c r="Y35" s="406" t="e">
        <f t="shared" ca="1" si="22"/>
        <v>#N/A</v>
      </c>
      <c r="Z35" s="406" t="e">
        <f t="shared" ca="1" si="22"/>
        <v>#N/A</v>
      </c>
      <c r="AA35" s="406" t="e">
        <f t="shared" ca="1" si="22"/>
        <v>#N/A</v>
      </c>
      <c r="AB35" s="406" t="e">
        <f t="shared" ca="1" si="22"/>
        <v>#N/A</v>
      </c>
      <c r="AC35" s="406" t="e">
        <f t="shared" ca="1" si="22"/>
        <v>#N/A</v>
      </c>
      <c r="AD35" s="406" t="e">
        <f t="shared" ca="1" si="22"/>
        <v>#N/A</v>
      </c>
      <c r="AE35" s="406" t="e">
        <f t="shared" ca="1" si="22"/>
        <v>#N/A</v>
      </c>
      <c r="AF35" s="406" t="e">
        <f t="shared" ca="1" si="22"/>
        <v>#N/A</v>
      </c>
      <c r="AG35" s="406" t="e">
        <f t="shared" ca="1" si="22"/>
        <v>#N/A</v>
      </c>
      <c r="AH35" s="406" t="e">
        <f t="shared" ca="1" si="23"/>
        <v>#N/A</v>
      </c>
      <c r="AI35" s="406" t="e">
        <f t="shared" ca="1" si="23"/>
        <v>#N/A</v>
      </c>
      <c r="AJ35" s="406" t="e">
        <f t="shared" ca="1" si="23"/>
        <v>#N/A</v>
      </c>
      <c r="AK35" s="406" t="e">
        <f t="shared" ca="1" si="23"/>
        <v>#N/A</v>
      </c>
      <c r="AL35" s="406" t="e">
        <f t="shared" ca="1" si="23"/>
        <v>#N/A</v>
      </c>
      <c r="AM35" s="406" t="e">
        <f t="shared" ca="1" si="23"/>
        <v>#N/A</v>
      </c>
      <c r="AN35" s="406" t="e">
        <f t="shared" ca="1" si="23"/>
        <v>#N/A</v>
      </c>
      <c r="AO35" s="406" t="e">
        <f t="shared" ca="1" si="23"/>
        <v>#N/A</v>
      </c>
      <c r="AP35" s="406" t="e">
        <f t="shared" ca="1" si="23"/>
        <v>#N/A</v>
      </c>
      <c r="AQ35" s="406" t="e">
        <f t="shared" ca="1" si="23"/>
        <v>#N/A</v>
      </c>
      <c r="AR35" s="406" t="e">
        <f t="shared" ca="1" si="24"/>
        <v>#N/A</v>
      </c>
      <c r="AS35" s="406" t="e">
        <f t="shared" ca="1" si="24"/>
        <v>#N/A</v>
      </c>
      <c r="AT35" s="406" t="e">
        <f t="shared" ca="1" si="24"/>
        <v>#N/A</v>
      </c>
      <c r="AU35" s="406" t="e">
        <f t="shared" ca="1" si="24"/>
        <v>#N/A</v>
      </c>
      <c r="AV35" s="406" t="e">
        <f t="shared" ca="1" si="24"/>
        <v>#N/A</v>
      </c>
      <c r="AW35" s="406" t="e">
        <f t="shared" ca="1" si="24"/>
        <v>#N/A</v>
      </c>
      <c r="AX35" s="406" t="e">
        <f t="shared" ca="1" si="24"/>
        <v>#N/A</v>
      </c>
      <c r="AY35" s="406" t="e">
        <f t="shared" ca="1" si="24"/>
        <v>#N/A</v>
      </c>
      <c r="AZ35" s="406" t="e">
        <f t="shared" ca="1" si="24"/>
        <v>#N/A</v>
      </c>
      <c r="BA35" s="406" t="e">
        <f t="shared" ca="1" si="24"/>
        <v>#N/A</v>
      </c>
      <c r="BB35" s="406" t="s">
        <v>1106</v>
      </c>
      <c r="BC35" s="407" t="str">
        <f t="shared" ca="1" si="8"/>
        <v/>
      </c>
      <c r="BD35" s="410"/>
      <c r="BE35" s="410"/>
    </row>
    <row r="36" spans="3:57" x14ac:dyDescent="0.25">
      <c r="C36" s="406">
        <f t="shared" si="9"/>
        <v>34</v>
      </c>
      <c r="D36" s="406" t="e">
        <f t="shared" ca="1" si="20"/>
        <v>#N/A</v>
      </c>
      <c r="E36" s="406" t="e">
        <f t="shared" ca="1" si="20"/>
        <v>#N/A</v>
      </c>
      <c r="F36" s="406" t="e">
        <f t="shared" ca="1" si="20"/>
        <v>#N/A</v>
      </c>
      <c r="G36" s="406" t="e">
        <f t="shared" ca="1" si="20"/>
        <v>#N/A</v>
      </c>
      <c r="H36" s="406" t="e">
        <f t="shared" ca="1" si="20"/>
        <v>#N/A</v>
      </c>
      <c r="I36" s="406" t="e">
        <f t="shared" ca="1" si="20"/>
        <v>#N/A</v>
      </c>
      <c r="J36" s="406" t="e">
        <f t="shared" ca="1" si="20"/>
        <v>#N/A</v>
      </c>
      <c r="K36" s="406" t="e">
        <f t="shared" ca="1" si="20"/>
        <v>#N/A</v>
      </c>
      <c r="L36" s="406" t="e">
        <f t="shared" ca="1" si="20"/>
        <v>#N/A</v>
      </c>
      <c r="M36" s="406" t="e">
        <f t="shared" ca="1" si="20"/>
        <v>#N/A</v>
      </c>
      <c r="N36" s="406" t="e">
        <f t="shared" ca="1" si="21"/>
        <v>#N/A</v>
      </c>
      <c r="O36" s="406" t="e">
        <f t="shared" ca="1" si="21"/>
        <v>#N/A</v>
      </c>
      <c r="P36" s="406" t="e">
        <f t="shared" ca="1" si="21"/>
        <v>#N/A</v>
      </c>
      <c r="Q36" s="406" t="e">
        <f t="shared" ca="1" si="21"/>
        <v>#N/A</v>
      </c>
      <c r="R36" s="406" t="e">
        <f t="shared" ca="1" si="21"/>
        <v>#N/A</v>
      </c>
      <c r="S36" s="406" t="e">
        <f t="shared" ca="1" si="21"/>
        <v>#N/A</v>
      </c>
      <c r="T36" s="406" t="e">
        <f t="shared" ca="1" si="21"/>
        <v>#N/A</v>
      </c>
      <c r="U36" s="406" t="e">
        <f t="shared" ca="1" si="21"/>
        <v>#N/A</v>
      </c>
      <c r="V36" s="406" t="e">
        <f t="shared" ca="1" si="21"/>
        <v>#N/A</v>
      </c>
      <c r="W36" s="406" t="e">
        <f t="shared" ca="1" si="21"/>
        <v>#N/A</v>
      </c>
      <c r="X36" s="406" t="e">
        <f t="shared" ca="1" si="22"/>
        <v>#N/A</v>
      </c>
      <c r="Y36" s="406" t="e">
        <f t="shared" ca="1" si="22"/>
        <v>#N/A</v>
      </c>
      <c r="Z36" s="406" t="e">
        <f t="shared" ca="1" si="22"/>
        <v>#N/A</v>
      </c>
      <c r="AA36" s="406" t="e">
        <f t="shared" ca="1" si="22"/>
        <v>#N/A</v>
      </c>
      <c r="AB36" s="406" t="e">
        <f t="shared" ca="1" si="22"/>
        <v>#N/A</v>
      </c>
      <c r="AC36" s="406" t="e">
        <f t="shared" ca="1" si="22"/>
        <v>#N/A</v>
      </c>
      <c r="AD36" s="406" t="e">
        <f t="shared" ca="1" si="22"/>
        <v>#N/A</v>
      </c>
      <c r="AE36" s="406" t="e">
        <f t="shared" ca="1" si="22"/>
        <v>#N/A</v>
      </c>
      <c r="AF36" s="406" t="e">
        <f t="shared" ca="1" si="22"/>
        <v>#N/A</v>
      </c>
      <c r="AG36" s="406" t="e">
        <f t="shared" ca="1" si="22"/>
        <v>#N/A</v>
      </c>
      <c r="AH36" s="406" t="e">
        <f t="shared" ca="1" si="23"/>
        <v>#N/A</v>
      </c>
      <c r="AI36" s="406" t="e">
        <f t="shared" ca="1" si="23"/>
        <v>#N/A</v>
      </c>
      <c r="AJ36" s="406" t="e">
        <f t="shared" ca="1" si="23"/>
        <v>#N/A</v>
      </c>
      <c r="AK36" s="406" t="e">
        <f t="shared" ca="1" si="23"/>
        <v>#N/A</v>
      </c>
      <c r="AL36" s="406" t="e">
        <f t="shared" ca="1" si="23"/>
        <v>#N/A</v>
      </c>
      <c r="AM36" s="406" t="e">
        <f t="shared" ca="1" si="23"/>
        <v>#N/A</v>
      </c>
      <c r="AN36" s="406" t="e">
        <f t="shared" ca="1" si="23"/>
        <v>#N/A</v>
      </c>
      <c r="AO36" s="406" t="e">
        <f t="shared" ca="1" si="23"/>
        <v>#N/A</v>
      </c>
      <c r="AP36" s="406" t="e">
        <f t="shared" ca="1" si="23"/>
        <v>#N/A</v>
      </c>
      <c r="AQ36" s="406" t="e">
        <f t="shared" ca="1" si="23"/>
        <v>#N/A</v>
      </c>
      <c r="AR36" s="406" t="e">
        <f t="shared" ca="1" si="24"/>
        <v>#N/A</v>
      </c>
      <c r="AS36" s="406" t="e">
        <f t="shared" ca="1" si="24"/>
        <v>#N/A</v>
      </c>
      <c r="AT36" s="406" t="e">
        <f t="shared" ca="1" si="24"/>
        <v>#N/A</v>
      </c>
      <c r="AU36" s="406" t="e">
        <f t="shared" ca="1" si="24"/>
        <v>#N/A</v>
      </c>
      <c r="AV36" s="406" t="e">
        <f t="shared" ca="1" si="24"/>
        <v>#N/A</v>
      </c>
      <c r="AW36" s="406" t="e">
        <f t="shared" ca="1" si="24"/>
        <v>#N/A</v>
      </c>
      <c r="AX36" s="406" t="e">
        <f t="shared" ca="1" si="24"/>
        <v>#N/A</v>
      </c>
      <c r="AY36" s="406" t="e">
        <f t="shared" ca="1" si="24"/>
        <v>#N/A</v>
      </c>
      <c r="AZ36" s="406" t="e">
        <f t="shared" ca="1" si="24"/>
        <v>#N/A</v>
      </c>
      <c r="BA36" s="406" t="e">
        <f t="shared" ca="1" si="24"/>
        <v>#N/A</v>
      </c>
      <c r="BB36" s="406" t="s">
        <v>1107</v>
      </c>
      <c r="BC36" s="407" t="str">
        <f t="shared" ca="1" si="8"/>
        <v/>
      </c>
      <c r="BD36" s="410"/>
      <c r="BE36" s="410"/>
    </row>
    <row r="37" spans="3:57" x14ac:dyDescent="0.25">
      <c r="C37" s="406">
        <f t="shared" si="9"/>
        <v>35</v>
      </c>
      <c r="D37" s="406" t="e">
        <f t="shared" ca="1" si="20"/>
        <v>#N/A</v>
      </c>
      <c r="E37" s="406" t="e">
        <f t="shared" ca="1" si="20"/>
        <v>#N/A</v>
      </c>
      <c r="F37" s="406" t="e">
        <f t="shared" ca="1" si="20"/>
        <v>#N/A</v>
      </c>
      <c r="G37" s="406" t="e">
        <f t="shared" ca="1" si="20"/>
        <v>#N/A</v>
      </c>
      <c r="H37" s="406" t="e">
        <f t="shared" ca="1" si="20"/>
        <v>#N/A</v>
      </c>
      <c r="I37" s="406" t="e">
        <f t="shared" ca="1" si="20"/>
        <v>#N/A</v>
      </c>
      <c r="J37" s="406" t="e">
        <f t="shared" ca="1" si="20"/>
        <v>#N/A</v>
      </c>
      <c r="K37" s="406" t="e">
        <f t="shared" ca="1" si="20"/>
        <v>#N/A</v>
      </c>
      <c r="L37" s="406" t="e">
        <f t="shared" ca="1" si="20"/>
        <v>#N/A</v>
      </c>
      <c r="M37" s="406" t="e">
        <f t="shared" ca="1" si="20"/>
        <v>#N/A</v>
      </c>
      <c r="N37" s="406" t="e">
        <f t="shared" ca="1" si="21"/>
        <v>#N/A</v>
      </c>
      <c r="O37" s="406" t="e">
        <f t="shared" ca="1" si="21"/>
        <v>#N/A</v>
      </c>
      <c r="P37" s="406" t="e">
        <f t="shared" ca="1" si="21"/>
        <v>#N/A</v>
      </c>
      <c r="Q37" s="406" t="e">
        <f t="shared" ca="1" si="21"/>
        <v>#N/A</v>
      </c>
      <c r="R37" s="406" t="e">
        <f t="shared" ca="1" si="21"/>
        <v>#N/A</v>
      </c>
      <c r="S37" s="406" t="e">
        <f t="shared" ca="1" si="21"/>
        <v>#N/A</v>
      </c>
      <c r="T37" s="406" t="e">
        <f t="shared" ca="1" si="21"/>
        <v>#N/A</v>
      </c>
      <c r="U37" s="406" t="e">
        <f t="shared" ca="1" si="21"/>
        <v>#N/A</v>
      </c>
      <c r="V37" s="406" t="e">
        <f t="shared" ca="1" si="21"/>
        <v>#N/A</v>
      </c>
      <c r="W37" s="406" t="e">
        <f t="shared" ca="1" si="21"/>
        <v>#N/A</v>
      </c>
      <c r="X37" s="406" t="e">
        <f t="shared" ca="1" si="22"/>
        <v>#N/A</v>
      </c>
      <c r="Y37" s="406" t="e">
        <f t="shared" ca="1" si="22"/>
        <v>#N/A</v>
      </c>
      <c r="Z37" s="406" t="e">
        <f t="shared" ca="1" si="22"/>
        <v>#N/A</v>
      </c>
      <c r="AA37" s="406" t="e">
        <f t="shared" ca="1" si="22"/>
        <v>#N/A</v>
      </c>
      <c r="AB37" s="406" t="e">
        <f t="shared" ca="1" si="22"/>
        <v>#N/A</v>
      </c>
      <c r="AC37" s="406" t="e">
        <f t="shared" ca="1" si="22"/>
        <v>#N/A</v>
      </c>
      <c r="AD37" s="406" t="e">
        <f t="shared" ca="1" si="22"/>
        <v>#N/A</v>
      </c>
      <c r="AE37" s="406" t="e">
        <f t="shared" ca="1" si="22"/>
        <v>#N/A</v>
      </c>
      <c r="AF37" s="406" t="e">
        <f t="shared" ca="1" si="22"/>
        <v>#N/A</v>
      </c>
      <c r="AG37" s="406" t="e">
        <f t="shared" ca="1" si="22"/>
        <v>#N/A</v>
      </c>
      <c r="AH37" s="406" t="e">
        <f t="shared" ca="1" si="23"/>
        <v>#N/A</v>
      </c>
      <c r="AI37" s="406" t="e">
        <f t="shared" ca="1" si="23"/>
        <v>#N/A</v>
      </c>
      <c r="AJ37" s="406" t="e">
        <f t="shared" ca="1" si="23"/>
        <v>#N/A</v>
      </c>
      <c r="AK37" s="406" t="e">
        <f t="shared" ca="1" si="23"/>
        <v>#N/A</v>
      </c>
      <c r="AL37" s="406" t="e">
        <f t="shared" ca="1" si="23"/>
        <v>#N/A</v>
      </c>
      <c r="AM37" s="406" t="e">
        <f t="shared" ca="1" si="23"/>
        <v>#N/A</v>
      </c>
      <c r="AN37" s="406" t="e">
        <f t="shared" ca="1" si="23"/>
        <v>#N/A</v>
      </c>
      <c r="AO37" s="406" t="e">
        <f t="shared" ca="1" si="23"/>
        <v>#N/A</v>
      </c>
      <c r="AP37" s="406" t="e">
        <f t="shared" ca="1" si="23"/>
        <v>#N/A</v>
      </c>
      <c r="AQ37" s="406" t="e">
        <f t="shared" ca="1" si="23"/>
        <v>#N/A</v>
      </c>
      <c r="AR37" s="406" t="e">
        <f t="shared" ca="1" si="24"/>
        <v>#N/A</v>
      </c>
      <c r="AS37" s="406" t="e">
        <f t="shared" ca="1" si="24"/>
        <v>#N/A</v>
      </c>
      <c r="AT37" s="406" t="e">
        <f t="shared" ca="1" si="24"/>
        <v>#N/A</v>
      </c>
      <c r="AU37" s="406" t="e">
        <f t="shared" ca="1" si="24"/>
        <v>#N/A</v>
      </c>
      <c r="AV37" s="406" t="e">
        <f t="shared" ca="1" si="24"/>
        <v>#N/A</v>
      </c>
      <c r="AW37" s="406" t="e">
        <f t="shared" ca="1" si="24"/>
        <v>#N/A</v>
      </c>
      <c r="AX37" s="406" t="e">
        <f t="shared" ca="1" si="24"/>
        <v>#N/A</v>
      </c>
      <c r="AY37" s="406" t="e">
        <f t="shared" ca="1" si="24"/>
        <v>#N/A</v>
      </c>
      <c r="AZ37" s="406" t="e">
        <f t="shared" ca="1" si="24"/>
        <v>#N/A</v>
      </c>
      <c r="BA37" s="406" t="e">
        <f t="shared" ca="1" si="24"/>
        <v>#N/A</v>
      </c>
      <c r="BB37" s="406" t="s">
        <v>1108</v>
      </c>
      <c r="BC37" s="407" t="str">
        <f t="shared" ca="1" si="8"/>
        <v/>
      </c>
      <c r="BD37" s="410"/>
      <c r="BE37" s="410"/>
    </row>
    <row r="38" spans="3:57" x14ac:dyDescent="0.25">
      <c r="C38" s="406">
        <f t="shared" si="9"/>
        <v>36</v>
      </c>
      <c r="D38" s="406" t="e">
        <f t="shared" ca="1" si="20"/>
        <v>#N/A</v>
      </c>
      <c r="E38" s="406" t="e">
        <f t="shared" ca="1" si="20"/>
        <v>#N/A</v>
      </c>
      <c r="F38" s="406" t="e">
        <f t="shared" ca="1" si="20"/>
        <v>#N/A</v>
      </c>
      <c r="G38" s="406" t="e">
        <f t="shared" ca="1" si="20"/>
        <v>#N/A</v>
      </c>
      <c r="H38" s="406" t="e">
        <f t="shared" ca="1" si="20"/>
        <v>#N/A</v>
      </c>
      <c r="I38" s="406" t="e">
        <f t="shared" ca="1" si="20"/>
        <v>#N/A</v>
      </c>
      <c r="J38" s="406" t="e">
        <f t="shared" ca="1" si="20"/>
        <v>#N/A</v>
      </c>
      <c r="K38" s="406" t="e">
        <f t="shared" ca="1" si="20"/>
        <v>#N/A</v>
      </c>
      <c r="L38" s="406" t="e">
        <f t="shared" ca="1" si="20"/>
        <v>#N/A</v>
      </c>
      <c r="M38" s="406" t="e">
        <f t="shared" ca="1" si="20"/>
        <v>#N/A</v>
      </c>
      <c r="N38" s="406" t="e">
        <f t="shared" ca="1" si="21"/>
        <v>#N/A</v>
      </c>
      <c r="O38" s="406" t="e">
        <f t="shared" ca="1" si="21"/>
        <v>#N/A</v>
      </c>
      <c r="P38" s="406" t="e">
        <f t="shared" ca="1" si="21"/>
        <v>#N/A</v>
      </c>
      <c r="Q38" s="406" t="e">
        <f t="shared" ca="1" si="21"/>
        <v>#N/A</v>
      </c>
      <c r="R38" s="406" t="e">
        <f t="shared" ca="1" si="21"/>
        <v>#N/A</v>
      </c>
      <c r="S38" s="406" t="e">
        <f t="shared" ca="1" si="21"/>
        <v>#N/A</v>
      </c>
      <c r="T38" s="406" t="e">
        <f t="shared" ca="1" si="21"/>
        <v>#N/A</v>
      </c>
      <c r="U38" s="406" t="e">
        <f t="shared" ca="1" si="21"/>
        <v>#N/A</v>
      </c>
      <c r="V38" s="406" t="e">
        <f t="shared" ca="1" si="21"/>
        <v>#N/A</v>
      </c>
      <c r="W38" s="406" t="e">
        <f t="shared" ca="1" si="21"/>
        <v>#N/A</v>
      </c>
      <c r="X38" s="406" t="e">
        <f t="shared" ca="1" si="22"/>
        <v>#N/A</v>
      </c>
      <c r="Y38" s="406" t="e">
        <f t="shared" ca="1" si="22"/>
        <v>#N/A</v>
      </c>
      <c r="Z38" s="406" t="e">
        <f t="shared" ca="1" si="22"/>
        <v>#N/A</v>
      </c>
      <c r="AA38" s="406" t="e">
        <f t="shared" ca="1" si="22"/>
        <v>#N/A</v>
      </c>
      <c r="AB38" s="406" t="e">
        <f t="shared" ca="1" si="22"/>
        <v>#N/A</v>
      </c>
      <c r="AC38" s="406" t="e">
        <f t="shared" ca="1" si="22"/>
        <v>#N/A</v>
      </c>
      <c r="AD38" s="406" t="e">
        <f t="shared" ca="1" si="22"/>
        <v>#N/A</v>
      </c>
      <c r="AE38" s="406" t="e">
        <f t="shared" ca="1" si="22"/>
        <v>#N/A</v>
      </c>
      <c r="AF38" s="406" t="e">
        <f t="shared" ca="1" si="22"/>
        <v>#N/A</v>
      </c>
      <c r="AG38" s="406" t="e">
        <f t="shared" ca="1" si="22"/>
        <v>#N/A</v>
      </c>
      <c r="AH38" s="406" t="e">
        <f t="shared" ca="1" si="23"/>
        <v>#N/A</v>
      </c>
      <c r="AI38" s="406" t="e">
        <f t="shared" ca="1" si="23"/>
        <v>#N/A</v>
      </c>
      <c r="AJ38" s="406" t="e">
        <f t="shared" ca="1" si="23"/>
        <v>#N/A</v>
      </c>
      <c r="AK38" s="406" t="e">
        <f t="shared" ca="1" si="23"/>
        <v>#N/A</v>
      </c>
      <c r="AL38" s="406" t="e">
        <f t="shared" ca="1" si="23"/>
        <v>#N/A</v>
      </c>
      <c r="AM38" s="406" t="e">
        <f t="shared" ca="1" si="23"/>
        <v>#N/A</v>
      </c>
      <c r="AN38" s="406" t="e">
        <f t="shared" ca="1" si="23"/>
        <v>#N/A</v>
      </c>
      <c r="AO38" s="406" t="e">
        <f t="shared" ca="1" si="23"/>
        <v>#N/A</v>
      </c>
      <c r="AP38" s="406" t="e">
        <f t="shared" ca="1" si="23"/>
        <v>#N/A</v>
      </c>
      <c r="AQ38" s="406" t="e">
        <f t="shared" ca="1" si="23"/>
        <v>#N/A</v>
      </c>
      <c r="AR38" s="406" t="e">
        <f t="shared" ca="1" si="24"/>
        <v>#N/A</v>
      </c>
      <c r="AS38" s="406" t="e">
        <f t="shared" ca="1" si="24"/>
        <v>#N/A</v>
      </c>
      <c r="AT38" s="406" t="e">
        <f t="shared" ca="1" si="24"/>
        <v>#N/A</v>
      </c>
      <c r="AU38" s="406" t="e">
        <f t="shared" ca="1" si="24"/>
        <v>#N/A</v>
      </c>
      <c r="AV38" s="406" t="e">
        <f t="shared" ca="1" si="24"/>
        <v>#N/A</v>
      </c>
      <c r="AW38" s="406" t="e">
        <f t="shared" ca="1" si="24"/>
        <v>#N/A</v>
      </c>
      <c r="AX38" s="406" t="e">
        <f t="shared" ca="1" si="24"/>
        <v>#N/A</v>
      </c>
      <c r="AY38" s="406" t="e">
        <f t="shared" ca="1" si="24"/>
        <v>#N/A</v>
      </c>
      <c r="AZ38" s="406" t="e">
        <f t="shared" ca="1" si="24"/>
        <v>#N/A</v>
      </c>
      <c r="BA38" s="406" t="e">
        <f t="shared" ca="1" si="24"/>
        <v>#N/A</v>
      </c>
      <c r="BB38" s="406" t="s">
        <v>1109</v>
      </c>
      <c r="BC38" s="407" t="str">
        <f t="shared" ca="1" si="8"/>
        <v/>
      </c>
      <c r="BD38" s="410"/>
      <c r="BE38" s="410"/>
    </row>
    <row r="39" spans="3:57" x14ac:dyDescent="0.25">
      <c r="C39" s="406">
        <f t="shared" si="9"/>
        <v>37</v>
      </c>
      <c r="D39" s="406" t="e">
        <f t="shared" ca="1" si="20"/>
        <v>#N/A</v>
      </c>
      <c r="E39" s="406" t="e">
        <f t="shared" ca="1" si="20"/>
        <v>#N/A</v>
      </c>
      <c r="F39" s="406" t="e">
        <f t="shared" ca="1" si="20"/>
        <v>#N/A</v>
      </c>
      <c r="G39" s="406" t="e">
        <f t="shared" ca="1" si="20"/>
        <v>#N/A</v>
      </c>
      <c r="H39" s="406" t="e">
        <f t="shared" ca="1" si="20"/>
        <v>#N/A</v>
      </c>
      <c r="I39" s="406" t="e">
        <f t="shared" ca="1" si="20"/>
        <v>#N/A</v>
      </c>
      <c r="J39" s="406" t="e">
        <f t="shared" ca="1" si="20"/>
        <v>#N/A</v>
      </c>
      <c r="K39" s="406" t="e">
        <f t="shared" ca="1" si="20"/>
        <v>#N/A</v>
      </c>
      <c r="L39" s="406" t="e">
        <f t="shared" ca="1" si="20"/>
        <v>#N/A</v>
      </c>
      <c r="M39" s="406" t="e">
        <f t="shared" ca="1" si="20"/>
        <v>#N/A</v>
      </c>
      <c r="N39" s="406" t="e">
        <f t="shared" ca="1" si="21"/>
        <v>#N/A</v>
      </c>
      <c r="O39" s="406" t="e">
        <f t="shared" ca="1" si="21"/>
        <v>#N/A</v>
      </c>
      <c r="P39" s="406" t="e">
        <f t="shared" ca="1" si="21"/>
        <v>#N/A</v>
      </c>
      <c r="Q39" s="406" t="e">
        <f t="shared" ca="1" si="21"/>
        <v>#N/A</v>
      </c>
      <c r="R39" s="406" t="e">
        <f t="shared" ca="1" si="21"/>
        <v>#N/A</v>
      </c>
      <c r="S39" s="406" t="e">
        <f t="shared" ca="1" si="21"/>
        <v>#N/A</v>
      </c>
      <c r="T39" s="406" t="e">
        <f t="shared" ca="1" si="21"/>
        <v>#N/A</v>
      </c>
      <c r="U39" s="406" t="e">
        <f t="shared" ca="1" si="21"/>
        <v>#N/A</v>
      </c>
      <c r="V39" s="406" t="e">
        <f t="shared" ca="1" si="21"/>
        <v>#N/A</v>
      </c>
      <c r="W39" s="406" t="e">
        <f t="shared" ca="1" si="21"/>
        <v>#N/A</v>
      </c>
      <c r="X39" s="406" t="e">
        <f t="shared" ca="1" si="22"/>
        <v>#N/A</v>
      </c>
      <c r="Y39" s="406" t="e">
        <f t="shared" ca="1" si="22"/>
        <v>#N/A</v>
      </c>
      <c r="Z39" s="406" t="e">
        <f t="shared" ca="1" si="22"/>
        <v>#N/A</v>
      </c>
      <c r="AA39" s="406" t="e">
        <f t="shared" ca="1" si="22"/>
        <v>#N/A</v>
      </c>
      <c r="AB39" s="406" t="e">
        <f t="shared" ca="1" si="22"/>
        <v>#N/A</v>
      </c>
      <c r="AC39" s="406" t="e">
        <f t="shared" ca="1" si="22"/>
        <v>#N/A</v>
      </c>
      <c r="AD39" s="406" t="e">
        <f t="shared" ca="1" si="22"/>
        <v>#N/A</v>
      </c>
      <c r="AE39" s="406" t="e">
        <f t="shared" ca="1" si="22"/>
        <v>#N/A</v>
      </c>
      <c r="AF39" s="406" t="e">
        <f t="shared" ca="1" si="22"/>
        <v>#N/A</v>
      </c>
      <c r="AG39" s="406" t="e">
        <f t="shared" ca="1" si="22"/>
        <v>#N/A</v>
      </c>
      <c r="AH39" s="406" t="e">
        <f t="shared" ca="1" si="23"/>
        <v>#N/A</v>
      </c>
      <c r="AI39" s="406" t="e">
        <f t="shared" ca="1" si="23"/>
        <v>#N/A</v>
      </c>
      <c r="AJ39" s="406" t="e">
        <f t="shared" ca="1" si="23"/>
        <v>#N/A</v>
      </c>
      <c r="AK39" s="406" t="e">
        <f t="shared" ca="1" si="23"/>
        <v>#N/A</v>
      </c>
      <c r="AL39" s="406" t="e">
        <f t="shared" ca="1" si="23"/>
        <v>#N/A</v>
      </c>
      <c r="AM39" s="406" t="e">
        <f t="shared" ca="1" si="23"/>
        <v>#N/A</v>
      </c>
      <c r="AN39" s="406" t="e">
        <f t="shared" ca="1" si="23"/>
        <v>#N/A</v>
      </c>
      <c r="AO39" s="406" t="e">
        <f t="shared" ca="1" si="23"/>
        <v>#N/A</v>
      </c>
      <c r="AP39" s="406" t="e">
        <f t="shared" ca="1" si="23"/>
        <v>#N/A</v>
      </c>
      <c r="AQ39" s="406" t="e">
        <f t="shared" ca="1" si="23"/>
        <v>#N/A</v>
      </c>
      <c r="AR39" s="406" t="e">
        <f t="shared" ca="1" si="24"/>
        <v>#N/A</v>
      </c>
      <c r="AS39" s="406" t="e">
        <f t="shared" ca="1" si="24"/>
        <v>#N/A</v>
      </c>
      <c r="AT39" s="406" t="e">
        <f t="shared" ca="1" si="24"/>
        <v>#N/A</v>
      </c>
      <c r="AU39" s="406" t="e">
        <f t="shared" ca="1" si="24"/>
        <v>#N/A</v>
      </c>
      <c r="AV39" s="406" t="e">
        <f t="shared" ca="1" si="24"/>
        <v>#N/A</v>
      </c>
      <c r="AW39" s="406" t="e">
        <f t="shared" ca="1" si="24"/>
        <v>#N/A</v>
      </c>
      <c r="AX39" s="406" t="e">
        <f t="shared" ca="1" si="24"/>
        <v>#N/A</v>
      </c>
      <c r="AY39" s="406" t="e">
        <f t="shared" ca="1" si="24"/>
        <v>#N/A</v>
      </c>
      <c r="AZ39" s="406" t="e">
        <f t="shared" ca="1" si="24"/>
        <v>#N/A</v>
      </c>
      <c r="BA39" s="406" t="e">
        <f t="shared" ca="1" si="24"/>
        <v>#N/A</v>
      </c>
      <c r="BB39" s="406" t="s">
        <v>1110</v>
      </c>
      <c r="BC39" s="407" t="str">
        <f t="shared" ca="1" si="8"/>
        <v/>
      </c>
      <c r="BD39" s="410"/>
      <c r="BE39" s="410"/>
    </row>
    <row r="40" spans="3:57" x14ac:dyDescent="0.25">
      <c r="C40" s="406">
        <f t="shared" si="9"/>
        <v>38</v>
      </c>
      <c r="D40" s="406" t="e">
        <f t="shared" ca="1" si="20"/>
        <v>#N/A</v>
      </c>
      <c r="E40" s="406" t="e">
        <f t="shared" ca="1" si="20"/>
        <v>#N/A</v>
      </c>
      <c r="F40" s="406" t="e">
        <f t="shared" ca="1" si="20"/>
        <v>#N/A</v>
      </c>
      <c r="G40" s="406" t="e">
        <f t="shared" ca="1" si="20"/>
        <v>#N/A</v>
      </c>
      <c r="H40" s="406" t="e">
        <f t="shared" ca="1" si="20"/>
        <v>#N/A</v>
      </c>
      <c r="I40" s="406" t="e">
        <f t="shared" ca="1" si="20"/>
        <v>#N/A</v>
      </c>
      <c r="J40" s="406" t="e">
        <f t="shared" ca="1" si="20"/>
        <v>#N/A</v>
      </c>
      <c r="K40" s="406" t="e">
        <f t="shared" ca="1" si="20"/>
        <v>#N/A</v>
      </c>
      <c r="L40" s="406" t="e">
        <f t="shared" ca="1" si="20"/>
        <v>#N/A</v>
      </c>
      <c r="M40" s="406" t="e">
        <f t="shared" ca="1" si="20"/>
        <v>#N/A</v>
      </c>
      <c r="N40" s="406" t="e">
        <f t="shared" ca="1" si="21"/>
        <v>#N/A</v>
      </c>
      <c r="O40" s="406" t="e">
        <f t="shared" ca="1" si="21"/>
        <v>#N/A</v>
      </c>
      <c r="P40" s="406" t="e">
        <f t="shared" ca="1" si="21"/>
        <v>#N/A</v>
      </c>
      <c r="Q40" s="406" t="e">
        <f t="shared" ca="1" si="21"/>
        <v>#N/A</v>
      </c>
      <c r="R40" s="406" t="e">
        <f t="shared" ca="1" si="21"/>
        <v>#N/A</v>
      </c>
      <c r="S40" s="406" t="e">
        <f t="shared" ca="1" si="21"/>
        <v>#N/A</v>
      </c>
      <c r="T40" s="406" t="e">
        <f t="shared" ca="1" si="21"/>
        <v>#N/A</v>
      </c>
      <c r="U40" s="406" t="e">
        <f t="shared" ca="1" si="21"/>
        <v>#N/A</v>
      </c>
      <c r="V40" s="406" t="e">
        <f t="shared" ca="1" si="21"/>
        <v>#N/A</v>
      </c>
      <c r="W40" s="406" t="e">
        <f t="shared" ca="1" si="21"/>
        <v>#N/A</v>
      </c>
      <c r="X40" s="406" t="e">
        <f t="shared" ca="1" si="22"/>
        <v>#N/A</v>
      </c>
      <c r="Y40" s="406" t="e">
        <f t="shared" ca="1" si="22"/>
        <v>#N/A</v>
      </c>
      <c r="Z40" s="406" t="e">
        <f t="shared" ca="1" si="22"/>
        <v>#N/A</v>
      </c>
      <c r="AA40" s="406" t="e">
        <f t="shared" ca="1" si="22"/>
        <v>#N/A</v>
      </c>
      <c r="AB40" s="406" t="e">
        <f t="shared" ca="1" si="22"/>
        <v>#N/A</v>
      </c>
      <c r="AC40" s="406" t="e">
        <f t="shared" ca="1" si="22"/>
        <v>#N/A</v>
      </c>
      <c r="AD40" s="406" t="e">
        <f t="shared" ca="1" si="22"/>
        <v>#N/A</v>
      </c>
      <c r="AE40" s="406" t="e">
        <f t="shared" ca="1" si="22"/>
        <v>#N/A</v>
      </c>
      <c r="AF40" s="406" t="e">
        <f t="shared" ca="1" si="22"/>
        <v>#N/A</v>
      </c>
      <c r="AG40" s="406" t="e">
        <f t="shared" ca="1" si="22"/>
        <v>#N/A</v>
      </c>
      <c r="AH40" s="406" t="e">
        <f t="shared" ca="1" si="23"/>
        <v>#N/A</v>
      </c>
      <c r="AI40" s="406" t="e">
        <f t="shared" ca="1" si="23"/>
        <v>#N/A</v>
      </c>
      <c r="AJ40" s="406" t="e">
        <f t="shared" ca="1" si="23"/>
        <v>#N/A</v>
      </c>
      <c r="AK40" s="406" t="e">
        <f t="shared" ca="1" si="23"/>
        <v>#N/A</v>
      </c>
      <c r="AL40" s="406" t="e">
        <f t="shared" ca="1" si="23"/>
        <v>#N/A</v>
      </c>
      <c r="AM40" s="406" t="e">
        <f t="shared" ca="1" si="23"/>
        <v>#N/A</v>
      </c>
      <c r="AN40" s="406" t="e">
        <f t="shared" ca="1" si="23"/>
        <v>#N/A</v>
      </c>
      <c r="AO40" s="406" t="e">
        <f t="shared" ca="1" si="23"/>
        <v>#N/A</v>
      </c>
      <c r="AP40" s="406" t="e">
        <f t="shared" ca="1" si="23"/>
        <v>#N/A</v>
      </c>
      <c r="AQ40" s="406" t="e">
        <f t="shared" ca="1" si="23"/>
        <v>#N/A</v>
      </c>
      <c r="AR40" s="406" t="e">
        <f t="shared" ca="1" si="24"/>
        <v>#N/A</v>
      </c>
      <c r="AS40" s="406" t="e">
        <f t="shared" ca="1" si="24"/>
        <v>#N/A</v>
      </c>
      <c r="AT40" s="406" t="e">
        <f t="shared" ca="1" si="24"/>
        <v>#N/A</v>
      </c>
      <c r="AU40" s="406" t="e">
        <f t="shared" ca="1" si="24"/>
        <v>#N/A</v>
      </c>
      <c r="AV40" s="406" t="e">
        <f t="shared" ca="1" si="24"/>
        <v>#N/A</v>
      </c>
      <c r="AW40" s="406" t="e">
        <f t="shared" ca="1" si="24"/>
        <v>#N/A</v>
      </c>
      <c r="AX40" s="406" t="e">
        <f t="shared" ca="1" si="24"/>
        <v>#N/A</v>
      </c>
      <c r="AY40" s="406" t="e">
        <f t="shared" ca="1" si="24"/>
        <v>#N/A</v>
      </c>
      <c r="AZ40" s="406" t="e">
        <f t="shared" ca="1" si="24"/>
        <v>#N/A</v>
      </c>
      <c r="BA40" s="406" t="e">
        <f t="shared" ca="1" si="24"/>
        <v>#N/A</v>
      </c>
      <c r="BB40" s="406" t="s">
        <v>1111</v>
      </c>
      <c r="BC40" s="407" t="str">
        <f t="shared" ca="1" si="8"/>
        <v/>
      </c>
      <c r="BD40" s="410"/>
      <c r="BE40" s="410"/>
    </row>
    <row r="41" spans="3:57" x14ac:dyDescent="0.25">
      <c r="C41" s="406">
        <f t="shared" si="9"/>
        <v>39</v>
      </c>
      <c r="D41" s="406" t="e">
        <f t="shared" ca="1" si="20"/>
        <v>#N/A</v>
      </c>
      <c r="E41" s="406" t="e">
        <f t="shared" ca="1" si="20"/>
        <v>#N/A</v>
      </c>
      <c r="F41" s="406" t="e">
        <f t="shared" ca="1" si="20"/>
        <v>#N/A</v>
      </c>
      <c r="G41" s="406" t="e">
        <f t="shared" ca="1" si="20"/>
        <v>#N/A</v>
      </c>
      <c r="H41" s="406" t="e">
        <f t="shared" ca="1" si="20"/>
        <v>#N/A</v>
      </c>
      <c r="I41" s="406" t="e">
        <f t="shared" ca="1" si="20"/>
        <v>#N/A</v>
      </c>
      <c r="J41" s="406" t="e">
        <f t="shared" ca="1" si="20"/>
        <v>#N/A</v>
      </c>
      <c r="K41" s="406" t="e">
        <f t="shared" ca="1" si="20"/>
        <v>#N/A</v>
      </c>
      <c r="L41" s="406" t="e">
        <f t="shared" ca="1" si="20"/>
        <v>#N/A</v>
      </c>
      <c r="M41" s="406" t="e">
        <f t="shared" ca="1" si="20"/>
        <v>#N/A</v>
      </c>
      <c r="N41" s="406" t="e">
        <f t="shared" ca="1" si="21"/>
        <v>#N/A</v>
      </c>
      <c r="O41" s="406" t="e">
        <f t="shared" ca="1" si="21"/>
        <v>#N/A</v>
      </c>
      <c r="P41" s="406" t="e">
        <f t="shared" ca="1" si="21"/>
        <v>#N/A</v>
      </c>
      <c r="Q41" s="406" t="e">
        <f t="shared" ca="1" si="21"/>
        <v>#N/A</v>
      </c>
      <c r="R41" s="406" t="e">
        <f t="shared" ca="1" si="21"/>
        <v>#N/A</v>
      </c>
      <c r="S41" s="406" t="e">
        <f t="shared" ca="1" si="21"/>
        <v>#N/A</v>
      </c>
      <c r="T41" s="406" t="e">
        <f t="shared" ca="1" si="21"/>
        <v>#N/A</v>
      </c>
      <c r="U41" s="406" t="e">
        <f t="shared" ca="1" si="21"/>
        <v>#N/A</v>
      </c>
      <c r="V41" s="406" t="e">
        <f t="shared" ca="1" si="21"/>
        <v>#N/A</v>
      </c>
      <c r="W41" s="406" t="e">
        <f t="shared" ca="1" si="21"/>
        <v>#N/A</v>
      </c>
      <c r="X41" s="406" t="e">
        <f t="shared" ca="1" si="22"/>
        <v>#N/A</v>
      </c>
      <c r="Y41" s="406" t="e">
        <f t="shared" ca="1" si="22"/>
        <v>#N/A</v>
      </c>
      <c r="Z41" s="406" t="e">
        <f t="shared" ca="1" si="22"/>
        <v>#N/A</v>
      </c>
      <c r="AA41" s="406" t="e">
        <f t="shared" ca="1" si="22"/>
        <v>#N/A</v>
      </c>
      <c r="AB41" s="406" t="e">
        <f t="shared" ca="1" si="22"/>
        <v>#N/A</v>
      </c>
      <c r="AC41" s="406" t="e">
        <f t="shared" ca="1" si="22"/>
        <v>#N/A</v>
      </c>
      <c r="AD41" s="406" t="e">
        <f t="shared" ca="1" si="22"/>
        <v>#N/A</v>
      </c>
      <c r="AE41" s="406" t="e">
        <f t="shared" ca="1" si="22"/>
        <v>#N/A</v>
      </c>
      <c r="AF41" s="406" t="e">
        <f t="shared" ca="1" si="22"/>
        <v>#N/A</v>
      </c>
      <c r="AG41" s="406" t="e">
        <f t="shared" ca="1" si="22"/>
        <v>#N/A</v>
      </c>
      <c r="AH41" s="406" t="e">
        <f t="shared" ca="1" si="23"/>
        <v>#N/A</v>
      </c>
      <c r="AI41" s="406" t="e">
        <f t="shared" ca="1" si="23"/>
        <v>#N/A</v>
      </c>
      <c r="AJ41" s="406" t="e">
        <f t="shared" ca="1" si="23"/>
        <v>#N/A</v>
      </c>
      <c r="AK41" s="406" t="e">
        <f t="shared" ca="1" si="23"/>
        <v>#N/A</v>
      </c>
      <c r="AL41" s="406" t="e">
        <f t="shared" ca="1" si="23"/>
        <v>#N/A</v>
      </c>
      <c r="AM41" s="406" t="e">
        <f t="shared" ca="1" si="23"/>
        <v>#N/A</v>
      </c>
      <c r="AN41" s="406" t="e">
        <f t="shared" ca="1" si="23"/>
        <v>#N/A</v>
      </c>
      <c r="AO41" s="406" t="e">
        <f t="shared" ca="1" si="23"/>
        <v>#N/A</v>
      </c>
      <c r="AP41" s="406" t="e">
        <f t="shared" ca="1" si="23"/>
        <v>#N/A</v>
      </c>
      <c r="AQ41" s="406" t="e">
        <f t="shared" ca="1" si="23"/>
        <v>#N/A</v>
      </c>
      <c r="AR41" s="406" t="e">
        <f t="shared" ca="1" si="24"/>
        <v>#N/A</v>
      </c>
      <c r="AS41" s="406" t="e">
        <f t="shared" ca="1" si="24"/>
        <v>#N/A</v>
      </c>
      <c r="AT41" s="406" t="e">
        <f t="shared" ca="1" si="24"/>
        <v>#N/A</v>
      </c>
      <c r="AU41" s="406" t="e">
        <f t="shared" ca="1" si="24"/>
        <v>#N/A</v>
      </c>
      <c r="AV41" s="406" t="e">
        <f t="shared" ca="1" si="24"/>
        <v>#N/A</v>
      </c>
      <c r="AW41" s="406" t="e">
        <f t="shared" ca="1" si="24"/>
        <v>#N/A</v>
      </c>
      <c r="AX41" s="406" t="e">
        <f t="shared" ca="1" si="24"/>
        <v>#N/A</v>
      </c>
      <c r="AY41" s="406" t="e">
        <f t="shared" ca="1" si="24"/>
        <v>#N/A</v>
      </c>
      <c r="AZ41" s="406" t="e">
        <f t="shared" ca="1" si="24"/>
        <v>#N/A</v>
      </c>
      <c r="BA41" s="406" t="e">
        <f t="shared" ca="1" si="24"/>
        <v>#N/A</v>
      </c>
      <c r="BB41" s="406" t="s">
        <v>1112</v>
      </c>
      <c r="BC41" s="407" t="str">
        <f t="shared" ca="1" si="8"/>
        <v/>
      </c>
      <c r="BD41" s="410"/>
      <c r="BE41" s="410"/>
    </row>
    <row r="42" spans="3:57" x14ac:dyDescent="0.25">
      <c r="C42" s="406">
        <f t="shared" si="9"/>
        <v>40</v>
      </c>
      <c r="D42" s="406" t="e">
        <f t="shared" ref="D42:M51" ca="1" si="25">TRIM(INDIRECT("'" &amp; "TNX RTF" &amp; "'!" &amp; ADDRESS($A$3+$C42,D$1)))</f>
        <v>#N/A</v>
      </c>
      <c r="E42" s="406" t="e">
        <f t="shared" ca="1" si="25"/>
        <v>#N/A</v>
      </c>
      <c r="F42" s="406" t="e">
        <f t="shared" ca="1" si="25"/>
        <v>#N/A</v>
      </c>
      <c r="G42" s="406" t="e">
        <f t="shared" ca="1" si="25"/>
        <v>#N/A</v>
      </c>
      <c r="H42" s="406" t="e">
        <f t="shared" ca="1" si="25"/>
        <v>#N/A</v>
      </c>
      <c r="I42" s="406" t="e">
        <f t="shared" ca="1" si="25"/>
        <v>#N/A</v>
      </c>
      <c r="J42" s="406" t="e">
        <f t="shared" ca="1" si="25"/>
        <v>#N/A</v>
      </c>
      <c r="K42" s="406" t="e">
        <f t="shared" ca="1" si="25"/>
        <v>#N/A</v>
      </c>
      <c r="L42" s="406" t="e">
        <f t="shared" ca="1" si="25"/>
        <v>#N/A</v>
      </c>
      <c r="M42" s="406" t="e">
        <f t="shared" ca="1" si="25"/>
        <v>#N/A</v>
      </c>
      <c r="N42" s="406" t="e">
        <f t="shared" ref="N42:W51" ca="1" si="26">TRIM(INDIRECT("'" &amp; "TNX RTF" &amp; "'!" &amp; ADDRESS($A$3+$C42,N$1)))</f>
        <v>#N/A</v>
      </c>
      <c r="O42" s="406" t="e">
        <f t="shared" ca="1" si="26"/>
        <v>#N/A</v>
      </c>
      <c r="P42" s="406" t="e">
        <f t="shared" ca="1" si="26"/>
        <v>#N/A</v>
      </c>
      <c r="Q42" s="406" t="e">
        <f t="shared" ca="1" si="26"/>
        <v>#N/A</v>
      </c>
      <c r="R42" s="406" t="e">
        <f t="shared" ca="1" si="26"/>
        <v>#N/A</v>
      </c>
      <c r="S42" s="406" t="e">
        <f t="shared" ca="1" si="26"/>
        <v>#N/A</v>
      </c>
      <c r="T42" s="406" t="e">
        <f t="shared" ca="1" si="26"/>
        <v>#N/A</v>
      </c>
      <c r="U42" s="406" t="e">
        <f t="shared" ca="1" si="26"/>
        <v>#N/A</v>
      </c>
      <c r="V42" s="406" t="e">
        <f t="shared" ca="1" si="26"/>
        <v>#N/A</v>
      </c>
      <c r="W42" s="406" t="e">
        <f t="shared" ca="1" si="26"/>
        <v>#N/A</v>
      </c>
      <c r="X42" s="406" t="e">
        <f t="shared" ref="X42:AG51" ca="1" si="27">TRIM(INDIRECT("'" &amp; "TNX RTF" &amp; "'!" &amp; ADDRESS($A$3+$C42,X$1)))</f>
        <v>#N/A</v>
      </c>
      <c r="Y42" s="406" t="e">
        <f t="shared" ca="1" si="27"/>
        <v>#N/A</v>
      </c>
      <c r="Z42" s="406" t="e">
        <f t="shared" ca="1" si="27"/>
        <v>#N/A</v>
      </c>
      <c r="AA42" s="406" t="e">
        <f t="shared" ca="1" si="27"/>
        <v>#N/A</v>
      </c>
      <c r="AB42" s="406" t="e">
        <f t="shared" ca="1" si="27"/>
        <v>#N/A</v>
      </c>
      <c r="AC42" s="406" t="e">
        <f t="shared" ca="1" si="27"/>
        <v>#N/A</v>
      </c>
      <c r="AD42" s="406" t="e">
        <f t="shared" ca="1" si="27"/>
        <v>#N/A</v>
      </c>
      <c r="AE42" s="406" t="e">
        <f t="shared" ca="1" si="27"/>
        <v>#N/A</v>
      </c>
      <c r="AF42" s="406" t="e">
        <f t="shared" ca="1" si="27"/>
        <v>#N/A</v>
      </c>
      <c r="AG42" s="406" t="e">
        <f t="shared" ca="1" si="27"/>
        <v>#N/A</v>
      </c>
      <c r="AH42" s="406" t="e">
        <f t="shared" ref="AH42:AQ51" ca="1" si="28">TRIM(INDIRECT("'" &amp; "TNX RTF" &amp; "'!" &amp; ADDRESS($A$3+$C42,AH$1)))</f>
        <v>#N/A</v>
      </c>
      <c r="AI42" s="406" t="e">
        <f t="shared" ca="1" si="28"/>
        <v>#N/A</v>
      </c>
      <c r="AJ42" s="406" t="e">
        <f t="shared" ca="1" si="28"/>
        <v>#N/A</v>
      </c>
      <c r="AK42" s="406" t="e">
        <f t="shared" ca="1" si="28"/>
        <v>#N/A</v>
      </c>
      <c r="AL42" s="406" t="e">
        <f t="shared" ca="1" si="28"/>
        <v>#N/A</v>
      </c>
      <c r="AM42" s="406" t="e">
        <f t="shared" ca="1" si="28"/>
        <v>#N/A</v>
      </c>
      <c r="AN42" s="406" t="e">
        <f t="shared" ca="1" si="28"/>
        <v>#N/A</v>
      </c>
      <c r="AO42" s="406" t="e">
        <f t="shared" ca="1" si="28"/>
        <v>#N/A</v>
      </c>
      <c r="AP42" s="406" t="e">
        <f t="shared" ca="1" si="28"/>
        <v>#N/A</v>
      </c>
      <c r="AQ42" s="406" t="e">
        <f t="shared" ca="1" si="28"/>
        <v>#N/A</v>
      </c>
      <c r="AR42" s="406" t="e">
        <f t="shared" ref="AR42:BA51" ca="1" si="29">TRIM(INDIRECT("'" &amp; "TNX RTF" &amp; "'!" &amp; ADDRESS($A$3+$C42,AR$1)))</f>
        <v>#N/A</v>
      </c>
      <c r="AS42" s="406" t="e">
        <f t="shared" ca="1" si="29"/>
        <v>#N/A</v>
      </c>
      <c r="AT42" s="406" t="e">
        <f t="shared" ca="1" si="29"/>
        <v>#N/A</v>
      </c>
      <c r="AU42" s="406" t="e">
        <f t="shared" ca="1" si="29"/>
        <v>#N/A</v>
      </c>
      <c r="AV42" s="406" t="e">
        <f t="shared" ca="1" si="29"/>
        <v>#N/A</v>
      </c>
      <c r="AW42" s="406" t="e">
        <f t="shared" ca="1" si="29"/>
        <v>#N/A</v>
      </c>
      <c r="AX42" s="406" t="e">
        <f t="shared" ca="1" si="29"/>
        <v>#N/A</v>
      </c>
      <c r="AY42" s="406" t="e">
        <f t="shared" ca="1" si="29"/>
        <v>#N/A</v>
      </c>
      <c r="AZ42" s="406" t="e">
        <f t="shared" ca="1" si="29"/>
        <v>#N/A</v>
      </c>
      <c r="BA42" s="406" t="e">
        <f t="shared" ca="1" si="29"/>
        <v>#N/A</v>
      </c>
      <c r="BB42" s="406" t="s">
        <v>1113</v>
      </c>
      <c r="BC42" s="407" t="str">
        <f t="shared" ca="1" si="8"/>
        <v/>
      </c>
      <c r="BD42" s="410"/>
      <c r="BE42" s="410"/>
    </row>
    <row r="43" spans="3:57" x14ac:dyDescent="0.25">
      <c r="C43" s="406">
        <f t="shared" si="9"/>
        <v>41</v>
      </c>
      <c r="D43" s="406" t="e">
        <f t="shared" ca="1" si="25"/>
        <v>#N/A</v>
      </c>
      <c r="E43" s="406" t="e">
        <f t="shared" ca="1" si="25"/>
        <v>#N/A</v>
      </c>
      <c r="F43" s="406" t="e">
        <f t="shared" ca="1" si="25"/>
        <v>#N/A</v>
      </c>
      <c r="G43" s="406" t="e">
        <f t="shared" ca="1" si="25"/>
        <v>#N/A</v>
      </c>
      <c r="H43" s="406" t="e">
        <f t="shared" ca="1" si="25"/>
        <v>#N/A</v>
      </c>
      <c r="I43" s="406" t="e">
        <f t="shared" ca="1" si="25"/>
        <v>#N/A</v>
      </c>
      <c r="J43" s="406" t="e">
        <f t="shared" ca="1" si="25"/>
        <v>#N/A</v>
      </c>
      <c r="K43" s="406" t="e">
        <f t="shared" ca="1" si="25"/>
        <v>#N/A</v>
      </c>
      <c r="L43" s="406" t="e">
        <f t="shared" ca="1" si="25"/>
        <v>#N/A</v>
      </c>
      <c r="M43" s="406" t="e">
        <f t="shared" ca="1" si="25"/>
        <v>#N/A</v>
      </c>
      <c r="N43" s="406" t="e">
        <f t="shared" ca="1" si="26"/>
        <v>#N/A</v>
      </c>
      <c r="O43" s="406" t="e">
        <f t="shared" ca="1" si="26"/>
        <v>#N/A</v>
      </c>
      <c r="P43" s="406" t="e">
        <f t="shared" ca="1" si="26"/>
        <v>#N/A</v>
      </c>
      <c r="Q43" s="406" t="e">
        <f t="shared" ca="1" si="26"/>
        <v>#N/A</v>
      </c>
      <c r="R43" s="406" t="e">
        <f t="shared" ca="1" si="26"/>
        <v>#N/A</v>
      </c>
      <c r="S43" s="406" t="e">
        <f t="shared" ca="1" si="26"/>
        <v>#N/A</v>
      </c>
      <c r="T43" s="406" t="e">
        <f t="shared" ca="1" si="26"/>
        <v>#N/A</v>
      </c>
      <c r="U43" s="406" t="e">
        <f t="shared" ca="1" si="26"/>
        <v>#N/A</v>
      </c>
      <c r="V43" s="406" t="e">
        <f t="shared" ca="1" si="26"/>
        <v>#N/A</v>
      </c>
      <c r="W43" s="406" t="e">
        <f t="shared" ca="1" si="26"/>
        <v>#N/A</v>
      </c>
      <c r="X43" s="406" t="e">
        <f t="shared" ca="1" si="27"/>
        <v>#N/A</v>
      </c>
      <c r="Y43" s="406" t="e">
        <f t="shared" ca="1" si="27"/>
        <v>#N/A</v>
      </c>
      <c r="Z43" s="406" t="e">
        <f t="shared" ca="1" si="27"/>
        <v>#N/A</v>
      </c>
      <c r="AA43" s="406" t="e">
        <f t="shared" ca="1" si="27"/>
        <v>#N/A</v>
      </c>
      <c r="AB43" s="406" t="e">
        <f t="shared" ca="1" si="27"/>
        <v>#N/A</v>
      </c>
      <c r="AC43" s="406" t="e">
        <f t="shared" ca="1" si="27"/>
        <v>#N/A</v>
      </c>
      <c r="AD43" s="406" t="e">
        <f t="shared" ca="1" si="27"/>
        <v>#N/A</v>
      </c>
      <c r="AE43" s="406" t="e">
        <f t="shared" ca="1" si="27"/>
        <v>#N/A</v>
      </c>
      <c r="AF43" s="406" t="e">
        <f t="shared" ca="1" si="27"/>
        <v>#N/A</v>
      </c>
      <c r="AG43" s="406" t="e">
        <f t="shared" ca="1" si="27"/>
        <v>#N/A</v>
      </c>
      <c r="AH43" s="406" t="e">
        <f t="shared" ca="1" si="28"/>
        <v>#N/A</v>
      </c>
      <c r="AI43" s="406" t="e">
        <f t="shared" ca="1" si="28"/>
        <v>#N/A</v>
      </c>
      <c r="AJ43" s="406" t="e">
        <f t="shared" ca="1" si="28"/>
        <v>#N/A</v>
      </c>
      <c r="AK43" s="406" t="e">
        <f t="shared" ca="1" si="28"/>
        <v>#N/A</v>
      </c>
      <c r="AL43" s="406" t="e">
        <f t="shared" ca="1" si="28"/>
        <v>#N/A</v>
      </c>
      <c r="AM43" s="406" t="e">
        <f t="shared" ca="1" si="28"/>
        <v>#N/A</v>
      </c>
      <c r="AN43" s="406" t="e">
        <f t="shared" ca="1" si="28"/>
        <v>#N/A</v>
      </c>
      <c r="AO43" s="406" t="e">
        <f t="shared" ca="1" si="28"/>
        <v>#N/A</v>
      </c>
      <c r="AP43" s="406" t="e">
        <f t="shared" ca="1" si="28"/>
        <v>#N/A</v>
      </c>
      <c r="AQ43" s="406" t="e">
        <f t="shared" ca="1" si="28"/>
        <v>#N/A</v>
      </c>
      <c r="AR43" s="406" t="e">
        <f t="shared" ca="1" si="29"/>
        <v>#N/A</v>
      </c>
      <c r="AS43" s="406" t="e">
        <f t="shared" ca="1" si="29"/>
        <v>#N/A</v>
      </c>
      <c r="AT43" s="406" t="e">
        <f t="shared" ca="1" si="29"/>
        <v>#N/A</v>
      </c>
      <c r="AU43" s="406" t="e">
        <f t="shared" ca="1" si="29"/>
        <v>#N/A</v>
      </c>
      <c r="AV43" s="406" t="e">
        <f t="shared" ca="1" si="29"/>
        <v>#N/A</v>
      </c>
      <c r="AW43" s="406" t="e">
        <f t="shared" ca="1" si="29"/>
        <v>#N/A</v>
      </c>
      <c r="AX43" s="406" t="e">
        <f t="shared" ca="1" si="29"/>
        <v>#N/A</v>
      </c>
      <c r="AY43" s="406" t="e">
        <f t="shared" ca="1" si="29"/>
        <v>#N/A</v>
      </c>
      <c r="AZ43" s="406" t="e">
        <f t="shared" ca="1" si="29"/>
        <v>#N/A</v>
      </c>
      <c r="BA43" s="406" t="e">
        <f t="shared" ca="1" si="29"/>
        <v>#N/A</v>
      </c>
      <c r="BB43" s="406" t="s">
        <v>1114</v>
      </c>
      <c r="BC43" s="407" t="str">
        <f t="shared" ca="1" si="8"/>
        <v/>
      </c>
      <c r="BD43" s="410"/>
      <c r="BE43" s="410"/>
    </row>
    <row r="44" spans="3:57" x14ac:dyDescent="0.25">
      <c r="C44" s="406">
        <f t="shared" si="9"/>
        <v>42</v>
      </c>
      <c r="D44" s="406" t="e">
        <f t="shared" ca="1" si="25"/>
        <v>#N/A</v>
      </c>
      <c r="E44" s="406" t="e">
        <f t="shared" ca="1" si="25"/>
        <v>#N/A</v>
      </c>
      <c r="F44" s="406" t="e">
        <f t="shared" ca="1" si="25"/>
        <v>#N/A</v>
      </c>
      <c r="G44" s="406" t="e">
        <f t="shared" ca="1" si="25"/>
        <v>#N/A</v>
      </c>
      <c r="H44" s="406" t="e">
        <f t="shared" ca="1" si="25"/>
        <v>#N/A</v>
      </c>
      <c r="I44" s="406" t="e">
        <f t="shared" ca="1" si="25"/>
        <v>#N/A</v>
      </c>
      <c r="J44" s="406" t="e">
        <f t="shared" ca="1" si="25"/>
        <v>#N/A</v>
      </c>
      <c r="K44" s="406" t="e">
        <f t="shared" ca="1" si="25"/>
        <v>#N/A</v>
      </c>
      <c r="L44" s="406" t="e">
        <f t="shared" ca="1" si="25"/>
        <v>#N/A</v>
      </c>
      <c r="M44" s="406" t="e">
        <f t="shared" ca="1" si="25"/>
        <v>#N/A</v>
      </c>
      <c r="N44" s="406" t="e">
        <f t="shared" ca="1" si="26"/>
        <v>#N/A</v>
      </c>
      <c r="O44" s="406" t="e">
        <f t="shared" ca="1" si="26"/>
        <v>#N/A</v>
      </c>
      <c r="P44" s="406" t="e">
        <f t="shared" ca="1" si="26"/>
        <v>#N/A</v>
      </c>
      <c r="Q44" s="406" t="e">
        <f t="shared" ca="1" si="26"/>
        <v>#N/A</v>
      </c>
      <c r="R44" s="406" t="e">
        <f t="shared" ca="1" si="26"/>
        <v>#N/A</v>
      </c>
      <c r="S44" s="406" t="e">
        <f t="shared" ca="1" si="26"/>
        <v>#N/A</v>
      </c>
      <c r="T44" s="406" t="e">
        <f t="shared" ca="1" si="26"/>
        <v>#N/A</v>
      </c>
      <c r="U44" s="406" t="e">
        <f t="shared" ca="1" si="26"/>
        <v>#N/A</v>
      </c>
      <c r="V44" s="406" t="e">
        <f t="shared" ca="1" si="26"/>
        <v>#N/A</v>
      </c>
      <c r="W44" s="406" t="e">
        <f t="shared" ca="1" si="26"/>
        <v>#N/A</v>
      </c>
      <c r="X44" s="406" t="e">
        <f t="shared" ca="1" si="27"/>
        <v>#N/A</v>
      </c>
      <c r="Y44" s="406" t="e">
        <f t="shared" ca="1" si="27"/>
        <v>#N/A</v>
      </c>
      <c r="Z44" s="406" t="e">
        <f t="shared" ca="1" si="27"/>
        <v>#N/A</v>
      </c>
      <c r="AA44" s="406" t="e">
        <f t="shared" ca="1" si="27"/>
        <v>#N/A</v>
      </c>
      <c r="AB44" s="406" t="e">
        <f t="shared" ca="1" si="27"/>
        <v>#N/A</v>
      </c>
      <c r="AC44" s="406" t="e">
        <f t="shared" ca="1" si="27"/>
        <v>#N/A</v>
      </c>
      <c r="AD44" s="406" t="e">
        <f t="shared" ca="1" si="27"/>
        <v>#N/A</v>
      </c>
      <c r="AE44" s="406" t="e">
        <f t="shared" ca="1" si="27"/>
        <v>#N/A</v>
      </c>
      <c r="AF44" s="406" t="e">
        <f t="shared" ca="1" si="27"/>
        <v>#N/A</v>
      </c>
      <c r="AG44" s="406" t="e">
        <f t="shared" ca="1" si="27"/>
        <v>#N/A</v>
      </c>
      <c r="AH44" s="406" t="e">
        <f t="shared" ca="1" si="28"/>
        <v>#N/A</v>
      </c>
      <c r="AI44" s="406" t="e">
        <f t="shared" ca="1" si="28"/>
        <v>#N/A</v>
      </c>
      <c r="AJ44" s="406" t="e">
        <f t="shared" ca="1" si="28"/>
        <v>#N/A</v>
      </c>
      <c r="AK44" s="406" t="e">
        <f t="shared" ca="1" si="28"/>
        <v>#N/A</v>
      </c>
      <c r="AL44" s="406" t="e">
        <f t="shared" ca="1" si="28"/>
        <v>#N/A</v>
      </c>
      <c r="AM44" s="406" t="e">
        <f t="shared" ca="1" si="28"/>
        <v>#N/A</v>
      </c>
      <c r="AN44" s="406" t="e">
        <f t="shared" ca="1" si="28"/>
        <v>#N/A</v>
      </c>
      <c r="AO44" s="406" t="e">
        <f t="shared" ca="1" si="28"/>
        <v>#N/A</v>
      </c>
      <c r="AP44" s="406" t="e">
        <f t="shared" ca="1" si="28"/>
        <v>#N/A</v>
      </c>
      <c r="AQ44" s="406" t="e">
        <f t="shared" ca="1" si="28"/>
        <v>#N/A</v>
      </c>
      <c r="AR44" s="406" t="e">
        <f t="shared" ca="1" si="29"/>
        <v>#N/A</v>
      </c>
      <c r="AS44" s="406" t="e">
        <f t="shared" ca="1" si="29"/>
        <v>#N/A</v>
      </c>
      <c r="AT44" s="406" t="e">
        <f t="shared" ca="1" si="29"/>
        <v>#N/A</v>
      </c>
      <c r="AU44" s="406" t="e">
        <f t="shared" ca="1" si="29"/>
        <v>#N/A</v>
      </c>
      <c r="AV44" s="406" t="e">
        <f t="shared" ca="1" si="29"/>
        <v>#N/A</v>
      </c>
      <c r="AW44" s="406" t="e">
        <f t="shared" ca="1" si="29"/>
        <v>#N/A</v>
      </c>
      <c r="AX44" s="406" t="e">
        <f t="shared" ca="1" si="29"/>
        <v>#N/A</v>
      </c>
      <c r="AY44" s="406" t="e">
        <f t="shared" ca="1" si="29"/>
        <v>#N/A</v>
      </c>
      <c r="AZ44" s="406" t="e">
        <f t="shared" ca="1" si="29"/>
        <v>#N/A</v>
      </c>
      <c r="BA44" s="406" t="e">
        <f t="shared" ca="1" si="29"/>
        <v>#N/A</v>
      </c>
      <c r="BB44" s="406" t="s">
        <v>1115</v>
      </c>
      <c r="BC44" s="407" t="str">
        <f t="shared" ca="1" si="8"/>
        <v/>
      </c>
      <c r="BD44" s="410"/>
      <c r="BE44" s="410"/>
    </row>
    <row r="45" spans="3:57" x14ac:dyDescent="0.25">
      <c r="C45" s="406">
        <f t="shared" si="9"/>
        <v>43</v>
      </c>
      <c r="D45" s="406" t="e">
        <f t="shared" ca="1" si="25"/>
        <v>#N/A</v>
      </c>
      <c r="E45" s="406" t="e">
        <f t="shared" ca="1" si="25"/>
        <v>#N/A</v>
      </c>
      <c r="F45" s="406" t="e">
        <f t="shared" ca="1" si="25"/>
        <v>#N/A</v>
      </c>
      <c r="G45" s="406" t="e">
        <f t="shared" ca="1" si="25"/>
        <v>#N/A</v>
      </c>
      <c r="H45" s="406" t="e">
        <f t="shared" ca="1" si="25"/>
        <v>#N/A</v>
      </c>
      <c r="I45" s="406" t="e">
        <f t="shared" ca="1" si="25"/>
        <v>#N/A</v>
      </c>
      <c r="J45" s="406" t="e">
        <f t="shared" ca="1" si="25"/>
        <v>#N/A</v>
      </c>
      <c r="K45" s="406" t="e">
        <f t="shared" ca="1" si="25"/>
        <v>#N/A</v>
      </c>
      <c r="L45" s="406" t="e">
        <f t="shared" ca="1" si="25"/>
        <v>#N/A</v>
      </c>
      <c r="M45" s="406" t="e">
        <f t="shared" ca="1" si="25"/>
        <v>#N/A</v>
      </c>
      <c r="N45" s="406" t="e">
        <f t="shared" ca="1" si="26"/>
        <v>#N/A</v>
      </c>
      <c r="O45" s="406" t="e">
        <f t="shared" ca="1" si="26"/>
        <v>#N/A</v>
      </c>
      <c r="P45" s="406" t="e">
        <f t="shared" ca="1" si="26"/>
        <v>#N/A</v>
      </c>
      <c r="Q45" s="406" t="e">
        <f t="shared" ca="1" si="26"/>
        <v>#N/A</v>
      </c>
      <c r="R45" s="406" t="e">
        <f t="shared" ca="1" si="26"/>
        <v>#N/A</v>
      </c>
      <c r="S45" s="406" t="e">
        <f t="shared" ca="1" si="26"/>
        <v>#N/A</v>
      </c>
      <c r="T45" s="406" t="e">
        <f t="shared" ca="1" si="26"/>
        <v>#N/A</v>
      </c>
      <c r="U45" s="406" t="e">
        <f t="shared" ca="1" si="26"/>
        <v>#N/A</v>
      </c>
      <c r="V45" s="406" t="e">
        <f t="shared" ca="1" si="26"/>
        <v>#N/A</v>
      </c>
      <c r="W45" s="406" t="e">
        <f t="shared" ca="1" si="26"/>
        <v>#N/A</v>
      </c>
      <c r="X45" s="406" t="e">
        <f t="shared" ca="1" si="27"/>
        <v>#N/A</v>
      </c>
      <c r="Y45" s="406" t="e">
        <f t="shared" ca="1" si="27"/>
        <v>#N/A</v>
      </c>
      <c r="Z45" s="406" t="e">
        <f t="shared" ca="1" si="27"/>
        <v>#N/A</v>
      </c>
      <c r="AA45" s="406" t="e">
        <f t="shared" ca="1" si="27"/>
        <v>#N/A</v>
      </c>
      <c r="AB45" s="406" t="e">
        <f t="shared" ca="1" si="27"/>
        <v>#N/A</v>
      </c>
      <c r="AC45" s="406" t="e">
        <f t="shared" ca="1" si="27"/>
        <v>#N/A</v>
      </c>
      <c r="AD45" s="406" t="e">
        <f t="shared" ca="1" si="27"/>
        <v>#N/A</v>
      </c>
      <c r="AE45" s="406" t="e">
        <f t="shared" ca="1" si="27"/>
        <v>#N/A</v>
      </c>
      <c r="AF45" s="406" t="e">
        <f t="shared" ca="1" si="27"/>
        <v>#N/A</v>
      </c>
      <c r="AG45" s="406" t="e">
        <f t="shared" ca="1" si="27"/>
        <v>#N/A</v>
      </c>
      <c r="AH45" s="406" t="e">
        <f t="shared" ca="1" si="28"/>
        <v>#N/A</v>
      </c>
      <c r="AI45" s="406" t="e">
        <f t="shared" ca="1" si="28"/>
        <v>#N/A</v>
      </c>
      <c r="AJ45" s="406" t="e">
        <f t="shared" ca="1" si="28"/>
        <v>#N/A</v>
      </c>
      <c r="AK45" s="406" t="e">
        <f t="shared" ca="1" si="28"/>
        <v>#N/A</v>
      </c>
      <c r="AL45" s="406" t="e">
        <f t="shared" ca="1" si="28"/>
        <v>#N/A</v>
      </c>
      <c r="AM45" s="406" t="e">
        <f t="shared" ca="1" si="28"/>
        <v>#N/A</v>
      </c>
      <c r="AN45" s="406" t="e">
        <f t="shared" ca="1" si="28"/>
        <v>#N/A</v>
      </c>
      <c r="AO45" s="406" t="e">
        <f t="shared" ca="1" si="28"/>
        <v>#N/A</v>
      </c>
      <c r="AP45" s="406" t="e">
        <f t="shared" ca="1" si="28"/>
        <v>#N/A</v>
      </c>
      <c r="AQ45" s="406" t="e">
        <f t="shared" ca="1" si="28"/>
        <v>#N/A</v>
      </c>
      <c r="AR45" s="406" t="e">
        <f t="shared" ca="1" si="29"/>
        <v>#N/A</v>
      </c>
      <c r="AS45" s="406" t="e">
        <f t="shared" ca="1" si="29"/>
        <v>#N/A</v>
      </c>
      <c r="AT45" s="406" t="e">
        <f t="shared" ca="1" si="29"/>
        <v>#N/A</v>
      </c>
      <c r="AU45" s="406" t="e">
        <f t="shared" ca="1" si="29"/>
        <v>#N/A</v>
      </c>
      <c r="AV45" s="406" t="e">
        <f t="shared" ca="1" si="29"/>
        <v>#N/A</v>
      </c>
      <c r="AW45" s="406" t="e">
        <f t="shared" ca="1" si="29"/>
        <v>#N/A</v>
      </c>
      <c r="AX45" s="406" t="e">
        <f t="shared" ca="1" si="29"/>
        <v>#N/A</v>
      </c>
      <c r="AY45" s="406" t="e">
        <f t="shared" ca="1" si="29"/>
        <v>#N/A</v>
      </c>
      <c r="AZ45" s="406" t="e">
        <f t="shared" ca="1" si="29"/>
        <v>#N/A</v>
      </c>
      <c r="BA45" s="406" t="e">
        <f t="shared" ca="1" si="29"/>
        <v>#N/A</v>
      </c>
      <c r="BB45" s="406" t="s">
        <v>1116</v>
      </c>
      <c r="BC45" s="407" t="str">
        <f t="shared" ca="1" si="8"/>
        <v/>
      </c>
      <c r="BD45" s="410"/>
      <c r="BE45" s="410"/>
    </row>
    <row r="46" spans="3:57" x14ac:dyDescent="0.25">
      <c r="C46" s="406">
        <f t="shared" si="9"/>
        <v>44</v>
      </c>
      <c r="D46" s="406" t="e">
        <f t="shared" ca="1" si="25"/>
        <v>#N/A</v>
      </c>
      <c r="E46" s="406" t="e">
        <f t="shared" ca="1" si="25"/>
        <v>#N/A</v>
      </c>
      <c r="F46" s="406" t="e">
        <f t="shared" ca="1" si="25"/>
        <v>#N/A</v>
      </c>
      <c r="G46" s="406" t="e">
        <f t="shared" ca="1" si="25"/>
        <v>#N/A</v>
      </c>
      <c r="H46" s="406" t="e">
        <f t="shared" ca="1" si="25"/>
        <v>#N/A</v>
      </c>
      <c r="I46" s="406" t="e">
        <f t="shared" ca="1" si="25"/>
        <v>#N/A</v>
      </c>
      <c r="J46" s="406" t="e">
        <f t="shared" ca="1" si="25"/>
        <v>#N/A</v>
      </c>
      <c r="K46" s="406" t="e">
        <f t="shared" ca="1" si="25"/>
        <v>#N/A</v>
      </c>
      <c r="L46" s="406" t="e">
        <f t="shared" ca="1" si="25"/>
        <v>#N/A</v>
      </c>
      <c r="M46" s="406" t="e">
        <f t="shared" ca="1" si="25"/>
        <v>#N/A</v>
      </c>
      <c r="N46" s="406" t="e">
        <f t="shared" ca="1" si="26"/>
        <v>#N/A</v>
      </c>
      <c r="O46" s="406" t="e">
        <f t="shared" ca="1" si="26"/>
        <v>#N/A</v>
      </c>
      <c r="P46" s="406" t="e">
        <f t="shared" ca="1" si="26"/>
        <v>#N/A</v>
      </c>
      <c r="Q46" s="406" t="e">
        <f t="shared" ca="1" si="26"/>
        <v>#N/A</v>
      </c>
      <c r="R46" s="406" t="e">
        <f t="shared" ca="1" si="26"/>
        <v>#N/A</v>
      </c>
      <c r="S46" s="406" t="e">
        <f t="shared" ca="1" si="26"/>
        <v>#N/A</v>
      </c>
      <c r="T46" s="406" t="e">
        <f t="shared" ca="1" si="26"/>
        <v>#N/A</v>
      </c>
      <c r="U46" s="406" t="e">
        <f t="shared" ca="1" si="26"/>
        <v>#N/A</v>
      </c>
      <c r="V46" s="406" t="e">
        <f t="shared" ca="1" si="26"/>
        <v>#N/A</v>
      </c>
      <c r="W46" s="406" t="e">
        <f t="shared" ca="1" si="26"/>
        <v>#N/A</v>
      </c>
      <c r="X46" s="406" t="e">
        <f t="shared" ca="1" si="27"/>
        <v>#N/A</v>
      </c>
      <c r="Y46" s="406" t="e">
        <f t="shared" ca="1" si="27"/>
        <v>#N/A</v>
      </c>
      <c r="Z46" s="406" t="e">
        <f t="shared" ca="1" si="27"/>
        <v>#N/A</v>
      </c>
      <c r="AA46" s="406" t="e">
        <f t="shared" ca="1" si="27"/>
        <v>#N/A</v>
      </c>
      <c r="AB46" s="406" t="e">
        <f t="shared" ca="1" si="27"/>
        <v>#N/A</v>
      </c>
      <c r="AC46" s="406" t="e">
        <f t="shared" ca="1" si="27"/>
        <v>#N/A</v>
      </c>
      <c r="AD46" s="406" t="e">
        <f t="shared" ca="1" si="27"/>
        <v>#N/A</v>
      </c>
      <c r="AE46" s="406" t="e">
        <f t="shared" ca="1" si="27"/>
        <v>#N/A</v>
      </c>
      <c r="AF46" s="406" t="e">
        <f t="shared" ca="1" si="27"/>
        <v>#N/A</v>
      </c>
      <c r="AG46" s="406" t="e">
        <f t="shared" ca="1" si="27"/>
        <v>#N/A</v>
      </c>
      <c r="AH46" s="406" t="e">
        <f t="shared" ca="1" si="28"/>
        <v>#N/A</v>
      </c>
      <c r="AI46" s="406" t="e">
        <f t="shared" ca="1" si="28"/>
        <v>#N/A</v>
      </c>
      <c r="AJ46" s="406" t="e">
        <f t="shared" ca="1" si="28"/>
        <v>#N/A</v>
      </c>
      <c r="AK46" s="406" t="e">
        <f t="shared" ca="1" si="28"/>
        <v>#N/A</v>
      </c>
      <c r="AL46" s="406" t="e">
        <f t="shared" ca="1" si="28"/>
        <v>#N/A</v>
      </c>
      <c r="AM46" s="406" t="e">
        <f t="shared" ca="1" si="28"/>
        <v>#N/A</v>
      </c>
      <c r="AN46" s="406" t="e">
        <f t="shared" ca="1" si="28"/>
        <v>#N/A</v>
      </c>
      <c r="AO46" s="406" t="e">
        <f t="shared" ca="1" si="28"/>
        <v>#N/A</v>
      </c>
      <c r="AP46" s="406" t="e">
        <f t="shared" ca="1" si="28"/>
        <v>#N/A</v>
      </c>
      <c r="AQ46" s="406" t="e">
        <f t="shared" ca="1" si="28"/>
        <v>#N/A</v>
      </c>
      <c r="AR46" s="406" t="e">
        <f t="shared" ca="1" si="29"/>
        <v>#N/A</v>
      </c>
      <c r="AS46" s="406" t="e">
        <f t="shared" ca="1" si="29"/>
        <v>#N/A</v>
      </c>
      <c r="AT46" s="406" t="e">
        <f t="shared" ca="1" si="29"/>
        <v>#N/A</v>
      </c>
      <c r="AU46" s="406" t="e">
        <f t="shared" ca="1" si="29"/>
        <v>#N/A</v>
      </c>
      <c r="AV46" s="406" t="e">
        <f t="shared" ca="1" si="29"/>
        <v>#N/A</v>
      </c>
      <c r="AW46" s="406" t="e">
        <f t="shared" ca="1" si="29"/>
        <v>#N/A</v>
      </c>
      <c r="AX46" s="406" t="e">
        <f t="shared" ca="1" si="29"/>
        <v>#N/A</v>
      </c>
      <c r="AY46" s="406" t="e">
        <f t="shared" ca="1" si="29"/>
        <v>#N/A</v>
      </c>
      <c r="AZ46" s="406" t="e">
        <f t="shared" ca="1" si="29"/>
        <v>#N/A</v>
      </c>
      <c r="BA46" s="406" t="e">
        <f t="shared" ca="1" si="29"/>
        <v>#N/A</v>
      </c>
      <c r="BB46" s="406" t="s">
        <v>1117</v>
      </c>
      <c r="BC46" s="407" t="str">
        <f t="shared" ca="1" si="8"/>
        <v/>
      </c>
      <c r="BD46" s="410"/>
      <c r="BE46" s="410"/>
    </row>
    <row r="47" spans="3:57" x14ac:dyDescent="0.25">
      <c r="C47" s="406">
        <f t="shared" si="9"/>
        <v>45</v>
      </c>
      <c r="D47" s="406" t="e">
        <f t="shared" ca="1" si="25"/>
        <v>#N/A</v>
      </c>
      <c r="E47" s="406" t="e">
        <f t="shared" ca="1" si="25"/>
        <v>#N/A</v>
      </c>
      <c r="F47" s="406" t="e">
        <f t="shared" ca="1" si="25"/>
        <v>#N/A</v>
      </c>
      <c r="G47" s="406" t="e">
        <f t="shared" ca="1" si="25"/>
        <v>#N/A</v>
      </c>
      <c r="H47" s="406" t="e">
        <f t="shared" ca="1" si="25"/>
        <v>#N/A</v>
      </c>
      <c r="I47" s="406" t="e">
        <f t="shared" ca="1" si="25"/>
        <v>#N/A</v>
      </c>
      <c r="J47" s="406" t="e">
        <f t="shared" ca="1" si="25"/>
        <v>#N/A</v>
      </c>
      <c r="K47" s="406" t="e">
        <f t="shared" ca="1" si="25"/>
        <v>#N/A</v>
      </c>
      <c r="L47" s="406" t="e">
        <f t="shared" ca="1" si="25"/>
        <v>#N/A</v>
      </c>
      <c r="M47" s="406" t="e">
        <f t="shared" ca="1" si="25"/>
        <v>#N/A</v>
      </c>
      <c r="N47" s="406" t="e">
        <f t="shared" ca="1" si="26"/>
        <v>#N/A</v>
      </c>
      <c r="O47" s="406" t="e">
        <f t="shared" ca="1" si="26"/>
        <v>#N/A</v>
      </c>
      <c r="P47" s="406" t="e">
        <f t="shared" ca="1" si="26"/>
        <v>#N/A</v>
      </c>
      <c r="Q47" s="406" t="e">
        <f t="shared" ca="1" si="26"/>
        <v>#N/A</v>
      </c>
      <c r="R47" s="406" t="e">
        <f t="shared" ca="1" si="26"/>
        <v>#N/A</v>
      </c>
      <c r="S47" s="406" t="e">
        <f t="shared" ca="1" si="26"/>
        <v>#N/A</v>
      </c>
      <c r="T47" s="406" t="e">
        <f t="shared" ca="1" si="26"/>
        <v>#N/A</v>
      </c>
      <c r="U47" s="406" t="e">
        <f t="shared" ca="1" si="26"/>
        <v>#N/A</v>
      </c>
      <c r="V47" s="406" t="e">
        <f t="shared" ca="1" si="26"/>
        <v>#N/A</v>
      </c>
      <c r="W47" s="406" t="e">
        <f t="shared" ca="1" si="26"/>
        <v>#N/A</v>
      </c>
      <c r="X47" s="406" t="e">
        <f t="shared" ca="1" si="27"/>
        <v>#N/A</v>
      </c>
      <c r="Y47" s="406" t="e">
        <f t="shared" ca="1" si="27"/>
        <v>#N/A</v>
      </c>
      <c r="Z47" s="406" t="e">
        <f t="shared" ca="1" si="27"/>
        <v>#N/A</v>
      </c>
      <c r="AA47" s="406" t="e">
        <f t="shared" ca="1" si="27"/>
        <v>#N/A</v>
      </c>
      <c r="AB47" s="406" t="e">
        <f t="shared" ca="1" si="27"/>
        <v>#N/A</v>
      </c>
      <c r="AC47" s="406" t="e">
        <f t="shared" ca="1" si="27"/>
        <v>#N/A</v>
      </c>
      <c r="AD47" s="406" t="e">
        <f t="shared" ca="1" si="27"/>
        <v>#N/A</v>
      </c>
      <c r="AE47" s="406" t="e">
        <f t="shared" ca="1" si="27"/>
        <v>#N/A</v>
      </c>
      <c r="AF47" s="406" t="e">
        <f t="shared" ca="1" si="27"/>
        <v>#N/A</v>
      </c>
      <c r="AG47" s="406" t="e">
        <f t="shared" ca="1" si="27"/>
        <v>#N/A</v>
      </c>
      <c r="AH47" s="406" t="e">
        <f t="shared" ca="1" si="28"/>
        <v>#N/A</v>
      </c>
      <c r="AI47" s="406" t="e">
        <f t="shared" ca="1" si="28"/>
        <v>#N/A</v>
      </c>
      <c r="AJ47" s="406" t="e">
        <f t="shared" ca="1" si="28"/>
        <v>#N/A</v>
      </c>
      <c r="AK47" s="406" t="e">
        <f t="shared" ca="1" si="28"/>
        <v>#N/A</v>
      </c>
      <c r="AL47" s="406" t="e">
        <f t="shared" ca="1" si="28"/>
        <v>#N/A</v>
      </c>
      <c r="AM47" s="406" t="e">
        <f t="shared" ca="1" si="28"/>
        <v>#N/A</v>
      </c>
      <c r="AN47" s="406" t="e">
        <f t="shared" ca="1" si="28"/>
        <v>#N/A</v>
      </c>
      <c r="AO47" s="406" t="e">
        <f t="shared" ca="1" si="28"/>
        <v>#N/A</v>
      </c>
      <c r="AP47" s="406" t="e">
        <f t="shared" ca="1" si="28"/>
        <v>#N/A</v>
      </c>
      <c r="AQ47" s="406" t="e">
        <f t="shared" ca="1" si="28"/>
        <v>#N/A</v>
      </c>
      <c r="AR47" s="406" t="e">
        <f t="shared" ca="1" si="29"/>
        <v>#N/A</v>
      </c>
      <c r="AS47" s="406" t="e">
        <f t="shared" ca="1" si="29"/>
        <v>#N/A</v>
      </c>
      <c r="AT47" s="406" t="e">
        <f t="shared" ca="1" si="29"/>
        <v>#N/A</v>
      </c>
      <c r="AU47" s="406" t="e">
        <f t="shared" ca="1" si="29"/>
        <v>#N/A</v>
      </c>
      <c r="AV47" s="406" t="e">
        <f t="shared" ca="1" si="29"/>
        <v>#N/A</v>
      </c>
      <c r="AW47" s="406" t="e">
        <f t="shared" ca="1" si="29"/>
        <v>#N/A</v>
      </c>
      <c r="AX47" s="406" t="e">
        <f t="shared" ca="1" si="29"/>
        <v>#N/A</v>
      </c>
      <c r="AY47" s="406" t="e">
        <f t="shared" ca="1" si="29"/>
        <v>#N/A</v>
      </c>
      <c r="AZ47" s="406" t="e">
        <f t="shared" ca="1" si="29"/>
        <v>#N/A</v>
      </c>
      <c r="BA47" s="406" t="e">
        <f t="shared" ca="1" si="29"/>
        <v>#N/A</v>
      </c>
      <c r="BB47" s="406" t="s">
        <v>1118</v>
      </c>
      <c r="BC47" s="407" t="str">
        <f t="shared" ca="1" si="8"/>
        <v/>
      </c>
      <c r="BD47" s="410"/>
      <c r="BE47" s="410"/>
    </row>
    <row r="48" spans="3:57" x14ac:dyDescent="0.25">
      <c r="C48" s="406">
        <f t="shared" si="9"/>
        <v>46</v>
      </c>
      <c r="D48" s="406" t="e">
        <f t="shared" ca="1" si="25"/>
        <v>#N/A</v>
      </c>
      <c r="E48" s="406" t="e">
        <f t="shared" ca="1" si="25"/>
        <v>#N/A</v>
      </c>
      <c r="F48" s="406" t="e">
        <f t="shared" ca="1" si="25"/>
        <v>#N/A</v>
      </c>
      <c r="G48" s="406" t="e">
        <f t="shared" ca="1" si="25"/>
        <v>#N/A</v>
      </c>
      <c r="H48" s="406" t="e">
        <f t="shared" ca="1" si="25"/>
        <v>#N/A</v>
      </c>
      <c r="I48" s="406" t="e">
        <f t="shared" ca="1" si="25"/>
        <v>#N/A</v>
      </c>
      <c r="J48" s="406" t="e">
        <f t="shared" ca="1" si="25"/>
        <v>#N/A</v>
      </c>
      <c r="K48" s="406" t="e">
        <f t="shared" ca="1" si="25"/>
        <v>#N/A</v>
      </c>
      <c r="L48" s="406" t="e">
        <f t="shared" ca="1" si="25"/>
        <v>#N/A</v>
      </c>
      <c r="M48" s="406" t="e">
        <f t="shared" ca="1" si="25"/>
        <v>#N/A</v>
      </c>
      <c r="N48" s="406" t="e">
        <f t="shared" ca="1" si="26"/>
        <v>#N/A</v>
      </c>
      <c r="O48" s="406" t="e">
        <f t="shared" ca="1" si="26"/>
        <v>#N/A</v>
      </c>
      <c r="P48" s="406" t="e">
        <f t="shared" ca="1" si="26"/>
        <v>#N/A</v>
      </c>
      <c r="Q48" s="406" t="e">
        <f t="shared" ca="1" si="26"/>
        <v>#N/A</v>
      </c>
      <c r="R48" s="406" t="e">
        <f t="shared" ca="1" si="26"/>
        <v>#N/A</v>
      </c>
      <c r="S48" s="406" t="e">
        <f t="shared" ca="1" si="26"/>
        <v>#N/A</v>
      </c>
      <c r="T48" s="406" t="e">
        <f t="shared" ca="1" si="26"/>
        <v>#N/A</v>
      </c>
      <c r="U48" s="406" t="e">
        <f t="shared" ca="1" si="26"/>
        <v>#N/A</v>
      </c>
      <c r="V48" s="406" t="e">
        <f t="shared" ca="1" si="26"/>
        <v>#N/A</v>
      </c>
      <c r="W48" s="406" t="e">
        <f t="shared" ca="1" si="26"/>
        <v>#N/A</v>
      </c>
      <c r="X48" s="406" t="e">
        <f t="shared" ca="1" si="27"/>
        <v>#N/A</v>
      </c>
      <c r="Y48" s="406" t="e">
        <f t="shared" ca="1" si="27"/>
        <v>#N/A</v>
      </c>
      <c r="Z48" s="406" t="e">
        <f t="shared" ca="1" si="27"/>
        <v>#N/A</v>
      </c>
      <c r="AA48" s="406" t="e">
        <f t="shared" ca="1" si="27"/>
        <v>#N/A</v>
      </c>
      <c r="AB48" s="406" t="e">
        <f t="shared" ca="1" si="27"/>
        <v>#N/A</v>
      </c>
      <c r="AC48" s="406" t="e">
        <f t="shared" ca="1" si="27"/>
        <v>#N/A</v>
      </c>
      <c r="AD48" s="406" t="e">
        <f t="shared" ca="1" si="27"/>
        <v>#N/A</v>
      </c>
      <c r="AE48" s="406" t="e">
        <f t="shared" ca="1" si="27"/>
        <v>#N/A</v>
      </c>
      <c r="AF48" s="406" t="e">
        <f t="shared" ca="1" si="27"/>
        <v>#N/A</v>
      </c>
      <c r="AG48" s="406" t="e">
        <f t="shared" ca="1" si="27"/>
        <v>#N/A</v>
      </c>
      <c r="AH48" s="406" t="e">
        <f t="shared" ca="1" si="28"/>
        <v>#N/A</v>
      </c>
      <c r="AI48" s="406" t="e">
        <f t="shared" ca="1" si="28"/>
        <v>#N/A</v>
      </c>
      <c r="AJ48" s="406" t="e">
        <f t="shared" ca="1" si="28"/>
        <v>#N/A</v>
      </c>
      <c r="AK48" s="406" t="e">
        <f t="shared" ca="1" si="28"/>
        <v>#N/A</v>
      </c>
      <c r="AL48" s="406" t="e">
        <f t="shared" ca="1" si="28"/>
        <v>#N/A</v>
      </c>
      <c r="AM48" s="406" t="e">
        <f t="shared" ca="1" si="28"/>
        <v>#N/A</v>
      </c>
      <c r="AN48" s="406" t="e">
        <f t="shared" ca="1" si="28"/>
        <v>#N/A</v>
      </c>
      <c r="AO48" s="406" t="e">
        <f t="shared" ca="1" si="28"/>
        <v>#N/A</v>
      </c>
      <c r="AP48" s="406" t="e">
        <f t="shared" ca="1" si="28"/>
        <v>#N/A</v>
      </c>
      <c r="AQ48" s="406" t="e">
        <f t="shared" ca="1" si="28"/>
        <v>#N/A</v>
      </c>
      <c r="AR48" s="406" t="e">
        <f t="shared" ca="1" si="29"/>
        <v>#N/A</v>
      </c>
      <c r="AS48" s="406" t="e">
        <f t="shared" ca="1" si="29"/>
        <v>#N/A</v>
      </c>
      <c r="AT48" s="406" t="e">
        <f t="shared" ca="1" si="29"/>
        <v>#N/A</v>
      </c>
      <c r="AU48" s="406" t="e">
        <f t="shared" ca="1" si="29"/>
        <v>#N/A</v>
      </c>
      <c r="AV48" s="406" t="e">
        <f t="shared" ca="1" si="29"/>
        <v>#N/A</v>
      </c>
      <c r="AW48" s="406" t="e">
        <f t="shared" ca="1" si="29"/>
        <v>#N/A</v>
      </c>
      <c r="AX48" s="406" t="e">
        <f t="shared" ca="1" si="29"/>
        <v>#N/A</v>
      </c>
      <c r="AY48" s="406" t="e">
        <f t="shared" ca="1" si="29"/>
        <v>#N/A</v>
      </c>
      <c r="AZ48" s="406" t="e">
        <f t="shared" ca="1" si="29"/>
        <v>#N/A</v>
      </c>
      <c r="BA48" s="406" t="e">
        <f t="shared" ca="1" si="29"/>
        <v>#N/A</v>
      </c>
      <c r="BB48" s="406" t="s">
        <v>1119</v>
      </c>
      <c r="BC48" s="407" t="str">
        <f t="shared" ca="1" si="8"/>
        <v/>
      </c>
      <c r="BD48" s="410"/>
      <c r="BE48" s="410"/>
    </row>
    <row r="49" spans="3:57" x14ac:dyDescent="0.25">
      <c r="C49" s="406">
        <f t="shared" si="9"/>
        <v>47</v>
      </c>
      <c r="D49" s="406" t="e">
        <f t="shared" ca="1" si="25"/>
        <v>#N/A</v>
      </c>
      <c r="E49" s="406" t="e">
        <f t="shared" ca="1" si="25"/>
        <v>#N/A</v>
      </c>
      <c r="F49" s="406" t="e">
        <f t="shared" ca="1" si="25"/>
        <v>#N/A</v>
      </c>
      <c r="G49" s="406" t="e">
        <f t="shared" ca="1" si="25"/>
        <v>#N/A</v>
      </c>
      <c r="H49" s="406" t="e">
        <f t="shared" ca="1" si="25"/>
        <v>#N/A</v>
      </c>
      <c r="I49" s="406" t="e">
        <f t="shared" ca="1" si="25"/>
        <v>#N/A</v>
      </c>
      <c r="J49" s="406" t="e">
        <f t="shared" ca="1" si="25"/>
        <v>#N/A</v>
      </c>
      <c r="K49" s="406" t="e">
        <f t="shared" ca="1" si="25"/>
        <v>#N/A</v>
      </c>
      <c r="L49" s="406" t="e">
        <f t="shared" ca="1" si="25"/>
        <v>#N/A</v>
      </c>
      <c r="M49" s="406" t="e">
        <f t="shared" ca="1" si="25"/>
        <v>#N/A</v>
      </c>
      <c r="N49" s="406" t="e">
        <f t="shared" ca="1" si="26"/>
        <v>#N/A</v>
      </c>
      <c r="O49" s="406" t="e">
        <f t="shared" ca="1" si="26"/>
        <v>#N/A</v>
      </c>
      <c r="P49" s="406" t="e">
        <f t="shared" ca="1" si="26"/>
        <v>#N/A</v>
      </c>
      <c r="Q49" s="406" t="e">
        <f t="shared" ca="1" si="26"/>
        <v>#N/A</v>
      </c>
      <c r="R49" s="406" t="e">
        <f t="shared" ca="1" si="26"/>
        <v>#N/A</v>
      </c>
      <c r="S49" s="406" t="e">
        <f t="shared" ca="1" si="26"/>
        <v>#N/A</v>
      </c>
      <c r="T49" s="406" t="e">
        <f t="shared" ca="1" si="26"/>
        <v>#N/A</v>
      </c>
      <c r="U49" s="406" t="e">
        <f t="shared" ca="1" si="26"/>
        <v>#N/A</v>
      </c>
      <c r="V49" s="406" t="e">
        <f t="shared" ca="1" si="26"/>
        <v>#N/A</v>
      </c>
      <c r="W49" s="406" t="e">
        <f t="shared" ca="1" si="26"/>
        <v>#N/A</v>
      </c>
      <c r="X49" s="406" t="e">
        <f t="shared" ca="1" si="27"/>
        <v>#N/A</v>
      </c>
      <c r="Y49" s="406" t="e">
        <f t="shared" ca="1" si="27"/>
        <v>#N/A</v>
      </c>
      <c r="Z49" s="406" t="e">
        <f t="shared" ca="1" si="27"/>
        <v>#N/A</v>
      </c>
      <c r="AA49" s="406" t="e">
        <f t="shared" ca="1" si="27"/>
        <v>#N/A</v>
      </c>
      <c r="AB49" s="406" t="e">
        <f t="shared" ca="1" si="27"/>
        <v>#N/A</v>
      </c>
      <c r="AC49" s="406" t="e">
        <f t="shared" ca="1" si="27"/>
        <v>#N/A</v>
      </c>
      <c r="AD49" s="406" t="e">
        <f t="shared" ca="1" si="27"/>
        <v>#N/A</v>
      </c>
      <c r="AE49" s="406" t="e">
        <f t="shared" ca="1" si="27"/>
        <v>#N/A</v>
      </c>
      <c r="AF49" s="406" t="e">
        <f t="shared" ca="1" si="27"/>
        <v>#N/A</v>
      </c>
      <c r="AG49" s="406" t="e">
        <f t="shared" ca="1" si="27"/>
        <v>#N/A</v>
      </c>
      <c r="AH49" s="406" t="e">
        <f t="shared" ca="1" si="28"/>
        <v>#N/A</v>
      </c>
      <c r="AI49" s="406" t="e">
        <f t="shared" ca="1" si="28"/>
        <v>#N/A</v>
      </c>
      <c r="AJ49" s="406" t="e">
        <f t="shared" ca="1" si="28"/>
        <v>#N/A</v>
      </c>
      <c r="AK49" s="406" t="e">
        <f t="shared" ca="1" si="28"/>
        <v>#N/A</v>
      </c>
      <c r="AL49" s="406" t="e">
        <f t="shared" ca="1" si="28"/>
        <v>#N/A</v>
      </c>
      <c r="AM49" s="406" t="e">
        <f t="shared" ca="1" si="28"/>
        <v>#N/A</v>
      </c>
      <c r="AN49" s="406" t="e">
        <f t="shared" ca="1" si="28"/>
        <v>#N/A</v>
      </c>
      <c r="AO49" s="406" t="e">
        <f t="shared" ca="1" si="28"/>
        <v>#N/A</v>
      </c>
      <c r="AP49" s="406" t="e">
        <f t="shared" ca="1" si="28"/>
        <v>#N/A</v>
      </c>
      <c r="AQ49" s="406" t="e">
        <f t="shared" ca="1" si="28"/>
        <v>#N/A</v>
      </c>
      <c r="AR49" s="406" t="e">
        <f t="shared" ca="1" si="29"/>
        <v>#N/A</v>
      </c>
      <c r="AS49" s="406" t="e">
        <f t="shared" ca="1" si="29"/>
        <v>#N/A</v>
      </c>
      <c r="AT49" s="406" t="e">
        <f t="shared" ca="1" si="29"/>
        <v>#N/A</v>
      </c>
      <c r="AU49" s="406" t="e">
        <f t="shared" ca="1" si="29"/>
        <v>#N/A</v>
      </c>
      <c r="AV49" s="406" t="e">
        <f t="shared" ca="1" si="29"/>
        <v>#N/A</v>
      </c>
      <c r="AW49" s="406" t="e">
        <f t="shared" ca="1" si="29"/>
        <v>#N/A</v>
      </c>
      <c r="AX49" s="406" t="e">
        <f t="shared" ca="1" si="29"/>
        <v>#N/A</v>
      </c>
      <c r="AY49" s="406" t="e">
        <f t="shared" ca="1" si="29"/>
        <v>#N/A</v>
      </c>
      <c r="AZ49" s="406" t="e">
        <f t="shared" ca="1" si="29"/>
        <v>#N/A</v>
      </c>
      <c r="BA49" s="406" t="e">
        <f t="shared" ca="1" si="29"/>
        <v>#N/A</v>
      </c>
      <c r="BB49" s="406" t="s">
        <v>1120</v>
      </c>
      <c r="BC49" s="407" t="str">
        <f t="shared" ca="1" si="8"/>
        <v/>
      </c>
      <c r="BD49" s="410"/>
      <c r="BE49" s="410"/>
    </row>
    <row r="50" spans="3:57" x14ac:dyDescent="0.25">
      <c r="C50" s="406">
        <f t="shared" si="9"/>
        <v>48</v>
      </c>
      <c r="D50" s="406" t="e">
        <f t="shared" ca="1" si="25"/>
        <v>#N/A</v>
      </c>
      <c r="E50" s="406" t="e">
        <f t="shared" ca="1" si="25"/>
        <v>#N/A</v>
      </c>
      <c r="F50" s="406" t="e">
        <f t="shared" ca="1" si="25"/>
        <v>#N/A</v>
      </c>
      <c r="G50" s="406" t="e">
        <f t="shared" ca="1" si="25"/>
        <v>#N/A</v>
      </c>
      <c r="H50" s="406" t="e">
        <f t="shared" ca="1" si="25"/>
        <v>#N/A</v>
      </c>
      <c r="I50" s="406" t="e">
        <f t="shared" ca="1" si="25"/>
        <v>#N/A</v>
      </c>
      <c r="J50" s="406" t="e">
        <f t="shared" ca="1" si="25"/>
        <v>#N/A</v>
      </c>
      <c r="K50" s="406" t="e">
        <f t="shared" ca="1" si="25"/>
        <v>#N/A</v>
      </c>
      <c r="L50" s="406" t="e">
        <f t="shared" ca="1" si="25"/>
        <v>#N/A</v>
      </c>
      <c r="M50" s="406" t="e">
        <f t="shared" ca="1" si="25"/>
        <v>#N/A</v>
      </c>
      <c r="N50" s="406" t="e">
        <f t="shared" ca="1" si="26"/>
        <v>#N/A</v>
      </c>
      <c r="O50" s="406" t="e">
        <f t="shared" ca="1" si="26"/>
        <v>#N/A</v>
      </c>
      <c r="P50" s="406" t="e">
        <f t="shared" ca="1" si="26"/>
        <v>#N/A</v>
      </c>
      <c r="Q50" s="406" t="e">
        <f t="shared" ca="1" si="26"/>
        <v>#N/A</v>
      </c>
      <c r="R50" s="406" t="e">
        <f t="shared" ca="1" si="26"/>
        <v>#N/A</v>
      </c>
      <c r="S50" s="406" t="e">
        <f t="shared" ca="1" si="26"/>
        <v>#N/A</v>
      </c>
      <c r="T50" s="406" t="e">
        <f t="shared" ca="1" si="26"/>
        <v>#N/A</v>
      </c>
      <c r="U50" s="406" t="e">
        <f t="shared" ca="1" si="26"/>
        <v>#N/A</v>
      </c>
      <c r="V50" s="406" t="e">
        <f t="shared" ca="1" si="26"/>
        <v>#N/A</v>
      </c>
      <c r="W50" s="406" t="e">
        <f t="shared" ca="1" si="26"/>
        <v>#N/A</v>
      </c>
      <c r="X50" s="406" t="e">
        <f t="shared" ca="1" si="27"/>
        <v>#N/A</v>
      </c>
      <c r="Y50" s="406" t="e">
        <f t="shared" ca="1" si="27"/>
        <v>#N/A</v>
      </c>
      <c r="Z50" s="406" t="e">
        <f t="shared" ca="1" si="27"/>
        <v>#N/A</v>
      </c>
      <c r="AA50" s="406" t="e">
        <f t="shared" ca="1" si="27"/>
        <v>#N/A</v>
      </c>
      <c r="AB50" s="406" t="e">
        <f t="shared" ca="1" si="27"/>
        <v>#N/A</v>
      </c>
      <c r="AC50" s="406" t="e">
        <f t="shared" ca="1" si="27"/>
        <v>#N/A</v>
      </c>
      <c r="AD50" s="406" t="e">
        <f t="shared" ca="1" si="27"/>
        <v>#N/A</v>
      </c>
      <c r="AE50" s="406" t="e">
        <f t="shared" ca="1" si="27"/>
        <v>#N/A</v>
      </c>
      <c r="AF50" s="406" t="e">
        <f t="shared" ca="1" si="27"/>
        <v>#N/A</v>
      </c>
      <c r="AG50" s="406" t="e">
        <f t="shared" ca="1" si="27"/>
        <v>#N/A</v>
      </c>
      <c r="AH50" s="406" t="e">
        <f t="shared" ca="1" si="28"/>
        <v>#N/A</v>
      </c>
      <c r="AI50" s="406" t="e">
        <f t="shared" ca="1" si="28"/>
        <v>#N/A</v>
      </c>
      <c r="AJ50" s="406" t="e">
        <f t="shared" ca="1" si="28"/>
        <v>#N/A</v>
      </c>
      <c r="AK50" s="406" t="e">
        <f t="shared" ca="1" si="28"/>
        <v>#N/A</v>
      </c>
      <c r="AL50" s="406" t="e">
        <f t="shared" ca="1" si="28"/>
        <v>#N/A</v>
      </c>
      <c r="AM50" s="406" t="e">
        <f t="shared" ca="1" si="28"/>
        <v>#N/A</v>
      </c>
      <c r="AN50" s="406" t="e">
        <f t="shared" ca="1" si="28"/>
        <v>#N/A</v>
      </c>
      <c r="AO50" s="406" t="e">
        <f t="shared" ca="1" si="28"/>
        <v>#N/A</v>
      </c>
      <c r="AP50" s="406" t="e">
        <f t="shared" ca="1" si="28"/>
        <v>#N/A</v>
      </c>
      <c r="AQ50" s="406" t="e">
        <f t="shared" ca="1" si="28"/>
        <v>#N/A</v>
      </c>
      <c r="AR50" s="406" t="e">
        <f t="shared" ca="1" si="29"/>
        <v>#N/A</v>
      </c>
      <c r="AS50" s="406" t="e">
        <f t="shared" ca="1" si="29"/>
        <v>#N/A</v>
      </c>
      <c r="AT50" s="406" t="e">
        <f t="shared" ca="1" si="29"/>
        <v>#N/A</v>
      </c>
      <c r="AU50" s="406" t="e">
        <f t="shared" ca="1" si="29"/>
        <v>#N/A</v>
      </c>
      <c r="AV50" s="406" t="e">
        <f t="shared" ca="1" si="29"/>
        <v>#N/A</v>
      </c>
      <c r="AW50" s="406" t="e">
        <f t="shared" ca="1" si="29"/>
        <v>#N/A</v>
      </c>
      <c r="AX50" s="406" t="e">
        <f t="shared" ca="1" si="29"/>
        <v>#N/A</v>
      </c>
      <c r="AY50" s="406" t="e">
        <f t="shared" ca="1" si="29"/>
        <v>#N/A</v>
      </c>
      <c r="AZ50" s="406" t="e">
        <f t="shared" ca="1" si="29"/>
        <v>#N/A</v>
      </c>
      <c r="BA50" s="406" t="e">
        <f t="shared" ca="1" si="29"/>
        <v>#N/A</v>
      </c>
      <c r="BB50" s="406" t="s">
        <v>1121</v>
      </c>
      <c r="BC50" s="407" t="str">
        <f t="shared" ca="1" si="8"/>
        <v/>
      </c>
      <c r="BD50" s="410"/>
      <c r="BE50" s="410"/>
    </row>
    <row r="51" spans="3:57" x14ac:dyDescent="0.25">
      <c r="C51" s="406">
        <f t="shared" si="9"/>
        <v>49</v>
      </c>
      <c r="D51" s="406" t="e">
        <f t="shared" ca="1" si="25"/>
        <v>#N/A</v>
      </c>
      <c r="E51" s="406" t="e">
        <f t="shared" ca="1" si="25"/>
        <v>#N/A</v>
      </c>
      <c r="F51" s="406" t="e">
        <f t="shared" ca="1" si="25"/>
        <v>#N/A</v>
      </c>
      <c r="G51" s="406" t="e">
        <f t="shared" ca="1" si="25"/>
        <v>#N/A</v>
      </c>
      <c r="H51" s="406" t="e">
        <f t="shared" ca="1" si="25"/>
        <v>#N/A</v>
      </c>
      <c r="I51" s="406" t="e">
        <f t="shared" ca="1" si="25"/>
        <v>#N/A</v>
      </c>
      <c r="J51" s="406" t="e">
        <f t="shared" ca="1" si="25"/>
        <v>#N/A</v>
      </c>
      <c r="K51" s="406" t="e">
        <f t="shared" ca="1" si="25"/>
        <v>#N/A</v>
      </c>
      <c r="L51" s="406" t="e">
        <f t="shared" ca="1" si="25"/>
        <v>#N/A</v>
      </c>
      <c r="M51" s="406" t="e">
        <f t="shared" ca="1" si="25"/>
        <v>#N/A</v>
      </c>
      <c r="N51" s="406" t="e">
        <f t="shared" ca="1" si="26"/>
        <v>#N/A</v>
      </c>
      <c r="O51" s="406" t="e">
        <f t="shared" ca="1" si="26"/>
        <v>#N/A</v>
      </c>
      <c r="P51" s="406" t="e">
        <f t="shared" ca="1" si="26"/>
        <v>#N/A</v>
      </c>
      <c r="Q51" s="406" t="e">
        <f t="shared" ca="1" si="26"/>
        <v>#N/A</v>
      </c>
      <c r="R51" s="406" t="e">
        <f t="shared" ca="1" si="26"/>
        <v>#N/A</v>
      </c>
      <c r="S51" s="406" t="e">
        <f t="shared" ca="1" si="26"/>
        <v>#N/A</v>
      </c>
      <c r="T51" s="406" t="e">
        <f t="shared" ca="1" si="26"/>
        <v>#N/A</v>
      </c>
      <c r="U51" s="406" t="e">
        <f t="shared" ca="1" si="26"/>
        <v>#N/A</v>
      </c>
      <c r="V51" s="406" t="e">
        <f t="shared" ca="1" si="26"/>
        <v>#N/A</v>
      </c>
      <c r="W51" s="406" t="e">
        <f t="shared" ca="1" si="26"/>
        <v>#N/A</v>
      </c>
      <c r="X51" s="406" t="e">
        <f t="shared" ca="1" si="27"/>
        <v>#N/A</v>
      </c>
      <c r="Y51" s="406" t="e">
        <f t="shared" ca="1" si="27"/>
        <v>#N/A</v>
      </c>
      <c r="Z51" s="406" t="e">
        <f t="shared" ca="1" si="27"/>
        <v>#N/A</v>
      </c>
      <c r="AA51" s="406" t="e">
        <f t="shared" ca="1" si="27"/>
        <v>#N/A</v>
      </c>
      <c r="AB51" s="406" t="e">
        <f t="shared" ca="1" si="27"/>
        <v>#N/A</v>
      </c>
      <c r="AC51" s="406" t="e">
        <f t="shared" ca="1" si="27"/>
        <v>#N/A</v>
      </c>
      <c r="AD51" s="406" t="e">
        <f t="shared" ca="1" si="27"/>
        <v>#N/A</v>
      </c>
      <c r="AE51" s="406" t="e">
        <f t="shared" ca="1" si="27"/>
        <v>#N/A</v>
      </c>
      <c r="AF51" s="406" t="e">
        <f t="shared" ca="1" si="27"/>
        <v>#N/A</v>
      </c>
      <c r="AG51" s="406" t="e">
        <f t="shared" ca="1" si="27"/>
        <v>#N/A</v>
      </c>
      <c r="AH51" s="406" t="e">
        <f t="shared" ca="1" si="28"/>
        <v>#N/A</v>
      </c>
      <c r="AI51" s="406" t="e">
        <f t="shared" ca="1" si="28"/>
        <v>#N/A</v>
      </c>
      <c r="AJ51" s="406" t="e">
        <f t="shared" ca="1" si="28"/>
        <v>#N/A</v>
      </c>
      <c r="AK51" s="406" t="e">
        <f t="shared" ca="1" si="28"/>
        <v>#N/A</v>
      </c>
      <c r="AL51" s="406" t="e">
        <f t="shared" ca="1" si="28"/>
        <v>#N/A</v>
      </c>
      <c r="AM51" s="406" t="e">
        <f t="shared" ca="1" si="28"/>
        <v>#N/A</v>
      </c>
      <c r="AN51" s="406" t="e">
        <f t="shared" ca="1" si="28"/>
        <v>#N/A</v>
      </c>
      <c r="AO51" s="406" t="e">
        <f t="shared" ca="1" si="28"/>
        <v>#N/A</v>
      </c>
      <c r="AP51" s="406" t="e">
        <f t="shared" ca="1" si="28"/>
        <v>#N/A</v>
      </c>
      <c r="AQ51" s="406" t="e">
        <f t="shared" ca="1" si="28"/>
        <v>#N/A</v>
      </c>
      <c r="AR51" s="406" t="e">
        <f t="shared" ca="1" si="29"/>
        <v>#N/A</v>
      </c>
      <c r="AS51" s="406" t="e">
        <f t="shared" ca="1" si="29"/>
        <v>#N/A</v>
      </c>
      <c r="AT51" s="406" t="e">
        <f t="shared" ca="1" si="29"/>
        <v>#N/A</v>
      </c>
      <c r="AU51" s="406" t="e">
        <f t="shared" ca="1" si="29"/>
        <v>#N/A</v>
      </c>
      <c r="AV51" s="406" t="e">
        <f t="shared" ca="1" si="29"/>
        <v>#N/A</v>
      </c>
      <c r="AW51" s="406" t="e">
        <f t="shared" ca="1" si="29"/>
        <v>#N/A</v>
      </c>
      <c r="AX51" s="406" t="e">
        <f t="shared" ca="1" si="29"/>
        <v>#N/A</v>
      </c>
      <c r="AY51" s="406" t="e">
        <f t="shared" ca="1" si="29"/>
        <v>#N/A</v>
      </c>
      <c r="AZ51" s="406" t="e">
        <f t="shared" ca="1" si="29"/>
        <v>#N/A</v>
      </c>
      <c r="BA51" s="406" t="e">
        <f t="shared" ca="1" si="29"/>
        <v>#N/A</v>
      </c>
      <c r="BB51" s="406" t="s">
        <v>1122</v>
      </c>
      <c r="BC51" s="407" t="str">
        <f t="shared" ca="1" si="8"/>
        <v/>
      </c>
      <c r="BD51" s="410"/>
      <c r="BE51" s="410"/>
    </row>
    <row r="52" spans="3:57" x14ac:dyDescent="0.25">
      <c r="C52" s="406">
        <f t="shared" si="9"/>
        <v>50</v>
      </c>
      <c r="D52" s="406" t="e">
        <f t="shared" ref="D52:M61" ca="1" si="30">TRIM(INDIRECT("'" &amp; "TNX RTF" &amp; "'!" &amp; ADDRESS($A$3+$C52,D$1)))</f>
        <v>#N/A</v>
      </c>
      <c r="E52" s="406" t="e">
        <f t="shared" ca="1" si="30"/>
        <v>#N/A</v>
      </c>
      <c r="F52" s="406" t="e">
        <f t="shared" ca="1" si="30"/>
        <v>#N/A</v>
      </c>
      <c r="G52" s="406" t="e">
        <f t="shared" ca="1" si="30"/>
        <v>#N/A</v>
      </c>
      <c r="H52" s="406" t="e">
        <f t="shared" ca="1" si="30"/>
        <v>#N/A</v>
      </c>
      <c r="I52" s="406" t="e">
        <f t="shared" ca="1" si="30"/>
        <v>#N/A</v>
      </c>
      <c r="J52" s="406" t="e">
        <f t="shared" ca="1" si="30"/>
        <v>#N/A</v>
      </c>
      <c r="K52" s="406" t="e">
        <f t="shared" ca="1" si="30"/>
        <v>#N/A</v>
      </c>
      <c r="L52" s="406" t="e">
        <f t="shared" ca="1" si="30"/>
        <v>#N/A</v>
      </c>
      <c r="M52" s="406" t="e">
        <f t="shared" ca="1" si="30"/>
        <v>#N/A</v>
      </c>
      <c r="N52" s="406" t="e">
        <f t="shared" ref="N52:W61" ca="1" si="31">TRIM(INDIRECT("'" &amp; "TNX RTF" &amp; "'!" &amp; ADDRESS($A$3+$C52,N$1)))</f>
        <v>#N/A</v>
      </c>
      <c r="O52" s="406" t="e">
        <f t="shared" ca="1" si="31"/>
        <v>#N/A</v>
      </c>
      <c r="P52" s="406" t="e">
        <f t="shared" ca="1" si="31"/>
        <v>#N/A</v>
      </c>
      <c r="Q52" s="406" t="e">
        <f t="shared" ca="1" si="31"/>
        <v>#N/A</v>
      </c>
      <c r="R52" s="406" t="e">
        <f t="shared" ca="1" si="31"/>
        <v>#N/A</v>
      </c>
      <c r="S52" s="406" t="e">
        <f t="shared" ca="1" si="31"/>
        <v>#N/A</v>
      </c>
      <c r="T52" s="406" t="e">
        <f t="shared" ca="1" si="31"/>
        <v>#N/A</v>
      </c>
      <c r="U52" s="406" t="e">
        <f t="shared" ca="1" si="31"/>
        <v>#N/A</v>
      </c>
      <c r="V52" s="406" t="e">
        <f t="shared" ca="1" si="31"/>
        <v>#N/A</v>
      </c>
      <c r="W52" s="406" t="e">
        <f t="shared" ca="1" si="31"/>
        <v>#N/A</v>
      </c>
      <c r="X52" s="406" t="e">
        <f t="shared" ref="X52:AG61" ca="1" si="32">TRIM(INDIRECT("'" &amp; "TNX RTF" &amp; "'!" &amp; ADDRESS($A$3+$C52,X$1)))</f>
        <v>#N/A</v>
      </c>
      <c r="Y52" s="406" t="e">
        <f t="shared" ca="1" si="32"/>
        <v>#N/A</v>
      </c>
      <c r="Z52" s="406" t="e">
        <f t="shared" ca="1" si="32"/>
        <v>#N/A</v>
      </c>
      <c r="AA52" s="406" t="e">
        <f t="shared" ca="1" si="32"/>
        <v>#N/A</v>
      </c>
      <c r="AB52" s="406" t="e">
        <f t="shared" ca="1" si="32"/>
        <v>#N/A</v>
      </c>
      <c r="AC52" s="406" t="e">
        <f t="shared" ca="1" si="32"/>
        <v>#N/A</v>
      </c>
      <c r="AD52" s="406" t="e">
        <f t="shared" ca="1" si="32"/>
        <v>#N/A</v>
      </c>
      <c r="AE52" s="406" t="e">
        <f t="shared" ca="1" si="32"/>
        <v>#N/A</v>
      </c>
      <c r="AF52" s="406" t="e">
        <f t="shared" ca="1" si="32"/>
        <v>#N/A</v>
      </c>
      <c r="AG52" s="406" t="e">
        <f t="shared" ca="1" si="32"/>
        <v>#N/A</v>
      </c>
      <c r="AH52" s="406" t="e">
        <f t="shared" ref="AH52:AQ61" ca="1" si="33">TRIM(INDIRECT("'" &amp; "TNX RTF" &amp; "'!" &amp; ADDRESS($A$3+$C52,AH$1)))</f>
        <v>#N/A</v>
      </c>
      <c r="AI52" s="406" t="e">
        <f t="shared" ca="1" si="33"/>
        <v>#N/A</v>
      </c>
      <c r="AJ52" s="406" t="e">
        <f t="shared" ca="1" si="33"/>
        <v>#N/A</v>
      </c>
      <c r="AK52" s="406" t="e">
        <f t="shared" ca="1" si="33"/>
        <v>#N/A</v>
      </c>
      <c r="AL52" s="406" t="e">
        <f t="shared" ca="1" si="33"/>
        <v>#N/A</v>
      </c>
      <c r="AM52" s="406" t="e">
        <f t="shared" ca="1" si="33"/>
        <v>#N/A</v>
      </c>
      <c r="AN52" s="406" t="e">
        <f t="shared" ca="1" si="33"/>
        <v>#N/A</v>
      </c>
      <c r="AO52" s="406" t="e">
        <f t="shared" ca="1" si="33"/>
        <v>#N/A</v>
      </c>
      <c r="AP52" s="406" t="e">
        <f t="shared" ca="1" si="33"/>
        <v>#N/A</v>
      </c>
      <c r="AQ52" s="406" t="e">
        <f t="shared" ca="1" si="33"/>
        <v>#N/A</v>
      </c>
      <c r="AR52" s="406" t="e">
        <f t="shared" ref="AR52:BA61" ca="1" si="34">TRIM(INDIRECT("'" &amp; "TNX RTF" &amp; "'!" &amp; ADDRESS($A$3+$C52,AR$1)))</f>
        <v>#N/A</v>
      </c>
      <c r="AS52" s="406" t="e">
        <f t="shared" ca="1" si="34"/>
        <v>#N/A</v>
      </c>
      <c r="AT52" s="406" t="e">
        <f t="shared" ca="1" si="34"/>
        <v>#N/A</v>
      </c>
      <c r="AU52" s="406" t="e">
        <f t="shared" ca="1" si="34"/>
        <v>#N/A</v>
      </c>
      <c r="AV52" s="406" t="e">
        <f t="shared" ca="1" si="34"/>
        <v>#N/A</v>
      </c>
      <c r="AW52" s="406" t="e">
        <f t="shared" ca="1" si="34"/>
        <v>#N/A</v>
      </c>
      <c r="AX52" s="406" t="e">
        <f t="shared" ca="1" si="34"/>
        <v>#N/A</v>
      </c>
      <c r="AY52" s="406" t="e">
        <f t="shared" ca="1" si="34"/>
        <v>#N/A</v>
      </c>
      <c r="AZ52" s="406" t="e">
        <f t="shared" ca="1" si="34"/>
        <v>#N/A</v>
      </c>
      <c r="BA52" s="406" t="e">
        <f t="shared" ca="1" si="34"/>
        <v>#N/A</v>
      </c>
      <c r="BB52" s="406" t="s">
        <v>1123</v>
      </c>
      <c r="BC52" s="407" t="str">
        <f t="shared" ca="1" si="8"/>
        <v/>
      </c>
      <c r="BD52" s="410"/>
      <c r="BE52" s="410"/>
    </row>
    <row r="53" spans="3:57" x14ac:dyDescent="0.25">
      <c r="C53" s="406">
        <f t="shared" si="9"/>
        <v>51</v>
      </c>
      <c r="D53" s="406" t="e">
        <f t="shared" ca="1" si="30"/>
        <v>#N/A</v>
      </c>
      <c r="E53" s="406" t="e">
        <f t="shared" ca="1" si="30"/>
        <v>#N/A</v>
      </c>
      <c r="F53" s="406" t="e">
        <f t="shared" ca="1" si="30"/>
        <v>#N/A</v>
      </c>
      <c r="G53" s="406" t="e">
        <f t="shared" ca="1" si="30"/>
        <v>#N/A</v>
      </c>
      <c r="H53" s="406" t="e">
        <f t="shared" ca="1" si="30"/>
        <v>#N/A</v>
      </c>
      <c r="I53" s="406" t="e">
        <f t="shared" ca="1" si="30"/>
        <v>#N/A</v>
      </c>
      <c r="J53" s="406" t="e">
        <f t="shared" ca="1" si="30"/>
        <v>#N/A</v>
      </c>
      <c r="K53" s="406" t="e">
        <f t="shared" ca="1" si="30"/>
        <v>#N/A</v>
      </c>
      <c r="L53" s="406" t="e">
        <f t="shared" ca="1" si="30"/>
        <v>#N/A</v>
      </c>
      <c r="M53" s="406" t="e">
        <f t="shared" ca="1" si="30"/>
        <v>#N/A</v>
      </c>
      <c r="N53" s="406" t="e">
        <f t="shared" ca="1" si="31"/>
        <v>#N/A</v>
      </c>
      <c r="O53" s="406" t="e">
        <f t="shared" ca="1" si="31"/>
        <v>#N/A</v>
      </c>
      <c r="P53" s="406" t="e">
        <f t="shared" ca="1" si="31"/>
        <v>#N/A</v>
      </c>
      <c r="Q53" s="406" t="e">
        <f t="shared" ca="1" si="31"/>
        <v>#N/A</v>
      </c>
      <c r="R53" s="406" t="e">
        <f t="shared" ca="1" si="31"/>
        <v>#N/A</v>
      </c>
      <c r="S53" s="406" t="e">
        <f t="shared" ca="1" si="31"/>
        <v>#N/A</v>
      </c>
      <c r="T53" s="406" t="e">
        <f t="shared" ca="1" si="31"/>
        <v>#N/A</v>
      </c>
      <c r="U53" s="406" t="e">
        <f t="shared" ca="1" si="31"/>
        <v>#N/A</v>
      </c>
      <c r="V53" s="406" t="e">
        <f t="shared" ca="1" si="31"/>
        <v>#N/A</v>
      </c>
      <c r="W53" s="406" t="e">
        <f t="shared" ca="1" si="31"/>
        <v>#N/A</v>
      </c>
      <c r="X53" s="406" t="e">
        <f t="shared" ca="1" si="32"/>
        <v>#N/A</v>
      </c>
      <c r="Y53" s="406" t="e">
        <f t="shared" ca="1" si="32"/>
        <v>#N/A</v>
      </c>
      <c r="Z53" s="406" t="e">
        <f t="shared" ca="1" si="32"/>
        <v>#N/A</v>
      </c>
      <c r="AA53" s="406" t="e">
        <f t="shared" ca="1" si="32"/>
        <v>#N/A</v>
      </c>
      <c r="AB53" s="406" t="e">
        <f t="shared" ca="1" si="32"/>
        <v>#N/A</v>
      </c>
      <c r="AC53" s="406" t="e">
        <f t="shared" ca="1" si="32"/>
        <v>#N/A</v>
      </c>
      <c r="AD53" s="406" t="e">
        <f t="shared" ca="1" si="32"/>
        <v>#N/A</v>
      </c>
      <c r="AE53" s="406" t="e">
        <f t="shared" ca="1" si="32"/>
        <v>#N/A</v>
      </c>
      <c r="AF53" s="406" t="e">
        <f t="shared" ca="1" si="32"/>
        <v>#N/A</v>
      </c>
      <c r="AG53" s="406" t="e">
        <f t="shared" ca="1" si="32"/>
        <v>#N/A</v>
      </c>
      <c r="AH53" s="406" t="e">
        <f t="shared" ca="1" si="33"/>
        <v>#N/A</v>
      </c>
      <c r="AI53" s="406" t="e">
        <f t="shared" ca="1" si="33"/>
        <v>#N/A</v>
      </c>
      <c r="AJ53" s="406" t="e">
        <f t="shared" ca="1" si="33"/>
        <v>#N/A</v>
      </c>
      <c r="AK53" s="406" t="e">
        <f t="shared" ca="1" si="33"/>
        <v>#N/A</v>
      </c>
      <c r="AL53" s="406" t="e">
        <f t="shared" ca="1" si="33"/>
        <v>#N/A</v>
      </c>
      <c r="AM53" s="406" t="e">
        <f t="shared" ca="1" si="33"/>
        <v>#N/A</v>
      </c>
      <c r="AN53" s="406" t="e">
        <f t="shared" ca="1" si="33"/>
        <v>#N/A</v>
      </c>
      <c r="AO53" s="406" t="e">
        <f t="shared" ca="1" si="33"/>
        <v>#N/A</v>
      </c>
      <c r="AP53" s="406" t="e">
        <f t="shared" ca="1" si="33"/>
        <v>#N/A</v>
      </c>
      <c r="AQ53" s="406" t="e">
        <f t="shared" ca="1" si="33"/>
        <v>#N/A</v>
      </c>
      <c r="AR53" s="406" t="e">
        <f t="shared" ca="1" si="34"/>
        <v>#N/A</v>
      </c>
      <c r="AS53" s="406" t="e">
        <f t="shared" ca="1" si="34"/>
        <v>#N/A</v>
      </c>
      <c r="AT53" s="406" t="e">
        <f t="shared" ca="1" si="34"/>
        <v>#N/A</v>
      </c>
      <c r="AU53" s="406" t="e">
        <f t="shared" ca="1" si="34"/>
        <v>#N/A</v>
      </c>
      <c r="AV53" s="406" t="e">
        <f t="shared" ca="1" si="34"/>
        <v>#N/A</v>
      </c>
      <c r="AW53" s="406" t="e">
        <f t="shared" ca="1" si="34"/>
        <v>#N/A</v>
      </c>
      <c r="AX53" s="406" t="e">
        <f t="shared" ca="1" si="34"/>
        <v>#N/A</v>
      </c>
      <c r="AY53" s="406" t="e">
        <f t="shared" ca="1" si="34"/>
        <v>#N/A</v>
      </c>
      <c r="AZ53" s="406" t="e">
        <f t="shared" ca="1" si="34"/>
        <v>#N/A</v>
      </c>
      <c r="BA53" s="406" t="e">
        <f t="shared" ca="1" si="34"/>
        <v>#N/A</v>
      </c>
      <c r="BB53" s="406" t="s">
        <v>1124</v>
      </c>
      <c r="BC53" s="407" t="str">
        <f t="shared" ca="1" si="8"/>
        <v/>
      </c>
      <c r="BD53" s="410"/>
      <c r="BE53" s="410"/>
    </row>
    <row r="54" spans="3:57" x14ac:dyDescent="0.25">
      <c r="C54" s="406">
        <f t="shared" si="9"/>
        <v>52</v>
      </c>
      <c r="D54" s="406" t="e">
        <f t="shared" ca="1" si="30"/>
        <v>#N/A</v>
      </c>
      <c r="E54" s="406" t="e">
        <f t="shared" ca="1" si="30"/>
        <v>#N/A</v>
      </c>
      <c r="F54" s="406" t="e">
        <f t="shared" ca="1" si="30"/>
        <v>#N/A</v>
      </c>
      <c r="G54" s="406" t="e">
        <f t="shared" ca="1" si="30"/>
        <v>#N/A</v>
      </c>
      <c r="H54" s="406" t="e">
        <f t="shared" ca="1" si="30"/>
        <v>#N/A</v>
      </c>
      <c r="I54" s="406" t="e">
        <f t="shared" ca="1" si="30"/>
        <v>#N/A</v>
      </c>
      <c r="J54" s="406" t="e">
        <f t="shared" ca="1" si="30"/>
        <v>#N/A</v>
      </c>
      <c r="K54" s="406" t="e">
        <f t="shared" ca="1" si="30"/>
        <v>#N/A</v>
      </c>
      <c r="L54" s="406" t="e">
        <f t="shared" ca="1" si="30"/>
        <v>#N/A</v>
      </c>
      <c r="M54" s="406" t="e">
        <f t="shared" ca="1" si="30"/>
        <v>#N/A</v>
      </c>
      <c r="N54" s="406" t="e">
        <f t="shared" ca="1" si="31"/>
        <v>#N/A</v>
      </c>
      <c r="O54" s="406" t="e">
        <f t="shared" ca="1" si="31"/>
        <v>#N/A</v>
      </c>
      <c r="P54" s="406" t="e">
        <f t="shared" ca="1" si="31"/>
        <v>#N/A</v>
      </c>
      <c r="Q54" s="406" t="e">
        <f t="shared" ca="1" si="31"/>
        <v>#N/A</v>
      </c>
      <c r="R54" s="406" t="e">
        <f t="shared" ca="1" si="31"/>
        <v>#N/A</v>
      </c>
      <c r="S54" s="406" t="e">
        <f t="shared" ca="1" si="31"/>
        <v>#N/A</v>
      </c>
      <c r="T54" s="406" t="e">
        <f t="shared" ca="1" si="31"/>
        <v>#N/A</v>
      </c>
      <c r="U54" s="406" t="e">
        <f t="shared" ca="1" si="31"/>
        <v>#N/A</v>
      </c>
      <c r="V54" s="406" t="e">
        <f t="shared" ca="1" si="31"/>
        <v>#N/A</v>
      </c>
      <c r="W54" s="406" t="e">
        <f t="shared" ca="1" si="31"/>
        <v>#N/A</v>
      </c>
      <c r="X54" s="406" t="e">
        <f t="shared" ca="1" si="32"/>
        <v>#N/A</v>
      </c>
      <c r="Y54" s="406" t="e">
        <f t="shared" ca="1" si="32"/>
        <v>#N/A</v>
      </c>
      <c r="Z54" s="406" t="e">
        <f t="shared" ca="1" si="32"/>
        <v>#N/A</v>
      </c>
      <c r="AA54" s="406" t="e">
        <f t="shared" ca="1" si="32"/>
        <v>#N/A</v>
      </c>
      <c r="AB54" s="406" t="e">
        <f t="shared" ca="1" si="32"/>
        <v>#N/A</v>
      </c>
      <c r="AC54" s="406" t="e">
        <f t="shared" ca="1" si="32"/>
        <v>#N/A</v>
      </c>
      <c r="AD54" s="406" t="e">
        <f t="shared" ca="1" si="32"/>
        <v>#N/A</v>
      </c>
      <c r="AE54" s="406" t="e">
        <f t="shared" ca="1" si="32"/>
        <v>#N/A</v>
      </c>
      <c r="AF54" s="406" t="e">
        <f t="shared" ca="1" si="32"/>
        <v>#N/A</v>
      </c>
      <c r="AG54" s="406" t="e">
        <f t="shared" ca="1" si="32"/>
        <v>#N/A</v>
      </c>
      <c r="AH54" s="406" t="e">
        <f t="shared" ca="1" si="33"/>
        <v>#N/A</v>
      </c>
      <c r="AI54" s="406" t="e">
        <f t="shared" ca="1" si="33"/>
        <v>#N/A</v>
      </c>
      <c r="AJ54" s="406" t="e">
        <f t="shared" ca="1" si="33"/>
        <v>#N/A</v>
      </c>
      <c r="AK54" s="406" t="e">
        <f t="shared" ca="1" si="33"/>
        <v>#N/A</v>
      </c>
      <c r="AL54" s="406" t="e">
        <f t="shared" ca="1" si="33"/>
        <v>#N/A</v>
      </c>
      <c r="AM54" s="406" t="e">
        <f t="shared" ca="1" si="33"/>
        <v>#N/A</v>
      </c>
      <c r="AN54" s="406" t="e">
        <f t="shared" ca="1" si="33"/>
        <v>#N/A</v>
      </c>
      <c r="AO54" s="406" t="e">
        <f t="shared" ca="1" si="33"/>
        <v>#N/A</v>
      </c>
      <c r="AP54" s="406" t="e">
        <f t="shared" ca="1" si="33"/>
        <v>#N/A</v>
      </c>
      <c r="AQ54" s="406" t="e">
        <f t="shared" ca="1" si="33"/>
        <v>#N/A</v>
      </c>
      <c r="AR54" s="406" t="e">
        <f t="shared" ca="1" si="34"/>
        <v>#N/A</v>
      </c>
      <c r="AS54" s="406" t="e">
        <f t="shared" ca="1" si="34"/>
        <v>#N/A</v>
      </c>
      <c r="AT54" s="406" t="e">
        <f t="shared" ca="1" si="34"/>
        <v>#N/A</v>
      </c>
      <c r="AU54" s="406" t="e">
        <f t="shared" ca="1" si="34"/>
        <v>#N/A</v>
      </c>
      <c r="AV54" s="406" t="e">
        <f t="shared" ca="1" si="34"/>
        <v>#N/A</v>
      </c>
      <c r="AW54" s="406" t="e">
        <f t="shared" ca="1" si="34"/>
        <v>#N/A</v>
      </c>
      <c r="AX54" s="406" t="e">
        <f t="shared" ca="1" si="34"/>
        <v>#N/A</v>
      </c>
      <c r="AY54" s="406" t="e">
        <f t="shared" ca="1" si="34"/>
        <v>#N/A</v>
      </c>
      <c r="AZ54" s="406" t="e">
        <f t="shared" ca="1" si="34"/>
        <v>#N/A</v>
      </c>
      <c r="BA54" s="406" t="e">
        <f t="shared" ca="1" si="34"/>
        <v>#N/A</v>
      </c>
      <c r="BB54" s="406" t="s">
        <v>1125</v>
      </c>
      <c r="BC54" s="407" t="str">
        <f t="shared" ca="1" si="8"/>
        <v/>
      </c>
      <c r="BD54" s="410"/>
      <c r="BE54" s="410"/>
    </row>
    <row r="55" spans="3:57" x14ac:dyDescent="0.25">
      <c r="C55" s="406">
        <f t="shared" si="9"/>
        <v>53</v>
      </c>
      <c r="D55" s="406" t="e">
        <f t="shared" ca="1" si="30"/>
        <v>#N/A</v>
      </c>
      <c r="E55" s="406" t="e">
        <f t="shared" ca="1" si="30"/>
        <v>#N/A</v>
      </c>
      <c r="F55" s="406" t="e">
        <f t="shared" ca="1" si="30"/>
        <v>#N/A</v>
      </c>
      <c r="G55" s="406" t="e">
        <f t="shared" ca="1" si="30"/>
        <v>#N/A</v>
      </c>
      <c r="H55" s="406" t="e">
        <f t="shared" ca="1" si="30"/>
        <v>#N/A</v>
      </c>
      <c r="I55" s="406" t="e">
        <f t="shared" ca="1" si="30"/>
        <v>#N/A</v>
      </c>
      <c r="J55" s="406" t="e">
        <f t="shared" ca="1" si="30"/>
        <v>#N/A</v>
      </c>
      <c r="K55" s="406" t="e">
        <f t="shared" ca="1" si="30"/>
        <v>#N/A</v>
      </c>
      <c r="L55" s="406" t="e">
        <f t="shared" ca="1" si="30"/>
        <v>#N/A</v>
      </c>
      <c r="M55" s="406" t="e">
        <f t="shared" ca="1" si="30"/>
        <v>#N/A</v>
      </c>
      <c r="N55" s="406" t="e">
        <f t="shared" ca="1" si="31"/>
        <v>#N/A</v>
      </c>
      <c r="O55" s="406" t="e">
        <f t="shared" ca="1" si="31"/>
        <v>#N/A</v>
      </c>
      <c r="P55" s="406" t="e">
        <f t="shared" ca="1" si="31"/>
        <v>#N/A</v>
      </c>
      <c r="Q55" s="406" t="e">
        <f t="shared" ca="1" si="31"/>
        <v>#N/A</v>
      </c>
      <c r="R55" s="406" t="e">
        <f t="shared" ca="1" si="31"/>
        <v>#N/A</v>
      </c>
      <c r="S55" s="406" t="e">
        <f t="shared" ca="1" si="31"/>
        <v>#N/A</v>
      </c>
      <c r="T55" s="406" t="e">
        <f t="shared" ca="1" si="31"/>
        <v>#N/A</v>
      </c>
      <c r="U55" s="406" t="e">
        <f t="shared" ca="1" si="31"/>
        <v>#N/A</v>
      </c>
      <c r="V55" s="406" t="e">
        <f t="shared" ca="1" si="31"/>
        <v>#N/A</v>
      </c>
      <c r="W55" s="406" t="e">
        <f t="shared" ca="1" si="31"/>
        <v>#N/A</v>
      </c>
      <c r="X55" s="406" t="e">
        <f t="shared" ca="1" si="32"/>
        <v>#N/A</v>
      </c>
      <c r="Y55" s="406" t="e">
        <f t="shared" ca="1" si="32"/>
        <v>#N/A</v>
      </c>
      <c r="Z55" s="406" t="e">
        <f t="shared" ca="1" si="32"/>
        <v>#N/A</v>
      </c>
      <c r="AA55" s="406" t="e">
        <f t="shared" ca="1" si="32"/>
        <v>#N/A</v>
      </c>
      <c r="AB55" s="406" t="e">
        <f t="shared" ca="1" si="32"/>
        <v>#N/A</v>
      </c>
      <c r="AC55" s="406" t="e">
        <f t="shared" ca="1" si="32"/>
        <v>#N/A</v>
      </c>
      <c r="AD55" s="406" t="e">
        <f t="shared" ca="1" si="32"/>
        <v>#N/A</v>
      </c>
      <c r="AE55" s="406" t="e">
        <f t="shared" ca="1" si="32"/>
        <v>#N/A</v>
      </c>
      <c r="AF55" s="406" t="e">
        <f t="shared" ca="1" si="32"/>
        <v>#N/A</v>
      </c>
      <c r="AG55" s="406" t="e">
        <f t="shared" ca="1" si="32"/>
        <v>#N/A</v>
      </c>
      <c r="AH55" s="406" t="e">
        <f t="shared" ca="1" si="33"/>
        <v>#N/A</v>
      </c>
      <c r="AI55" s="406" t="e">
        <f t="shared" ca="1" si="33"/>
        <v>#N/A</v>
      </c>
      <c r="AJ55" s="406" t="e">
        <f t="shared" ca="1" si="33"/>
        <v>#N/A</v>
      </c>
      <c r="AK55" s="406" t="e">
        <f t="shared" ca="1" si="33"/>
        <v>#N/A</v>
      </c>
      <c r="AL55" s="406" t="e">
        <f t="shared" ca="1" si="33"/>
        <v>#N/A</v>
      </c>
      <c r="AM55" s="406" t="e">
        <f t="shared" ca="1" si="33"/>
        <v>#N/A</v>
      </c>
      <c r="AN55" s="406" t="e">
        <f t="shared" ca="1" si="33"/>
        <v>#N/A</v>
      </c>
      <c r="AO55" s="406" t="e">
        <f t="shared" ca="1" si="33"/>
        <v>#N/A</v>
      </c>
      <c r="AP55" s="406" t="e">
        <f t="shared" ca="1" si="33"/>
        <v>#N/A</v>
      </c>
      <c r="AQ55" s="406" t="e">
        <f t="shared" ca="1" si="33"/>
        <v>#N/A</v>
      </c>
      <c r="AR55" s="406" t="e">
        <f t="shared" ca="1" si="34"/>
        <v>#N/A</v>
      </c>
      <c r="AS55" s="406" t="e">
        <f t="shared" ca="1" si="34"/>
        <v>#N/A</v>
      </c>
      <c r="AT55" s="406" t="e">
        <f t="shared" ca="1" si="34"/>
        <v>#N/A</v>
      </c>
      <c r="AU55" s="406" t="e">
        <f t="shared" ca="1" si="34"/>
        <v>#N/A</v>
      </c>
      <c r="AV55" s="406" t="e">
        <f t="shared" ca="1" si="34"/>
        <v>#N/A</v>
      </c>
      <c r="AW55" s="406" t="e">
        <f t="shared" ca="1" si="34"/>
        <v>#N/A</v>
      </c>
      <c r="AX55" s="406" t="e">
        <f t="shared" ca="1" si="34"/>
        <v>#N/A</v>
      </c>
      <c r="AY55" s="406" t="e">
        <f t="shared" ca="1" si="34"/>
        <v>#N/A</v>
      </c>
      <c r="AZ55" s="406" t="e">
        <f t="shared" ca="1" si="34"/>
        <v>#N/A</v>
      </c>
      <c r="BA55" s="406" t="e">
        <f t="shared" ca="1" si="34"/>
        <v>#N/A</v>
      </c>
      <c r="BB55" s="406" t="s">
        <v>1126</v>
      </c>
      <c r="BC55" s="407" t="str">
        <f t="shared" ca="1" si="8"/>
        <v/>
      </c>
      <c r="BD55" s="410"/>
      <c r="BE55" s="410"/>
    </row>
    <row r="56" spans="3:57" x14ac:dyDescent="0.25">
      <c r="C56" s="406">
        <f t="shared" si="9"/>
        <v>54</v>
      </c>
      <c r="D56" s="406" t="e">
        <f t="shared" ca="1" si="30"/>
        <v>#N/A</v>
      </c>
      <c r="E56" s="406" t="e">
        <f t="shared" ca="1" si="30"/>
        <v>#N/A</v>
      </c>
      <c r="F56" s="406" t="e">
        <f t="shared" ca="1" si="30"/>
        <v>#N/A</v>
      </c>
      <c r="G56" s="406" t="e">
        <f t="shared" ca="1" si="30"/>
        <v>#N/A</v>
      </c>
      <c r="H56" s="406" t="e">
        <f t="shared" ca="1" si="30"/>
        <v>#N/A</v>
      </c>
      <c r="I56" s="406" t="e">
        <f t="shared" ca="1" si="30"/>
        <v>#N/A</v>
      </c>
      <c r="J56" s="406" t="e">
        <f t="shared" ca="1" si="30"/>
        <v>#N/A</v>
      </c>
      <c r="K56" s="406" t="e">
        <f t="shared" ca="1" si="30"/>
        <v>#N/A</v>
      </c>
      <c r="L56" s="406" t="e">
        <f t="shared" ca="1" si="30"/>
        <v>#N/A</v>
      </c>
      <c r="M56" s="406" t="e">
        <f t="shared" ca="1" si="30"/>
        <v>#N/A</v>
      </c>
      <c r="N56" s="406" t="e">
        <f t="shared" ca="1" si="31"/>
        <v>#N/A</v>
      </c>
      <c r="O56" s="406" t="e">
        <f t="shared" ca="1" si="31"/>
        <v>#N/A</v>
      </c>
      <c r="P56" s="406" t="e">
        <f t="shared" ca="1" si="31"/>
        <v>#N/A</v>
      </c>
      <c r="Q56" s="406" t="e">
        <f t="shared" ca="1" si="31"/>
        <v>#N/A</v>
      </c>
      <c r="R56" s="406" t="e">
        <f t="shared" ca="1" si="31"/>
        <v>#N/A</v>
      </c>
      <c r="S56" s="406" t="e">
        <f t="shared" ca="1" si="31"/>
        <v>#N/A</v>
      </c>
      <c r="T56" s="406" t="e">
        <f t="shared" ca="1" si="31"/>
        <v>#N/A</v>
      </c>
      <c r="U56" s="406" t="e">
        <f t="shared" ca="1" si="31"/>
        <v>#N/A</v>
      </c>
      <c r="V56" s="406" t="e">
        <f t="shared" ca="1" si="31"/>
        <v>#N/A</v>
      </c>
      <c r="W56" s="406" t="e">
        <f t="shared" ca="1" si="31"/>
        <v>#N/A</v>
      </c>
      <c r="X56" s="406" t="e">
        <f t="shared" ca="1" si="32"/>
        <v>#N/A</v>
      </c>
      <c r="Y56" s="406" t="e">
        <f t="shared" ca="1" si="32"/>
        <v>#N/A</v>
      </c>
      <c r="Z56" s="406" t="e">
        <f t="shared" ca="1" si="32"/>
        <v>#N/A</v>
      </c>
      <c r="AA56" s="406" t="e">
        <f t="shared" ca="1" si="32"/>
        <v>#N/A</v>
      </c>
      <c r="AB56" s="406" t="e">
        <f t="shared" ca="1" si="32"/>
        <v>#N/A</v>
      </c>
      <c r="AC56" s="406" t="e">
        <f t="shared" ca="1" si="32"/>
        <v>#N/A</v>
      </c>
      <c r="AD56" s="406" t="e">
        <f t="shared" ca="1" si="32"/>
        <v>#N/A</v>
      </c>
      <c r="AE56" s="406" t="e">
        <f t="shared" ca="1" si="32"/>
        <v>#N/A</v>
      </c>
      <c r="AF56" s="406" t="e">
        <f t="shared" ca="1" si="32"/>
        <v>#N/A</v>
      </c>
      <c r="AG56" s="406" t="e">
        <f t="shared" ca="1" si="32"/>
        <v>#N/A</v>
      </c>
      <c r="AH56" s="406" t="e">
        <f t="shared" ca="1" si="33"/>
        <v>#N/A</v>
      </c>
      <c r="AI56" s="406" t="e">
        <f t="shared" ca="1" si="33"/>
        <v>#N/A</v>
      </c>
      <c r="AJ56" s="406" t="e">
        <f t="shared" ca="1" si="33"/>
        <v>#N/A</v>
      </c>
      <c r="AK56" s="406" t="e">
        <f t="shared" ca="1" si="33"/>
        <v>#N/A</v>
      </c>
      <c r="AL56" s="406" t="e">
        <f t="shared" ca="1" si="33"/>
        <v>#N/A</v>
      </c>
      <c r="AM56" s="406" t="e">
        <f t="shared" ca="1" si="33"/>
        <v>#N/A</v>
      </c>
      <c r="AN56" s="406" t="e">
        <f t="shared" ca="1" si="33"/>
        <v>#N/A</v>
      </c>
      <c r="AO56" s="406" t="e">
        <f t="shared" ca="1" si="33"/>
        <v>#N/A</v>
      </c>
      <c r="AP56" s="406" t="e">
        <f t="shared" ca="1" si="33"/>
        <v>#N/A</v>
      </c>
      <c r="AQ56" s="406" t="e">
        <f t="shared" ca="1" si="33"/>
        <v>#N/A</v>
      </c>
      <c r="AR56" s="406" t="e">
        <f t="shared" ca="1" si="34"/>
        <v>#N/A</v>
      </c>
      <c r="AS56" s="406" t="e">
        <f t="shared" ca="1" si="34"/>
        <v>#N/A</v>
      </c>
      <c r="AT56" s="406" t="e">
        <f t="shared" ca="1" si="34"/>
        <v>#N/A</v>
      </c>
      <c r="AU56" s="406" t="e">
        <f t="shared" ca="1" si="34"/>
        <v>#N/A</v>
      </c>
      <c r="AV56" s="406" t="e">
        <f t="shared" ca="1" si="34"/>
        <v>#N/A</v>
      </c>
      <c r="AW56" s="406" t="e">
        <f t="shared" ca="1" si="34"/>
        <v>#N/A</v>
      </c>
      <c r="AX56" s="406" t="e">
        <f t="shared" ca="1" si="34"/>
        <v>#N/A</v>
      </c>
      <c r="AY56" s="406" t="e">
        <f t="shared" ca="1" si="34"/>
        <v>#N/A</v>
      </c>
      <c r="AZ56" s="406" t="e">
        <f t="shared" ca="1" si="34"/>
        <v>#N/A</v>
      </c>
      <c r="BA56" s="406" t="e">
        <f t="shared" ca="1" si="34"/>
        <v>#N/A</v>
      </c>
      <c r="BB56" s="406" t="s">
        <v>1127</v>
      </c>
      <c r="BC56" s="407" t="str">
        <f t="shared" ca="1" si="8"/>
        <v/>
      </c>
      <c r="BD56" s="410"/>
      <c r="BE56" s="410"/>
    </row>
    <row r="57" spans="3:57" x14ac:dyDescent="0.25">
      <c r="C57" s="406">
        <f t="shared" si="9"/>
        <v>55</v>
      </c>
      <c r="D57" s="406" t="e">
        <f t="shared" ca="1" si="30"/>
        <v>#N/A</v>
      </c>
      <c r="E57" s="406" t="e">
        <f t="shared" ca="1" si="30"/>
        <v>#N/A</v>
      </c>
      <c r="F57" s="406" t="e">
        <f t="shared" ca="1" si="30"/>
        <v>#N/A</v>
      </c>
      <c r="G57" s="406" t="e">
        <f t="shared" ca="1" si="30"/>
        <v>#N/A</v>
      </c>
      <c r="H57" s="406" t="e">
        <f t="shared" ca="1" si="30"/>
        <v>#N/A</v>
      </c>
      <c r="I57" s="406" t="e">
        <f t="shared" ca="1" si="30"/>
        <v>#N/A</v>
      </c>
      <c r="J57" s="406" t="e">
        <f t="shared" ca="1" si="30"/>
        <v>#N/A</v>
      </c>
      <c r="K57" s="406" t="e">
        <f t="shared" ca="1" si="30"/>
        <v>#N/A</v>
      </c>
      <c r="L57" s="406" t="e">
        <f t="shared" ca="1" si="30"/>
        <v>#N/A</v>
      </c>
      <c r="M57" s="406" t="e">
        <f t="shared" ca="1" si="30"/>
        <v>#N/A</v>
      </c>
      <c r="N57" s="406" t="e">
        <f t="shared" ca="1" si="31"/>
        <v>#N/A</v>
      </c>
      <c r="O57" s="406" t="e">
        <f t="shared" ca="1" si="31"/>
        <v>#N/A</v>
      </c>
      <c r="P57" s="406" t="e">
        <f t="shared" ca="1" si="31"/>
        <v>#N/A</v>
      </c>
      <c r="Q57" s="406" t="e">
        <f t="shared" ca="1" si="31"/>
        <v>#N/A</v>
      </c>
      <c r="R57" s="406" t="e">
        <f t="shared" ca="1" si="31"/>
        <v>#N/A</v>
      </c>
      <c r="S57" s="406" t="e">
        <f t="shared" ca="1" si="31"/>
        <v>#N/A</v>
      </c>
      <c r="T57" s="406" t="e">
        <f t="shared" ca="1" si="31"/>
        <v>#N/A</v>
      </c>
      <c r="U57" s="406" t="e">
        <f t="shared" ca="1" si="31"/>
        <v>#N/A</v>
      </c>
      <c r="V57" s="406" t="e">
        <f t="shared" ca="1" si="31"/>
        <v>#N/A</v>
      </c>
      <c r="W57" s="406" t="e">
        <f t="shared" ca="1" si="31"/>
        <v>#N/A</v>
      </c>
      <c r="X57" s="406" t="e">
        <f t="shared" ca="1" si="32"/>
        <v>#N/A</v>
      </c>
      <c r="Y57" s="406" t="e">
        <f t="shared" ca="1" si="32"/>
        <v>#N/A</v>
      </c>
      <c r="Z57" s="406" t="e">
        <f t="shared" ca="1" si="32"/>
        <v>#N/A</v>
      </c>
      <c r="AA57" s="406" t="e">
        <f t="shared" ca="1" si="32"/>
        <v>#N/A</v>
      </c>
      <c r="AB57" s="406" t="e">
        <f t="shared" ca="1" si="32"/>
        <v>#N/A</v>
      </c>
      <c r="AC57" s="406" t="e">
        <f t="shared" ca="1" si="32"/>
        <v>#N/A</v>
      </c>
      <c r="AD57" s="406" t="e">
        <f t="shared" ca="1" si="32"/>
        <v>#N/A</v>
      </c>
      <c r="AE57" s="406" t="e">
        <f t="shared" ca="1" si="32"/>
        <v>#N/A</v>
      </c>
      <c r="AF57" s="406" t="e">
        <f t="shared" ca="1" si="32"/>
        <v>#N/A</v>
      </c>
      <c r="AG57" s="406" t="e">
        <f t="shared" ca="1" si="32"/>
        <v>#N/A</v>
      </c>
      <c r="AH57" s="406" t="e">
        <f t="shared" ca="1" si="33"/>
        <v>#N/A</v>
      </c>
      <c r="AI57" s="406" t="e">
        <f t="shared" ca="1" si="33"/>
        <v>#N/A</v>
      </c>
      <c r="AJ57" s="406" t="e">
        <f t="shared" ca="1" si="33"/>
        <v>#N/A</v>
      </c>
      <c r="AK57" s="406" t="e">
        <f t="shared" ca="1" si="33"/>
        <v>#N/A</v>
      </c>
      <c r="AL57" s="406" t="e">
        <f t="shared" ca="1" si="33"/>
        <v>#N/A</v>
      </c>
      <c r="AM57" s="406" t="e">
        <f t="shared" ca="1" si="33"/>
        <v>#N/A</v>
      </c>
      <c r="AN57" s="406" t="e">
        <f t="shared" ca="1" si="33"/>
        <v>#N/A</v>
      </c>
      <c r="AO57" s="406" t="e">
        <f t="shared" ca="1" si="33"/>
        <v>#N/A</v>
      </c>
      <c r="AP57" s="406" t="e">
        <f t="shared" ca="1" si="33"/>
        <v>#N/A</v>
      </c>
      <c r="AQ57" s="406" t="e">
        <f t="shared" ca="1" si="33"/>
        <v>#N/A</v>
      </c>
      <c r="AR57" s="406" t="e">
        <f t="shared" ca="1" si="34"/>
        <v>#N/A</v>
      </c>
      <c r="AS57" s="406" t="e">
        <f t="shared" ca="1" si="34"/>
        <v>#N/A</v>
      </c>
      <c r="AT57" s="406" t="e">
        <f t="shared" ca="1" si="34"/>
        <v>#N/A</v>
      </c>
      <c r="AU57" s="406" t="e">
        <f t="shared" ca="1" si="34"/>
        <v>#N/A</v>
      </c>
      <c r="AV57" s="406" t="e">
        <f t="shared" ca="1" si="34"/>
        <v>#N/A</v>
      </c>
      <c r="AW57" s="406" t="e">
        <f t="shared" ca="1" si="34"/>
        <v>#N/A</v>
      </c>
      <c r="AX57" s="406" t="e">
        <f t="shared" ca="1" si="34"/>
        <v>#N/A</v>
      </c>
      <c r="AY57" s="406" t="e">
        <f t="shared" ca="1" si="34"/>
        <v>#N/A</v>
      </c>
      <c r="AZ57" s="406" t="e">
        <f t="shared" ca="1" si="34"/>
        <v>#N/A</v>
      </c>
      <c r="BA57" s="406" t="e">
        <f t="shared" ca="1" si="34"/>
        <v>#N/A</v>
      </c>
      <c r="BB57" s="406" t="s">
        <v>1128</v>
      </c>
      <c r="BC57" s="407" t="str">
        <f t="shared" ca="1" si="8"/>
        <v/>
      </c>
      <c r="BD57" s="410"/>
      <c r="BE57" s="410"/>
    </row>
    <row r="58" spans="3:57" x14ac:dyDescent="0.25">
      <c r="C58" s="406">
        <f t="shared" si="9"/>
        <v>56</v>
      </c>
      <c r="D58" s="406" t="e">
        <f t="shared" ca="1" si="30"/>
        <v>#N/A</v>
      </c>
      <c r="E58" s="406" t="e">
        <f t="shared" ca="1" si="30"/>
        <v>#N/A</v>
      </c>
      <c r="F58" s="406" t="e">
        <f t="shared" ca="1" si="30"/>
        <v>#N/A</v>
      </c>
      <c r="G58" s="406" t="e">
        <f t="shared" ca="1" si="30"/>
        <v>#N/A</v>
      </c>
      <c r="H58" s="406" t="e">
        <f t="shared" ca="1" si="30"/>
        <v>#N/A</v>
      </c>
      <c r="I58" s="406" t="e">
        <f t="shared" ca="1" si="30"/>
        <v>#N/A</v>
      </c>
      <c r="J58" s="406" t="e">
        <f t="shared" ca="1" si="30"/>
        <v>#N/A</v>
      </c>
      <c r="K58" s="406" t="e">
        <f t="shared" ca="1" si="30"/>
        <v>#N/A</v>
      </c>
      <c r="L58" s="406" t="e">
        <f t="shared" ca="1" si="30"/>
        <v>#N/A</v>
      </c>
      <c r="M58" s="406" t="e">
        <f t="shared" ca="1" si="30"/>
        <v>#N/A</v>
      </c>
      <c r="N58" s="406" t="e">
        <f t="shared" ca="1" si="31"/>
        <v>#N/A</v>
      </c>
      <c r="O58" s="406" t="e">
        <f t="shared" ca="1" si="31"/>
        <v>#N/A</v>
      </c>
      <c r="P58" s="406" t="e">
        <f t="shared" ca="1" si="31"/>
        <v>#N/A</v>
      </c>
      <c r="Q58" s="406" t="e">
        <f t="shared" ca="1" si="31"/>
        <v>#N/A</v>
      </c>
      <c r="R58" s="406" t="e">
        <f t="shared" ca="1" si="31"/>
        <v>#N/A</v>
      </c>
      <c r="S58" s="406" t="e">
        <f t="shared" ca="1" si="31"/>
        <v>#N/A</v>
      </c>
      <c r="T58" s="406" t="e">
        <f t="shared" ca="1" si="31"/>
        <v>#N/A</v>
      </c>
      <c r="U58" s="406" t="e">
        <f t="shared" ca="1" si="31"/>
        <v>#N/A</v>
      </c>
      <c r="V58" s="406" t="e">
        <f t="shared" ca="1" si="31"/>
        <v>#N/A</v>
      </c>
      <c r="W58" s="406" t="e">
        <f t="shared" ca="1" si="31"/>
        <v>#N/A</v>
      </c>
      <c r="X58" s="406" t="e">
        <f t="shared" ca="1" si="32"/>
        <v>#N/A</v>
      </c>
      <c r="Y58" s="406" t="e">
        <f t="shared" ca="1" si="32"/>
        <v>#N/A</v>
      </c>
      <c r="Z58" s="406" t="e">
        <f t="shared" ca="1" si="32"/>
        <v>#N/A</v>
      </c>
      <c r="AA58" s="406" t="e">
        <f t="shared" ca="1" si="32"/>
        <v>#N/A</v>
      </c>
      <c r="AB58" s="406" t="e">
        <f t="shared" ca="1" si="32"/>
        <v>#N/A</v>
      </c>
      <c r="AC58" s="406" t="e">
        <f t="shared" ca="1" si="32"/>
        <v>#N/A</v>
      </c>
      <c r="AD58" s="406" t="e">
        <f t="shared" ca="1" si="32"/>
        <v>#N/A</v>
      </c>
      <c r="AE58" s="406" t="e">
        <f t="shared" ca="1" si="32"/>
        <v>#N/A</v>
      </c>
      <c r="AF58" s="406" t="e">
        <f t="shared" ca="1" si="32"/>
        <v>#N/A</v>
      </c>
      <c r="AG58" s="406" t="e">
        <f t="shared" ca="1" si="32"/>
        <v>#N/A</v>
      </c>
      <c r="AH58" s="406" t="e">
        <f t="shared" ca="1" si="33"/>
        <v>#N/A</v>
      </c>
      <c r="AI58" s="406" t="e">
        <f t="shared" ca="1" si="33"/>
        <v>#N/A</v>
      </c>
      <c r="AJ58" s="406" t="e">
        <f t="shared" ca="1" si="33"/>
        <v>#N/A</v>
      </c>
      <c r="AK58" s="406" t="e">
        <f t="shared" ca="1" si="33"/>
        <v>#N/A</v>
      </c>
      <c r="AL58" s="406" t="e">
        <f t="shared" ca="1" si="33"/>
        <v>#N/A</v>
      </c>
      <c r="AM58" s="406" t="e">
        <f t="shared" ca="1" si="33"/>
        <v>#N/A</v>
      </c>
      <c r="AN58" s="406" t="e">
        <f t="shared" ca="1" si="33"/>
        <v>#N/A</v>
      </c>
      <c r="AO58" s="406" t="e">
        <f t="shared" ca="1" si="33"/>
        <v>#N/A</v>
      </c>
      <c r="AP58" s="406" t="e">
        <f t="shared" ca="1" si="33"/>
        <v>#N/A</v>
      </c>
      <c r="AQ58" s="406" t="e">
        <f t="shared" ca="1" si="33"/>
        <v>#N/A</v>
      </c>
      <c r="AR58" s="406" t="e">
        <f t="shared" ca="1" si="34"/>
        <v>#N/A</v>
      </c>
      <c r="AS58" s="406" t="e">
        <f t="shared" ca="1" si="34"/>
        <v>#N/A</v>
      </c>
      <c r="AT58" s="406" t="e">
        <f t="shared" ca="1" si="34"/>
        <v>#N/A</v>
      </c>
      <c r="AU58" s="406" t="e">
        <f t="shared" ca="1" si="34"/>
        <v>#N/A</v>
      </c>
      <c r="AV58" s="406" t="e">
        <f t="shared" ca="1" si="34"/>
        <v>#N/A</v>
      </c>
      <c r="AW58" s="406" t="e">
        <f t="shared" ca="1" si="34"/>
        <v>#N/A</v>
      </c>
      <c r="AX58" s="406" t="e">
        <f t="shared" ca="1" si="34"/>
        <v>#N/A</v>
      </c>
      <c r="AY58" s="406" t="e">
        <f t="shared" ca="1" si="34"/>
        <v>#N/A</v>
      </c>
      <c r="AZ58" s="406" t="e">
        <f t="shared" ca="1" si="34"/>
        <v>#N/A</v>
      </c>
      <c r="BA58" s="406" t="e">
        <f t="shared" ca="1" si="34"/>
        <v>#N/A</v>
      </c>
      <c r="BB58" s="406" t="s">
        <v>1129</v>
      </c>
      <c r="BC58" s="407" t="str">
        <f t="shared" ca="1" si="8"/>
        <v/>
      </c>
      <c r="BD58" s="410"/>
      <c r="BE58" s="410"/>
    </row>
    <row r="59" spans="3:57" x14ac:dyDescent="0.25">
      <c r="C59" s="406">
        <f t="shared" si="9"/>
        <v>57</v>
      </c>
      <c r="D59" s="406" t="e">
        <f t="shared" ca="1" si="30"/>
        <v>#N/A</v>
      </c>
      <c r="E59" s="406" t="e">
        <f t="shared" ca="1" si="30"/>
        <v>#N/A</v>
      </c>
      <c r="F59" s="406" t="e">
        <f t="shared" ca="1" si="30"/>
        <v>#N/A</v>
      </c>
      <c r="G59" s="406" t="e">
        <f t="shared" ca="1" si="30"/>
        <v>#N/A</v>
      </c>
      <c r="H59" s="406" t="e">
        <f t="shared" ca="1" si="30"/>
        <v>#N/A</v>
      </c>
      <c r="I59" s="406" t="e">
        <f t="shared" ca="1" si="30"/>
        <v>#N/A</v>
      </c>
      <c r="J59" s="406" t="e">
        <f t="shared" ca="1" si="30"/>
        <v>#N/A</v>
      </c>
      <c r="K59" s="406" t="e">
        <f t="shared" ca="1" si="30"/>
        <v>#N/A</v>
      </c>
      <c r="L59" s="406" t="e">
        <f t="shared" ca="1" si="30"/>
        <v>#N/A</v>
      </c>
      <c r="M59" s="406" t="e">
        <f t="shared" ca="1" si="30"/>
        <v>#N/A</v>
      </c>
      <c r="N59" s="406" t="e">
        <f t="shared" ca="1" si="31"/>
        <v>#N/A</v>
      </c>
      <c r="O59" s="406" t="e">
        <f t="shared" ca="1" si="31"/>
        <v>#N/A</v>
      </c>
      <c r="P59" s="406" t="e">
        <f t="shared" ca="1" si="31"/>
        <v>#N/A</v>
      </c>
      <c r="Q59" s="406" t="e">
        <f t="shared" ca="1" si="31"/>
        <v>#N/A</v>
      </c>
      <c r="R59" s="406" t="e">
        <f t="shared" ca="1" si="31"/>
        <v>#N/A</v>
      </c>
      <c r="S59" s="406" t="e">
        <f t="shared" ca="1" si="31"/>
        <v>#N/A</v>
      </c>
      <c r="T59" s="406" t="e">
        <f t="shared" ca="1" si="31"/>
        <v>#N/A</v>
      </c>
      <c r="U59" s="406" t="e">
        <f t="shared" ca="1" si="31"/>
        <v>#N/A</v>
      </c>
      <c r="V59" s="406" t="e">
        <f t="shared" ca="1" si="31"/>
        <v>#N/A</v>
      </c>
      <c r="W59" s="406" t="e">
        <f t="shared" ca="1" si="31"/>
        <v>#N/A</v>
      </c>
      <c r="X59" s="406" t="e">
        <f t="shared" ca="1" si="32"/>
        <v>#N/A</v>
      </c>
      <c r="Y59" s="406" t="e">
        <f t="shared" ca="1" si="32"/>
        <v>#N/A</v>
      </c>
      <c r="Z59" s="406" t="e">
        <f t="shared" ca="1" si="32"/>
        <v>#N/A</v>
      </c>
      <c r="AA59" s="406" t="e">
        <f t="shared" ca="1" si="32"/>
        <v>#N/A</v>
      </c>
      <c r="AB59" s="406" t="e">
        <f t="shared" ca="1" si="32"/>
        <v>#N/A</v>
      </c>
      <c r="AC59" s="406" t="e">
        <f t="shared" ca="1" si="32"/>
        <v>#N/A</v>
      </c>
      <c r="AD59" s="406" t="e">
        <f t="shared" ca="1" si="32"/>
        <v>#N/A</v>
      </c>
      <c r="AE59" s="406" t="e">
        <f t="shared" ca="1" si="32"/>
        <v>#N/A</v>
      </c>
      <c r="AF59" s="406" t="e">
        <f t="shared" ca="1" si="32"/>
        <v>#N/A</v>
      </c>
      <c r="AG59" s="406" t="e">
        <f t="shared" ca="1" si="32"/>
        <v>#N/A</v>
      </c>
      <c r="AH59" s="406" t="e">
        <f t="shared" ca="1" si="33"/>
        <v>#N/A</v>
      </c>
      <c r="AI59" s="406" t="e">
        <f t="shared" ca="1" si="33"/>
        <v>#N/A</v>
      </c>
      <c r="AJ59" s="406" t="e">
        <f t="shared" ca="1" si="33"/>
        <v>#N/A</v>
      </c>
      <c r="AK59" s="406" t="e">
        <f t="shared" ca="1" si="33"/>
        <v>#N/A</v>
      </c>
      <c r="AL59" s="406" t="e">
        <f t="shared" ca="1" si="33"/>
        <v>#N/A</v>
      </c>
      <c r="AM59" s="406" t="e">
        <f t="shared" ca="1" si="33"/>
        <v>#N/A</v>
      </c>
      <c r="AN59" s="406" t="e">
        <f t="shared" ca="1" si="33"/>
        <v>#N/A</v>
      </c>
      <c r="AO59" s="406" t="e">
        <f t="shared" ca="1" si="33"/>
        <v>#N/A</v>
      </c>
      <c r="AP59" s="406" t="e">
        <f t="shared" ca="1" si="33"/>
        <v>#N/A</v>
      </c>
      <c r="AQ59" s="406" t="e">
        <f t="shared" ca="1" si="33"/>
        <v>#N/A</v>
      </c>
      <c r="AR59" s="406" t="e">
        <f t="shared" ca="1" si="34"/>
        <v>#N/A</v>
      </c>
      <c r="AS59" s="406" t="e">
        <f t="shared" ca="1" si="34"/>
        <v>#N/A</v>
      </c>
      <c r="AT59" s="406" t="e">
        <f t="shared" ca="1" si="34"/>
        <v>#N/A</v>
      </c>
      <c r="AU59" s="406" t="e">
        <f t="shared" ca="1" si="34"/>
        <v>#N/A</v>
      </c>
      <c r="AV59" s="406" t="e">
        <f t="shared" ca="1" si="34"/>
        <v>#N/A</v>
      </c>
      <c r="AW59" s="406" t="e">
        <f t="shared" ca="1" si="34"/>
        <v>#N/A</v>
      </c>
      <c r="AX59" s="406" t="e">
        <f t="shared" ca="1" si="34"/>
        <v>#N/A</v>
      </c>
      <c r="AY59" s="406" t="e">
        <f t="shared" ca="1" si="34"/>
        <v>#N/A</v>
      </c>
      <c r="AZ59" s="406" t="e">
        <f t="shared" ca="1" si="34"/>
        <v>#N/A</v>
      </c>
      <c r="BA59" s="406" t="e">
        <f t="shared" ca="1" si="34"/>
        <v>#N/A</v>
      </c>
      <c r="BB59" s="406" t="s">
        <v>1130</v>
      </c>
      <c r="BC59" s="407" t="str">
        <f t="shared" ca="1" si="8"/>
        <v/>
      </c>
      <c r="BD59" s="410"/>
      <c r="BE59" s="410"/>
    </row>
    <row r="60" spans="3:57" x14ac:dyDescent="0.25">
      <c r="C60" s="406">
        <f t="shared" si="9"/>
        <v>58</v>
      </c>
      <c r="D60" s="406" t="e">
        <f t="shared" ca="1" si="30"/>
        <v>#N/A</v>
      </c>
      <c r="E60" s="406" t="e">
        <f t="shared" ca="1" si="30"/>
        <v>#N/A</v>
      </c>
      <c r="F60" s="406" t="e">
        <f t="shared" ca="1" si="30"/>
        <v>#N/A</v>
      </c>
      <c r="G60" s="406" t="e">
        <f t="shared" ca="1" si="30"/>
        <v>#N/A</v>
      </c>
      <c r="H60" s="406" t="e">
        <f t="shared" ca="1" si="30"/>
        <v>#N/A</v>
      </c>
      <c r="I60" s="406" t="e">
        <f t="shared" ca="1" si="30"/>
        <v>#N/A</v>
      </c>
      <c r="J60" s="406" t="e">
        <f t="shared" ca="1" si="30"/>
        <v>#N/A</v>
      </c>
      <c r="K60" s="406" t="e">
        <f t="shared" ca="1" si="30"/>
        <v>#N/A</v>
      </c>
      <c r="L60" s="406" t="e">
        <f t="shared" ca="1" si="30"/>
        <v>#N/A</v>
      </c>
      <c r="M60" s="406" t="e">
        <f t="shared" ca="1" si="30"/>
        <v>#N/A</v>
      </c>
      <c r="N60" s="406" t="e">
        <f t="shared" ca="1" si="31"/>
        <v>#N/A</v>
      </c>
      <c r="O60" s="406" t="e">
        <f t="shared" ca="1" si="31"/>
        <v>#N/A</v>
      </c>
      <c r="P60" s="406" t="e">
        <f t="shared" ca="1" si="31"/>
        <v>#N/A</v>
      </c>
      <c r="Q60" s="406" t="e">
        <f t="shared" ca="1" si="31"/>
        <v>#N/A</v>
      </c>
      <c r="R60" s="406" t="e">
        <f t="shared" ca="1" si="31"/>
        <v>#N/A</v>
      </c>
      <c r="S60" s="406" t="e">
        <f t="shared" ca="1" si="31"/>
        <v>#N/A</v>
      </c>
      <c r="T60" s="406" t="e">
        <f t="shared" ca="1" si="31"/>
        <v>#N/A</v>
      </c>
      <c r="U60" s="406" t="e">
        <f t="shared" ca="1" si="31"/>
        <v>#N/A</v>
      </c>
      <c r="V60" s="406" t="e">
        <f t="shared" ca="1" si="31"/>
        <v>#N/A</v>
      </c>
      <c r="W60" s="406" t="e">
        <f t="shared" ca="1" si="31"/>
        <v>#N/A</v>
      </c>
      <c r="X60" s="406" t="e">
        <f t="shared" ca="1" si="32"/>
        <v>#N/A</v>
      </c>
      <c r="Y60" s="406" t="e">
        <f t="shared" ca="1" si="32"/>
        <v>#N/A</v>
      </c>
      <c r="Z60" s="406" t="e">
        <f t="shared" ca="1" si="32"/>
        <v>#N/A</v>
      </c>
      <c r="AA60" s="406" t="e">
        <f t="shared" ca="1" si="32"/>
        <v>#N/A</v>
      </c>
      <c r="AB60" s="406" t="e">
        <f t="shared" ca="1" si="32"/>
        <v>#N/A</v>
      </c>
      <c r="AC60" s="406" t="e">
        <f t="shared" ca="1" si="32"/>
        <v>#N/A</v>
      </c>
      <c r="AD60" s="406" t="e">
        <f t="shared" ca="1" si="32"/>
        <v>#N/A</v>
      </c>
      <c r="AE60" s="406" t="e">
        <f t="shared" ca="1" si="32"/>
        <v>#N/A</v>
      </c>
      <c r="AF60" s="406" t="e">
        <f t="shared" ca="1" si="32"/>
        <v>#N/A</v>
      </c>
      <c r="AG60" s="406" t="e">
        <f t="shared" ca="1" si="32"/>
        <v>#N/A</v>
      </c>
      <c r="AH60" s="406" t="e">
        <f t="shared" ca="1" si="33"/>
        <v>#N/A</v>
      </c>
      <c r="AI60" s="406" t="e">
        <f t="shared" ca="1" si="33"/>
        <v>#N/A</v>
      </c>
      <c r="AJ60" s="406" t="e">
        <f t="shared" ca="1" si="33"/>
        <v>#N/A</v>
      </c>
      <c r="AK60" s="406" t="e">
        <f t="shared" ca="1" si="33"/>
        <v>#N/A</v>
      </c>
      <c r="AL60" s="406" t="e">
        <f t="shared" ca="1" si="33"/>
        <v>#N/A</v>
      </c>
      <c r="AM60" s="406" t="e">
        <f t="shared" ca="1" si="33"/>
        <v>#N/A</v>
      </c>
      <c r="AN60" s="406" t="e">
        <f t="shared" ca="1" si="33"/>
        <v>#N/A</v>
      </c>
      <c r="AO60" s="406" t="e">
        <f t="shared" ca="1" si="33"/>
        <v>#N/A</v>
      </c>
      <c r="AP60" s="406" t="e">
        <f t="shared" ca="1" si="33"/>
        <v>#N/A</v>
      </c>
      <c r="AQ60" s="406" t="e">
        <f t="shared" ca="1" si="33"/>
        <v>#N/A</v>
      </c>
      <c r="AR60" s="406" t="e">
        <f t="shared" ca="1" si="34"/>
        <v>#N/A</v>
      </c>
      <c r="AS60" s="406" t="e">
        <f t="shared" ca="1" si="34"/>
        <v>#N/A</v>
      </c>
      <c r="AT60" s="406" t="e">
        <f t="shared" ca="1" si="34"/>
        <v>#N/A</v>
      </c>
      <c r="AU60" s="406" t="e">
        <f t="shared" ca="1" si="34"/>
        <v>#N/A</v>
      </c>
      <c r="AV60" s="406" t="e">
        <f t="shared" ca="1" si="34"/>
        <v>#N/A</v>
      </c>
      <c r="AW60" s="406" t="e">
        <f t="shared" ca="1" si="34"/>
        <v>#N/A</v>
      </c>
      <c r="AX60" s="406" t="e">
        <f t="shared" ca="1" si="34"/>
        <v>#N/A</v>
      </c>
      <c r="AY60" s="406" t="e">
        <f t="shared" ca="1" si="34"/>
        <v>#N/A</v>
      </c>
      <c r="AZ60" s="406" t="e">
        <f t="shared" ca="1" si="34"/>
        <v>#N/A</v>
      </c>
      <c r="BA60" s="406" t="e">
        <f t="shared" ca="1" si="34"/>
        <v>#N/A</v>
      </c>
      <c r="BB60" s="406" t="s">
        <v>1131</v>
      </c>
      <c r="BC60" s="407" t="str">
        <f t="shared" ca="1" si="8"/>
        <v/>
      </c>
      <c r="BD60" s="410"/>
      <c r="BE60" s="410"/>
    </row>
    <row r="61" spans="3:57" x14ac:dyDescent="0.25">
      <c r="C61" s="406">
        <f t="shared" si="9"/>
        <v>59</v>
      </c>
      <c r="D61" s="406" t="e">
        <f t="shared" ca="1" si="30"/>
        <v>#N/A</v>
      </c>
      <c r="E61" s="406" t="e">
        <f t="shared" ca="1" si="30"/>
        <v>#N/A</v>
      </c>
      <c r="F61" s="406" t="e">
        <f t="shared" ca="1" si="30"/>
        <v>#N/A</v>
      </c>
      <c r="G61" s="406" t="e">
        <f t="shared" ca="1" si="30"/>
        <v>#N/A</v>
      </c>
      <c r="H61" s="406" t="e">
        <f t="shared" ca="1" si="30"/>
        <v>#N/A</v>
      </c>
      <c r="I61" s="406" t="e">
        <f t="shared" ca="1" si="30"/>
        <v>#N/A</v>
      </c>
      <c r="J61" s="406" t="e">
        <f t="shared" ca="1" si="30"/>
        <v>#N/A</v>
      </c>
      <c r="K61" s="406" t="e">
        <f t="shared" ca="1" si="30"/>
        <v>#N/A</v>
      </c>
      <c r="L61" s="406" t="e">
        <f t="shared" ca="1" si="30"/>
        <v>#N/A</v>
      </c>
      <c r="M61" s="406" t="e">
        <f t="shared" ca="1" si="30"/>
        <v>#N/A</v>
      </c>
      <c r="N61" s="406" t="e">
        <f t="shared" ca="1" si="31"/>
        <v>#N/A</v>
      </c>
      <c r="O61" s="406" t="e">
        <f t="shared" ca="1" si="31"/>
        <v>#N/A</v>
      </c>
      <c r="P61" s="406" t="e">
        <f t="shared" ca="1" si="31"/>
        <v>#N/A</v>
      </c>
      <c r="Q61" s="406" t="e">
        <f t="shared" ca="1" si="31"/>
        <v>#N/A</v>
      </c>
      <c r="R61" s="406" t="e">
        <f t="shared" ca="1" si="31"/>
        <v>#N/A</v>
      </c>
      <c r="S61" s="406" t="e">
        <f t="shared" ca="1" si="31"/>
        <v>#N/A</v>
      </c>
      <c r="T61" s="406" t="e">
        <f t="shared" ca="1" si="31"/>
        <v>#N/A</v>
      </c>
      <c r="U61" s="406" t="e">
        <f t="shared" ca="1" si="31"/>
        <v>#N/A</v>
      </c>
      <c r="V61" s="406" t="e">
        <f t="shared" ca="1" si="31"/>
        <v>#N/A</v>
      </c>
      <c r="W61" s="406" t="e">
        <f t="shared" ca="1" si="31"/>
        <v>#N/A</v>
      </c>
      <c r="X61" s="406" t="e">
        <f t="shared" ca="1" si="32"/>
        <v>#N/A</v>
      </c>
      <c r="Y61" s="406" t="e">
        <f t="shared" ca="1" si="32"/>
        <v>#N/A</v>
      </c>
      <c r="Z61" s="406" t="e">
        <f t="shared" ca="1" si="32"/>
        <v>#N/A</v>
      </c>
      <c r="AA61" s="406" t="e">
        <f t="shared" ca="1" si="32"/>
        <v>#N/A</v>
      </c>
      <c r="AB61" s="406" t="e">
        <f t="shared" ca="1" si="32"/>
        <v>#N/A</v>
      </c>
      <c r="AC61" s="406" t="e">
        <f t="shared" ca="1" si="32"/>
        <v>#N/A</v>
      </c>
      <c r="AD61" s="406" t="e">
        <f t="shared" ca="1" si="32"/>
        <v>#N/A</v>
      </c>
      <c r="AE61" s="406" t="e">
        <f t="shared" ca="1" si="32"/>
        <v>#N/A</v>
      </c>
      <c r="AF61" s="406" t="e">
        <f t="shared" ca="1" si="32"/>
        <v>#N/A</v>
      </c>
      <c r="AG61" s="406" t="e">
        <f t="shared" ca="1" si="32"/>
        <v>#N/A</v>
      </c>
      <c r="AH61" s="406" t="e">
        <f t="shared" ca="1" si="33"/>
        <v>#N/A</v>
      </c>
      <c r="AI61" s="406" t="e">
        <f t="shared" ca="1" si="33"/>
        <v>#N/A</v>
      </c>
      <c r="AJ61" s="406" t="e">
        <f t="shared" ca="1" si="33"/>
        <v>#N/A</v>
      </c>
      <c r="AK61" s="406" t="e">
        <f t="shared" ca="1" si="33"/>
        <v>#N/A</v>
      </c>
      <c r="AL61" s="406" t="e">
        <f t="shared" ca="1" si="33"/>
        <v>#N/A</v>
      </c>
      <c r="AM61" s="406" t="e">
        <f t="shared" ca="1" si="33"/>
        <v>#N/A</v>
      </c>
      <c r="AN61" s="406" t="e">
        <f t="shared" ca="1" si="33"/>
        <v>#N/A</v>
      </c>
      <c r="AO61" s="406" t="e">
        <f t="shared" ca="1" si="33"/>
        <v>#N/A</v>
      </c>
      <c r="AP61" s="406" t="e">
        <f t="shared" ca="1" si="33"/>
        <v>#N/A</v>
      </c>
      <c r="AQ61" s="406" t="e">
        <f t="shared" ca="1" si="33"/>
        <v>#N/A</v>
      </c>
      <c r="AR61" s="406" t="e">
        <f t="shared" ca="1" si="34"/>
        <v>#N/A</v>
      </c>
      <c r="AS61" s="406" t="e">
        <f t="shared" ca="1" si="34"/>
        <v>#N/A</v>
      </c>
      <c r="AT61" s="406" t="e">
        <f t="shared" ca="1" si="34"/>
        <v>#N/A</v>
      </c>
      <c r="AU61" s="406" t="e">
        <f t="shared" ca="1" si="34"/>
        <v>#N/A</v>
      </c>
      <c r="AV61" s="406" t="e">
        <f t="shared" ca="1" si="34"/>
        <v>#N/A</v>
      </c>
      <c r="AW61" s="406" t="e">
        <f t="shared" ca="1" si="34"/>
        <v>#N/A</v>
      </c>
      <c r="AX61" s="406" t="e">
        <f t="shared" ca="1" si="34"/>
        <v>#N/A</v>
      </c>
      <c r="AY61" s="406" t="e">
        <f t="shared" ca="1" si="34"/>
        <v>#N/A</v>
      </c>
      <c r="AZ61" s="406" t="e">
        <f t="shared" ca="1" si="34"/>
        <v>#N/A</v>
      </c>
      <c r="BA61" s="406" t="e">
        <f t="shared" ca="1" si="34"/>
        <v>#N/A</v>
      </c>
      <c r="BB61" s="406" t="s">
        <v>1132</v>
      </c>
      <c r="BC61" s="407" t="str">
        <f t="shared" ca="1" si="8"/>
        <v/>
      </c>
      <c r="BD61" s="410"/>
      <c r="BE61" s="410"/>
    </row>
    <row r="62" spans="3:57" x14ac:dyDescent="0.25">
      <c r="C62" s="406">
        <f t="shared" si="9"/>
        <v>60</v>
      </c>
      <c r="D62" s="406" t="e">
        <f t="shared" ref="D62:M71" ca="1" si="35">TRIM(INDIRECT("'" &amp; "TNX RTF" &amp; "'!" &amp; ADDRESS($A$3+$C62,D$1)))</f>
        <v>#N/A</v>
      </c>
      <c r="E62" s="406" t="e">
        <f t="shared" ca="1" si="35"/>
        <v>#N/A</v>
      </c>
      <c r="F62" s="406" t="e">
        <f t="shared" ca="1" si="35"/>
        <v>#N/A</v>
      </c>
      <c r="G62" s="406" t="e">
        <f t="shared" ca="1" si="35"/>
        <v>#N/A</v>
      </c>
      <c r="H62" s="406" t="e">
        <f t="shared" ca="1" si="35"/>
        <v>#N/A</v>
      </c>
      <c r="I62" s="406" t="e">
        <f t="shared" ca="1" si="35"/>
        <v>#N/A</v>
      </c>
      <c r="J62" s="406" t="e">
        <f t="shared" ca="1" si="35"/>
        <v>#N/A</v>
      </c>
      <c r="K62" s="406" t="e">
        <f t="shared" ca="1" si="35"/>
        <v>#N/A</v>
      </c>
      <c r="L62" s="406" t="e">
        <f t="shared" ca="1" si="35"/>
        <v>#N/A</v>
      </c>
      <c r="M62" s="406" t="e">
        <f t="shared" ca="1" si="35"/>
        <v>#N/A</v>
      </c>
      <c r="N62" s="406" t="e">
        <f t="shared" ref="N62:W71" ca="1" si="36">TRIM(INDIRECT("'" &amp; "TNX RTF" &amp; "'!" &amp; ADDRESS($A$3+$C62,N$1)))</f>
        <v>#N/A</v>
      </c>
      <c r="O62" s="406" t="e">
        <f t="shared" ca="1" si="36"/>
        <v>#N/A</v>
      </c>
      <c r="P62" s="406" t="e">
        <f t="shared" ca="1" si="36"/>
        <v>#N/A</v>
      </c>
      <c r="Q62" s="406" t="e">
        <f t="shared" ca="1" si="36"/>
        <v>#N/A</v>
      </c>
      <c r="R62" s="406" t="e">
        <f t="shared" ca="1" si="36"/>
        <v>#N/A</v>
      </c>
      <c r="S62" s="406" t="e">
        <f t="shared" ca="1" si="36"/>
        <v>#N/A</v>
      </c>
      <c r="T62" s="406" t="e">
        <f t="shared" ca="1" si="36"/>
        <v>#N/A</v>
      </c>
      <c r="U62" s="406" t="e">
        <f t="shared" ca="1" si="36"/>
        <v>#N/A</v>
      </c>
      <c r="V62" s="406" t="e">
        <f t="shared" ca="1" si="36"/>
        <v>#N/A</v>
      </c>
      <c r="W62" s="406" t="e">
        <f t="shared" ca="1" si="36"/>
        <v>#N/A</v>
      </c>
      <c r="X62" s="406" t="e">
        <f t="shared" ref="X62:AG71" ca="1" si="37">TRIM(INDIRECT("'" &amp; "TNX RTF" &amp; "'!" &amp; ADDRESS($A$3+$C62,X$1)))</f>
        <v>#N/A</v>
      </c>
      <c r="Y62" s="406" t="e">
        <f t="shared" ca="1" si="37"/>
        <v>#N/A</v>
      </c>
      <c r="Z62" s="406" t="e">
        <f t="shared" ca="1" si="37"/>
        <v>#N/A</v>
      </c>
      <c r="AA62" s="406" t="e">
        <f t="shared" ca="1" si="37"/>
        <v>#N/A</v>
      </c>
      <c r="AB62" s="406" t="e">
        <f t="shared" ca="1" si="37"/>
        <v>#N/A</v>
      </c>
      <c r="AC62" s="406" t="e">
        <f t="shared" ca="1" si="37"/>
        <v>#N/A</v>
      </c>
      <c r="AD62" s="406" t="e">
        <f t="shared" ca="1" si="37"/>
        <v>#N/A</v>
      </c>
      <c r="AE62" s="406" t="e">
        <f t="shared" ca="1" si="37"/>
        <v>#N/A</v>
      </c>
      <c r="AF62" s="406" t="e">
        <f t="shared" ca="1" si="37"/>
        <v>#N/A</v>
      </c>
      <c r="AG62" s="406" t="e">
        <f t="shared" ca="1" si="37"/>
        <v>#N/A</v>
      </c>
      <c r="AH62" s="406" t="e">
        <f t="shared" ref="AH62:AQ71" ca="1" si="38">TRIM(INDIRECT("'" &amp; "TNX RTF" &amp; "'!" &amp; ADDRESS($A$3+$C62,AH$1)))</f>
        <v>#N/A</v>
      </c>
      <c r="AI62" s="406" t="e">
        <f t="shared" ca="1" si="38"/>
        <v>#N/A</v>
      </c>
      <c r="AJ62" s="406" t="e">
        <f t="shared" ca="1" si="38"/>
        <v>#N/A</v>
      </c>
      <c r="AK62" s="406" t="e">
        <f t="shared" ca="1" si="38"/>
        <v>#N/A</v>
      </c>
      <c r="AL62" s="406" t="e">
        <f t="shared" ca="1" si="38"/>
        <v>#N/A</v>
      </c>
      <c r="AM62" s="406" t="e">
        <f t="shared" ca="1" si="38"/>
        <v>#N/A</v>
      </c>
      <c r="AN62" s="406" t="e">
        <f t="shared" ca="1" si="38"/>
        <v>#N/A</v>
      </c>
      <c r="AO62" s="406" t="e">
        <f t="shared" ca="1" si="38"/>
        <v>#N/A</v>
      </c>
      <c r="AP62" s="406" t="e">
        <f t="shared" ca="1" si="38"/>
        <v>#N/A</v>
      </c>
      <c r="AQ62" s="406" t="e">
        <f t="shared" ca="1" si="38"/>
        <v>#N/A</v>
      </c>
      <c r="AR62" s="406" t="e">
        <f t="shared" ref="AR62:BA71" ca="1" si="39">TRIM(INDIRECT("'" &amp; "TNX RTF" &amp; "'!" &amp; ADDRESS($A$3+$C62,AR$1)))</f>
        <v>#N/A</v>
      </c>
      <c r="AS62" s="406" t="e">
        <f t="shared" ca="1" si="39"/>
        <v>#N/A</v>
      </c>
      <c r="AT62" s="406" t="e">
        <f t="shared" ca="1" si="39"/>
        <v>#N/A</v>
      </c>
      <c r="AU62" s="406" t="e">
        <f t="shared" ca="1" si="39"/>
        <v>#N/A</v>
      </c>
      <c r="AV62" s="406" t="e">
        <f t="shared" ca="1" si="39"/>
        <v>#N/A</v>
      </c>
      <c r="AW62" s="406" t="e">
        <f t="shared" ca="1" si="39"/>
        <v>#N/A</v>
      </c>
      <c r="AX62" s="406" t="e">
        <f t="shared" ca="1" si="39"/>
        <v>#N/A</v>
      </c>
      <c r="AY62" s="406" t="e">
        <f t="shared" ca="1" si="39"/>
        <v>#N/A</v>
      </c>
      <c r="AZ62" s="406" t="e">
        <f t="shared" ca="1" si="39"/>
        <v>#N/A</v>
      </c>
      <c r="BA62" s="406" t="e">
        <f t="shared" ca="1" si="39"/>
        <v>#N/A</v>
      </c>
      <c r="BB62" s="406" t="s">
        <v>1133</v>
      </c>
      <c r="BC62" s="407" t="str">
        <f t="shared" ca="1" si="8"/>
        <v/>
      </c>
      <c r="BD62" s="410"/>
      <c r="BE62" s="410"/>
    </row>
    <row r="63" spans="3:57" x14ac:dyDescent="0.25">
      <c r="C63" s="406">
        <f t="shared" si="9"/>
        <v>61</v>
      </c>
      <c r="D63" s="406" t="e">
        <f t="shared" ca="1" si="35"/>
        <v>#N/A</v>
      </c>
      <c r="E63" s="406" t="e">
        <f t="shared" ca="1" si="35"/>
        <v>#N/A</v>
      </c>
      <c r="F63" s="406" t="e">
        <f t="shared" ca="1" si="35"/>
        <v>#N/A</v>
      </c>
      <c r="G63" s="406" t="e">
        <f t="shared" ca="1" si="35"/>
        <v>#N/A</v>
      </c>
      <c r="H63" s="406" t="e">
        <f t="shared" ca="1" si="35"/>
        <v>#N/A</v>
      </c>
      <c r="I63" s="406" t="e">
        <f t="shared" ca="1" si="35"/>
        <v>#N/A</v>
      </c>
      <c r="J63" s="406" t="e">
        <f t="shared" ca="1" si="35"/>
        <v>#N/A</v>
      </c>
      <c r="K63" s="406" t="e">
        <f t="shared" ca="1" si="35"/>
        <v>#N/A</v>
      </c>
      <c r="L63" s="406" t="e">
        <f t="shared" ca="1" si="35"/>
        <v>#N/A</v>
      </c>
      <c r="M63" s="406" t="e">
        <f t="shared" ca="1" si="35"/>
        <v>#N/A</v>
      </c>
      <c r="N63" s="406" t="e">
        <f t="shared" ca="1" si="36"/>
        <v>#N/A</v>
      </c>
      <c r="O63" s="406" t="e">
        <f t="shared" ca="1" si="36"/>
        <v>#N/A</v>
      </c>
      <c r="P63" s="406" t="e">
        <f t="shared" ca="1" si="36"/>
        <v>#N/A</v>
      </c>
      <c r="Q63" s="406" t="e">
        <f t="shared" ca="1" si="36"/>
        <v>#N/A</v>
      </c>
      <c r="R63" s="406" t="e">
        <f t="shared" ca="1" si="36"/>
        <v>#N/A</v>
      </c>
      <c r="S63" s="406" t="e">
        <f t="shared" ca="1" si="36"/>
        <v>#N/A</v>
      </c>
      <c r="T63" s="406" t="e">
        <f t="shared" ca="1" si="36"/>
        <v>#N/A</v>
      </c>
      <c r="U63" s="406" t="e">
        <f t="shared" ca="1" si="36"/>
        <v>#N/A</v>
      </c>
      <c r="V63" s="406" t="e">
        <f t="shared" ca="1" si="36"/>
        <v>#N/A</v>
      </c>
      <c r="W63" s="406" t="e">
        <f t="shared" ca="1" si="36"/>
        <v>#N/A</v>
      </c>
      <c r="X63" s="406" t="e">
        <f t="shared" ca="1" si="37"/>
        <v>#N/A</v>
      </c>
      <c r="Y63" s="406" t="e">
        <f t="shared" ca="1" si="37"/>
        <v>#N/A</v>
      </c>
      <c r="Z63" s="406" t="e">
        <f t="shared" ca="1" si="37"/>
        <v>#N/A</v>
      </c>
      <c r="AA63" s="406" t="e">
        <f t="shared" ca="1" si="37"/>
        <v>#N/A</v>
      </c>
      <c r="AB63" s="406" t="e">
        <f t="shared" ca="1" si="37"/>
        <v>#N/A</v>
      </c>
      <c r="AC63" s="406" t="e">
        <f t="shared" ca="1" si="37"/>
        <v>#N/A</v>
      </c>
      <c r="AD63" s="406" t="e">
        <f t="shared" ca="1" si="37"/>
        <v>#N/A</v>
      </c>
      <c r="AE63" s="406" t="e">
        <f t="shared" ca="1" si="37"/>
        <v>#N/A</v>
      </c>
      <c r="AF63" s="406" t="e">
        <f t="shared" ca="1" si="37"/>
        <v>#N/A</v>
      </c>
      <c r="AG63" s="406" t="e">
        <f t="shared" ca="1" si="37"/>
        <v>#N/A</v>
      </c>
      <c r="AH63" s="406" t="e">
        <f t="shared" ca="1" si="38"/>
        <v>#N/A</v>
      </c>
      <c r="AI63" s="406" t="e">
        <f t="shared" ca="1" si="38"/>
        <v>#N/A</v>
      </c>
      <c r="AJ63" s="406" t="e">
        <f t="shared" ca="1" si="38"/>
        <v>#N/A</v>
      </c>
      <c r="AK63" s="406" t="e">
        <f t="shared" ca="1" si="38"/>
        <v>#N/A</v>
      </c>
      <c r="AL63" s="406" t="e">
        <f t="shared" ca="1" si="38"/>
        <v>#N/A</v>
      </c>
      <c r="AM63" s="406" t="e">
        <f t="shared" ca="1" si="38"/>
        <v>#N/A</v>
      </c>
      <c r="AN63" s="406" t="e">
        <f t="shared" ca="1" si="38"/>
        <v>#N/A</v>
      </c>
      <c r="AO63" s="406" t="e">
        <f t="shared" ca="1" si="38"/>
        <v>#N/A</v>
      </c>
      <c r="AP63" s="406" t="e">
        <f t="shared" ca="1" si="38"/>
        <v>#N/A</v>
      </c>
      <c r="AQ63" s="406" t="e">
        <f t="shared" ca="1" si="38"/>
        <v>#N/A</v>
      </c>
      <c r="AR63" s="406" t="e">
        <f t="shared" ca="1" si="39"/>
        <v>#N/A</v>
      </c>
      <c r="AS63" s="406" t="e">
        <f t="shared" ca="1" si="39"/>
        <v>#N/A</v>
      </c>
      <c r="AT63" s="406" t="e">
        <f t="shared" ca="1" si="39"/>
        <v>#N/A</v>
      </c>
      <c r="AU63" s="406" t="e">
        <f t="shared" ca="1" si="39"/>
        <v>#N/A</v>
      </c>
      <c r="AV63" s="406" t="e">
        <f t="shared" ca="1" si="39"/>
        <v>#N/A</v>
      </c>
      <c r="AW63" s="406" t="e">
        <f t="shared" ca="1" si="39"/>
        <v>#N/A</v>
      </c>
      <c r="AX63" s="406" t="e">
        <f t="shared" ca="1" si="39"/>
        <v>#N/A</v>
      </c>
      <c r="AY63" s="406" t="e">
        <f t="shared" ca="1" si="39"/>
        <v>#N/A</v>
      </c>
      <c r="AZ63" s="406" t="e">
        <f t="shared" ca="1" si="39"/>
        <v>#N/A</v>
      </c>
      <c r="BA63" s="406" t="e">
        <f t="shared" ca="1" si="39"/>
        <v>#N/A</v>
      </c>
      <c r="BB63" s="406" t="s">
        <v>1134</v>
      </c>
      <c r="BC63" s="407" t="str">
        <f t="shared" ca="1" si="8"/>
        <v/>
      </c>
      <c r="BD63" s="410"/>
      <c r="BE63" s="410"/>
    </row>
    <row r="64" spans="3:57" x14ac:dyDescent="0.25">
      <c r="C64" s="406">
        <f t="shared" si="9"/>
        <v>62</v>
      </c>
      <c r="D64" s="406" t="e">
        <f t="shared" ca="1" si="35"/>
        <v>#N/A</v>
      </c>
      <c r="E64" s="406" t="e">
        <f t="shared" ca="1" si="35"/>
        <v>#N/A</v>
      </c>
      <c r="F64" s="406" t="e">
        <f t="shared" ca="1" si="35"/>
        <v>#N/A</v>
      </c>
      <c r="G64" s="406" t="e">
        <f t="shared" ca="1" si="35"/>
        <v>#N/A</v>
      </c>
      <c r="H64" s="406" t="e">
        <f t="shared" ca="1" si="35"/>
        <v>#N/A</v>
      </c>
      <c r="I64" s="406" t="e">
        <f t="shared" ca="1" si="35"/>
        <v>#N/A</v>
      </c>
      <c r="J64" s="406" t="e">
        <f t="shared" ca="1" si="35"/>
        <v>#N/A</v>
      </c>
      <c r="K64" s="406" t="e">
        <f t="shared" ca="1" si="35"/>
        <v>#N/A</v>
      </c>
      <c r="L64" s="406" t="e">
        <f t="shared" ca="1" si="35"/>
        <v>#N/A</v>
      </c>
      <c r="M64" s="406" t="e">
        <f t="shared" ca="1" si="35"/>
        <v>#N/A</v>
      </c>
      <c r="N64" s="406" t="e">
        <f t="shared" ca="1" si="36"/>
        <v>#N/A</v>
      </c>
      <c r="O64" s="406" t="e">
        <f t="shared" ca="1" si="36"/>
        <v>#N/A</v>
      </c>
      <c r="P64" s="406" t="e">
        <f t="shared" ca="1" si="36"/>
        <v>#N/A</v>
      </c>
      <c r="Q64" s="406" t="e">
        <f t="shared" ca="1" si="36"/>
        <v>#N/A</v>
      </c>
      <c r="R64" s="406" t="e">
        <f t="shared" ca="1" si="36"/>
        <v>#N/A</v>
      </c>
      <c r="S64" s="406" t="e">
        <f t="shared" ca="1" si="36"/>
        <v>#N/A</v>
      </c>
      <c r="T64" s="406" t="e">
        <f t="shared" ca="1" si="36"/>
        <v>#N/A</v>
      </c>
      <c r="U64" s="406" t="e">
        <f t="shared" ca="1" si="36"/>
        <v>#N/A</v>
      </c>
      <c r="V64" s="406" t="e">
        <f t="shared" ca="1" si="36"/>
        <v>#N/A</v>
      </c>
      <c r="W64" s="406" t="e">
        <f t="shared" ca="1" si="36"/>
        <v>#N/A</v>
      </c>
      <c r="X64" s="406" t="e">
        <f t="shared" ca="1" si="37"/>
        <v>#N/A</v>
      </c>
      <c r="Y64" s="406" t="e">
        <f t="shared" ca="1" si="37"/>
        <v>#N/A</v>
      </c>
      <c r="Z64" s="406" t="e">
        <f t="shared" ca="1" si="37"/>
        <v>#N/A</v>
      </c>
      <c r="AA64" s="406" t="e">
        <f t="shared" ca="1" si="37"/>
        <v>#N/A</v>
      </c>
      <c r="AB64" s="406" t="e">
        <f t="shared" ca="1" si="37"/>
        <v>#N/A</v>
      </c>
      <c r="AC64" s="406" t="e">
        <f t="shared" ca="1" si="37"/>
        <v>#N/A</v>
      </c>
      <c r="AD64" s="406" t="e">
        <f t="shared" ca="1" si="37"/>
        <v>#N/A</v>
      </c>
      <c r="AE64" s="406" t="e">
        <f t="shared" ca="1" si="37"/>
        <v>#N/A</v>
      </c>
      <c r="AF64" s="406" t="e">
        <f t="shared" ca="1" si="37"/>
        <v>#N/A</v>
      </c>
      <c r="AG64" s="406" t="e">
        <f t="shared" ca="1" si="37"/>
        <v>#N/A</v>
      </c>
      <c r="AH64" s="406" t="e">
        <f t="shared" ca="1" si="38"/>
        <v>#N/A</v>
      </c>
      <c r="AI64" s="406" t="e">
        <f t="shared" ca="1" si="38"/>
        <v>#N/A</v>
      </c>
      <c r="AJ64" s="406" t="e">
        <f t="shared" ca="1" si="38"/>
        <v>#N/A</v>
      </c>
      <c r="AK64" s="406" t="e">
        <f t="shared" ca="1" si="38"/>
        <v>#N/A</v>
      </c>
      <c r="AL64" s="406" t="e">
        <f t="shared" ca="1" si="38"/>
        <v>#N/A</v>
      </c>
      <c r="AM64" s="406" t="e">
        <f t="shared" ca="1" si="38"/>
        <v>#N/A</v>
      </c>
      <c r="AN64" s="406" t="e">
        <f t="shared" ca="1" si="38"/>
        <v>#N/A</v>
      </c>
      <c r="AO64" s="406" t="e">
        <f t="shared" ca="1" si="38"/>
        <v>#N/A</v>
      </c>
      <c r="AP64" s="406" t="e">
        <f t="shared" ca="1" si="38"/>
        <v>#N/A</v>
      </c>
      <c r="AQ64" s="406" t="e">
        <f t="shared" ca="1" si="38"/>
        <v>#N/A</v>
      </c>
      <c r="AR64" s="406" t="e">
        <f t="shared" ca="1" si="39"/>
        <v>#N/A</v>
      </c>
      <c r="AS64" s="406" t="e">
        <f t="shared" ca="1" si="39"/>
        <v>#N/A</v>
      </c>
      <c r="AT64" s="406" t="e">
        <f t="shared" ca="1" si="39"/>
        <v>#N/A</v>
      </c>
      <c r="AU64" s="406" t="e">
        <f t="shared" ca="1" si="39"/>
        <v>#N/A</v>
      </c>
      <c r="AV64" s="406" t="e">
        <f t="shared" ca="1" si="39"/>
        <v>#N/A</v>
      </c>
      <c r="AW64" s="406" t="e">
        <f t="shared" ca="1" si="39"/>
        <v>#N/A</v>
      </c>
      <c r="AX64" s="406" t="e">
        <f t="shared" ca="1" si="39"/>
        <v>#N/A</v>
      </c>
      <c r="AY64" s="406" t="e">
        <f t="shared" ca="1" si="39"/>
        <v>#N/A</v>
      </c>
      <c r="AZ64" s="406" t="e">
        <f t="shared" ca="1" si="39"/>
        <v>#N/A</v>
      </c>
      <c r="BA64" s="406" t="e">
        <f t="shared" ca="1" si="39"/>
        <v>#N/A</v>
      </c>
      <c r="BB64" s="406" t="s">
        <v>1135</v>
      </c>
      <c r="BC64" s="407" t="str">
        <f t="shared" ca="1" si="8"/>
        <v/>
      </c>
      <c r="BD64" s="410"/>
      <c r="BE64" s="410"/>
    </row>
    <row r="65" spans="3:57" x14ac:dyDescent="0.25">
      <c r="C65" s="406">
        <f t="shared" si="9"/>
        <v>63</v>
      </c>
      <c r="D65" s="406" t="e">
        <f t="shared" ca="1" si="35"/>
        <v>#N/A</v>
      </c>
      <c r="E65" s="406" t="e">
        <f t="shared" ca="1" si="35"/>
        <v>#N/A</v>
      </c>
      <c r="F65" s="406" t="e">
        <f t="shared" ca="1" si="35"/>
        <v>#N/A</v>
      </c>
      <c r="G65" s="406" t="e">
        <f t="shared" ca="1" si="35"/>
        <v>#N/A</v>
      </c>
      <c r="H65" s="406" t="e">
        <f t="shared" ca="1" si="35"/>
        <v>#N/A</v>
      </c>
      <c r="I65" s="406" t="e">
        <f t="shared" ca="1" si="35"/>
        <v>#N/A</v>
      </c>
      <c r="J65" s="406" t="e">
        <f t="shared" ca="1" si="35"/>
        <v>#N/A</v>
      </c>
      <c r="K65" s="406" t="e">
        <f t="shared" ca="1" si="35"/>
        <v>#N/A</v>
      </c>
      <c r="L65" s="406" t="e">
        <f t="shared" ca="1" si="35"/>
        <v>#N/A</v>
      </c>
      <c r="M65" s="406" t="e">
        <f t="shared" ca="1" si="35"/>
        <v>#N/A</v>
      </c>
      <c r="N65" s="406" t="e">
        <f t="shared" ca="1" si="36"/>
        <v>#N/A</v>
      </c>
      <c r="O65" s="406" t="e">
        <f t="shared" ca="1" si="36"/>
        <v>#N/A</v>
      </c>
      <c r="P65" s="406" t="e">
        <f t="shared" ca="1" si="36"/>
        <v>#N/A</v>
      </c>
      <c r="Q65" s="406" t="e">
        <f t="shared" ca="1" si="36"/>
        <v>#N/A</v>
      </c>
      <c r="R65" s="406" t="e">
        <f t="shared" ca="1" si="36"/>
        <v>#N/A</v>
      </c>
      <c r="S65" s="406" t="e">
        <f t="shared" ca="1" si="36"/>
        <v>#N/A</v>
      </c>
      <c r="T65" s="406" t="e">
        <f t="shared" ca="1" si="36"/>
        <v>#N/A</v>
      </c>
      <c r="U65" s="406" t="e">
        <f t="shared" ca="1" si="36"/>
        <v>#N/A</v>
      </c>
      <c r="V65" s="406" t="e">
        <f t="shared" ca="1" si="36"/>
        <v>#N/A</v>
      </c>
      <c r="W65" s="406" t="e">
        <f t="shared" ca="1" si="36"/>
        <v>#N/A</v>
      </c>
      <c r="X65" s="406" t="e">
        <f t="shared" ca="1" si="37"/>
        <v>#N/A</v>
      </c>
      <c r="Y65" s="406" t="e">
        <f t="shared" ca="1" si="37"/>
        <v>#N/A</v>
      </c>
      <c r="Z65" s="406" t="e">
        <f t="shared" ca="1" si="37"/>
        <v>#N/A</v>
      </c>
      <c r="AA65" s="406" t="e">
        <f t="shared" ca="1" si="37"/>
        <v>#N/A</v>
      </c>
      <c r="AB65" s="406" t="e">
        <f t="shared" ca="1" si="37"/>
        <v>#N/A</v>
      </c>
      <c r="AC65" s="406" t="e">
        <f t="shared" ca="1" si="37"/>
        <v>#N/A</v>
      </c>
      <c r="AD65" s="406" t="e">
        <f t="shared" ca="1" si="37"/>
        <v>#N/A</v>
      </c>
      <c r="AE65" s="406" t="e">
        <f t="shared" ca="1" si="37"/>
        <v>#N/A</v>
      </c>
      <c r="AF65" s="406" t="e">
        <f t="shared" ca="1" si="37"/>
        <v>#N/A</v>
      </c>
      <c r="AG65" s="406" t="e">
        <f t="shared" ca="1" si="37"/>
        <v>#N/A</v>
      </c>
      <c r="AH65" s="406" t="e">
        <f t="shared" ca="1" si="38"/>
        <v>#N/A</v>
      </c>
      <c r="AI65" s="406" t="e">
        <f t="shared" ca="1" si="38"/>
        <v>#N/A</v>
      </c>
      <c r="AJ65" s="406" t="e">
        <f t="shared" ca="1" si="38"/>
        <v>#N/A</v>
      </c>
      <c r="AK65" s="406" t="e">
        <f t="shared" ca="1" si="38"/>
        <v>#N/A</v>
      </c>
      <c r="AL65" s="406" t="e">
        <f t="shared" ca="1" si="38"/>
        <v>#N/A</v>
      </c>
      <c r="AM65" s="406" t="e">
        <f t="shared" ca="1" si="38"/>
        <v>#N/A</v>
      </c>
      <c r="AN65" s="406" t="e">
        <f t="shared" ca="1" si="38"/>
        <v>#N/A</v>
      </c>
      <c r="AO65" s="406" t="e">
        <f t="shared" ca="1" si="38"/>
        <v>#N/A</v>
      </c>
      <c r="AP65" s="406" t="e">
        <f t="shared" ca="1" si="38"/>
        <v>#N/A</v>
      </c>
      <c r="AQ65" s="406" t="e">
        <f t="shared" ca="1" si="38"/>
        <v>#N/A</v>
      </c>
      <c r="AR65" s="406" t="e">
        <f t="shared" ca="1" si="39"/>
        <v>#N/A</v>
      </c>
      <c r="AS65" s="406" t="e">
        <f t="shared" ca="1" si="39"/>
        <v>#N/A</v>
      </c>
      <c r="AT65" s="406" t="e">
        <f t="shared" ca="1" si="39"/>
        <v>#N/A</v>
      </c>
      <c r="AU65" s="406" t="e">
        <f t="shared" ca="1" si="39"/>
        <v>#N/A</v>
      </c>
      <c r="AV65" s="406" t="e">
        <f t="shared" ca="1" si="39"/>
        <v>#N/A</v>
      </c>
      <c r="AW65" s="406" t="e">
        <f t="shared" ca="1" si="39"/>
        <v>#N/A</v>
      </c>
      <c r="AX65" s="406" t="e">
        <f t="shared" ca="1" si="39"/>
        <v>#N/A</v>
      </c>
      <c r="AY65" s="406" t="e">
        <f t="shared" ca="1" si="39"/>
        <v>#N/A</v>
      </c>
      <c r="AZ65" s="406" t="e">
        <f t="shared" ca="1" si="39"/>
        <v>#N/A</v>
      </c>
      <c r="BA65" s="406" t="e">
        <f t="shared" ca="1" si="39"/>
        <v>#N/A</v>
      </c>
      <c r="BB65" s="406" t="s">
        <v>1136</v>
      </c>
      <c r="BC65" s="407" t="str">
        <f t="shared" ca="1" si="8"/>
        <v/>
      </c>
      <c r="BD65" s="410"/>
      <c r="BE65" s="410"/>
    </row>
    <row r="66" spans="3:57" x14ac:dyDescent="0.25">
      <c r="C66" s="406">
        <f t="shared" si="9"/>
        <v>64</v>
      </c>
      <c r="D66" s="406" t="e">
        <f t="shared" ca="1" si="35"/>
        <v>#N/A</v>
      </c>
      <c r="E66" s="406" t="e">
        <f t="shared" ca="1" si="35"/>
        <v>#N/A</v>
      </c>
      <c r="F66" s="406" t="e">
        <f t="shared" ca="1" si="35"/>
        <v>#N/A</v>
      </c>
      <c r="G66" s="406" t="e">
        <f t="shared" ca="1" si="35"/>
        <v>#N/A</v>
      </c>
      <c r="H66" s="406" t="e">
        <f t="shared" ca="1" si="35"/>
        <v>#N/A</v>
      </c>
      <c r="I66" s="406" t="e">
        <f t="shared" ca="1" si="35"/>
        <v>#N/A</v>
      </c>
      <c r="J66" s="406" t="e">
        <f t="shared" ca="1" si="35"/>
        <v>#N/A</v>
      </c>
      <c r="K66" s="406" t="e">
        <f t="shared" ca="1" si="35"/>
        <v>#N/A</v>
      </c>
      <c r="L66" s="406" t="e">
        <f t="shared" ca="1" si="35"/>
        <v>#N/A</v>
      </c>
      <c r="M66" s="406" t="e">
        <f t="shared" ca="1" si="35"/>
        <v>#N/A</v>
      </c>
      <c r="N66" s="406" t="e">
        <f t="shared" ca="1" si="36"/>
        <v>#N/A</v>
      </c>
      <c r="O66" s="406" t="e">
        <f t="shared" ca="1" si="36"/>
        <v>#N/A</v>
      </c>
      <c r="P66" s="406" t="e">
        <f t="shared" ca="1" si="36"/>
        <v>#N/A</v>
      </c>
      <c r="Q66" s="406" t="e">
        <f t="shared" ca="1" si="36"/>
        <v>#N/A</v>
      </c>
      <c r="R66" s="406" t="e">
        <f t="shared" ca="1" si="36"/>
        <v>#N/A</v>
      </c>
      <c r="S66" s="406" t="e">
        <f t="shared" ca="1" si="36"/>
        <v>#N/A</v>
      </c>
      <c r="T66" s="406" t="e">
        <f t="shared" ca="1" si="36"/>
        <v>#N/A</v>
      </c>
      <c r="U66" s="406" t="e">
        <f t="shared" ca="1" si="36"/>
        <v>#N/A</v>
      </c>
      <c r="V66" s="406" t="e">
        <f t="shared" ca="1" si="36"/>
        <v>#N/A</v>
      </c>
      <c r="W66" s="406" t="e">
        <f t="shared" ca="1" si="36"/>
        <v>#N/A</v>
      </c>
      <c r="X66" s="406" t="e">
        <f t="shared" ca="1" si="37"/>
        <v>#N/A</v>
      </c>
      <c r="Y66" s="406" t="e">
        <f t="shared" ca="1" si="37"/>
        <v>#N/A</v>
      </c>
      <c r="Z66" s="406" t="e">
        <f t="shared" ca="1" si="37"/>
        <v>#N/A</v>
      </c>
      <c r="AA66" s="406" t="e">
        <f t="shared" ca="1" si="37"/>
        <v>#N/A</v>
      </c>
      <c r="AB66" s="406" t="e">
        <f t="shared" ca="1" si="37"/>
        <v>#N/A</v>
      </c>
      <c r="AC66" s="406" t="e">
        <f t="shared" ca="1" si="37"/>
        <v>#N/A</v>
      </c>
      <c r="AD66" s="406" t="e">
        <f t="shared" ca="1" si="37"/>
        <v>#N/A</v>
      </c>
      <c r="AE66" s="406" t="e">
        <f t="shared" ca="1" si="37"/>
        <v>#N/A</v>
      </c>
      <c r="AF66" s="406" t="e">
        <f t="shared" ca="1" si="37"/>
        <v>#N/A</v>
      </c>
      <c r="AG66" s="406" t="e">
        <f t="shared" ca="1" si="37"/>
        <v>#N/A</v>
      </c>
      <c r="AH66" s="406" t="e">
        <f t="shared" ca="1" si="38"/>
        <v>#N/A</v>
      </c>
      <c r="AI66" s="406" t="e">
        <f t="shared" ca="1" si="38"/>
        <v>#N/A</v>
      </c>
      <c r="AJ66" s="406" t="e">
        <f t="shared" ca="1" si="38"/>
        <v>#N/A</v>
      </c>
      <c r="AK66" s="406" t="e">
        <f t="shared" ca="1" si="38"/>
        <v>#N/A</v>
      </c>
      <c r="AL66" s="406" t="e">
        <f t="shared" ca="1" si="38"/>
        <v>#N/A</v>
      </c>
      <c r="AM66" s="406" t="e">
        <f t="shared" ca="1" si="38"/>
        <v>#N/A</v>
      </c>
      <c r="AN66" s="406" t="e">
        <f t="shared" ca="1" si="38"/>
        <v>#N/A</v>
      </c>
      <c r="AO66" s="406" t="e">
        <f t="shared" ca="1" si="38"/>
        <v>#N/A</v>
      </c>
      <c r="AP66" s="406" t="e">
        <f t="shared" ca="1" si="38"/>
        <v>#N/A</v>
      </c>
      <c r="AQ66" s="406" t="e">
        <f t="shared" ca="1" si="38"/>
        <v>#N/A</v>
      </c>
      <c r="AR66" s="406" t="e">
        <f t="shared" ca="1" si="39"/>
        <v>#N/A</v>
      </c>
      <c r="AS66" s="406" t="e">
        <f t="shared" ca="1" si="39"/>
        <v>#N/A</v>
      </c>
      <c r="AT66" s="406" t="e">
        <f t="shared" ca="1" si="39"/>
        <v>#N/A</v>
      </c>
      <c r="AU66" s="406" t="e">
        <f t="shared" ca="1" si="39"/>
        <v>#N/A</v>
      </c>
      <c r="AV66" s="406" t="e">
        <f t="shared" ca="1" si="39"/>
        <v>#N/A</v>
      </c>
      <c r="AW66" s="406" t="e">
        <f t="shared" ca="1" si="39"/>
        <v>#N/A</v>
      </c>
      <c r="AX66" s="406" t="e">
        <f t="shared" ca="1" si="39"/>
        <v>#N/A</v>
      </c>
      <c r="AY66" s="406" t="e">
        <f t="shared" ca="1" si="39"/>
        <v>#N/A</v>
      </c>
      <c r="AZ66" s="406" t="e">
        <f t="shared" ca="1" si="39"/>
        <v>#N/A</v>
      </c>
      <c r="BA66" s="406" t="e">
        <f t="shared" ca="1" si="39"/>
        <v>#N/A</v>
      </c>
      <c r="BB66" s="406" t="s">
        <v>1137</v>
      </c>
      <c r="BC66" s="407" t="str">
        <f t="shared" ref="BC66:BC129" ca="1" si="40">IFERROR(ABS(INDEX($D$2:$BA$502,MATCH($BB66,$D$2:$D$502,0),MATCH(BC$1,INDIRECT(CONCATENATE("D" &amp; $A$6 &amp; ":BA" &amp; $A$6)),0)))*(IF(RTF_unit="K",1,IF(RTF_unit="lb",1/1000,IF(RTF_unit="T",1/2,1)))),"")</f>
        <v/>
      </c>
      <c r="BD66" s="410"/>
      <c r="BE66" s="410"/>
    </row>
    <row r="67" spans="3:57" x14ac:dyDescent="0.25">
      <c r="C67" s="406">
        <f t="shared" si="9"/>
        <v>65</v>
      </c>
      <c r="D67" s="406" t="e">
        <f t="shared" ca="1" si="35"/>
        <v>#N/A</v>
      </c>
      <c r="E67" s="406" t="e">
        <f t="shared" ca="1" si="35"/>
        <v>#N/A</v>
      </c>
      <c r="F67" s="406" t="e">
        <f t="shared" ca="1" si="35"/>
        <v>#N/A</v>
      </c>
      <c r="G67" s="406" t="e">
        <f t="shared" ca="1" si="35"/>
        <v>#N/A</v>
      </c>
      <c r="H67" s="406" t="e">
        <f t="shared" ca="1" si="35"/>
        <v>#N/A</v>
      </c>
      <c r="I67" s="406" t="e">
        <f t="shared" ca="1" si="35"/>
        <v>#N/A</v>
      </c>
      <c r="J67" s="406" t="e">
        <f t="shared" ca="1" si="35"/>
        <v>#N/A</v>
      </c>
      <c r="K67" s="406" t="e">
        <f t="shared" ca="1" si="35"/>
        <v>#N/A</v>
      </c>
      <c r="L67" s="406" t="e">
        <f t="shared" ca="1" si="35"/>
        <v>#N/A</v>
      </c>
      <c r="M67" s="406" t="e">
        <f t="shared" ca="1" si="35"/>
        <v>#N/A</v>
      </c>
      <c r="N67" s="406" t="e">
        <f t="shared" ca="1" si="36"/>
        <v>#N/A</v>
      </c>
      <c r="O67" s="406" t="e">
        <f t="shared" ca="1" si="36"/>
        <v>#N/A</v>
      </c>
      <c r="P67" s="406" t="e">
        <f t="shared" ca="1" si="36"/>
        <v>#N/A</v>
      </c>
      <c r="Q67" s="406" t="e">
        <f t="shared" ca="1" si="36"/>
        <v>#N/A</v>
      </c>
      <c r="R67" s="406" t="e">
        <f t="shared" ca="1" si="36"/>
        <v>#N/A</v>
      </c>
      <c r="S67" s="406" t="e">
        <f t="shared" ca="1" si="36"/>
        <v>#N/A</v>
      </c>
      <c r="T67" s="406" t="e">
        <f t="shared" ca="1" si="36"/>
        <v>#N/A</v>
      </c>
      <c r="U67" s="406" t="e">
        <f t="shared" ca="1" si="36"/>
        <v>#N/A</v>
      </c>
      <c r="V67" s="406" t="e">
        <f t="shared" ca="1" si="36"/>
        <v>#N/A</v>
      </c>
      <c r="W67" s="406" t="e">
        <f t="shared" ca="1" si="36"/>
        <v>#N/A</v>
      </c>
      <c r="X67" s="406" t="e">
        <f t="shared" ca="1" si="37"/>
        <v>#N/A</v>
      </c>
      <c r="Y67" s="406" t="e">
        <f t="shared" ca="1" si="37"/>
        <v>#N/A</v>
      </c>
      <c r="Z67" s="406" t="e">
        <f t="shared" ca="1" si="37"/>
        <v>#N/A</v>
      </c>
      <c r="AA67" s="406" t="e">
        <f t="shared" ca="1" si="37"/>
        <v>#N/A</v>
      </c>
      <c r="AB67" s="406" t="e">
        <f t="shared" ca="1" si="37"/>
        <v>#N/A</v>
      </c>
      <c r="AC67" s="406" t="e">
        <f t="shared" ca="1" si="37"/>
        <v>#N/A</v>
      </c>
      <c r="AD67" s="406" t="e">
        <f t="shared" ca="1" si="37"/>
        <v>#N/A</v>
      </c>
      <c r="AE67" s="406" t="e">
        <f t="shared" ca="1" si="37"/>
        <v>#N/A</v>
      </c>
      <c r="AF67" s="406" t="e">
        <f t="shared" ca="1" si="37"/>
        <v>#N/A</v>
      </c>
      <c r="AG67" s="406" t="e">
        <f t="shared" ca="1" si="37"/>
        <v>#N/A</v>
      </c>
      <c r="AH67" s="406" t="e">
        <f t="shared" ca="1" si="38"/>
        <v>#N/A</v>
      </c>
      <c r="AI67" s="406" t="e">
        <f t="shared" ca="1" si="38"/>
        <v>#N/A</v>
      </c>
      <c r="AJ67" s="406" t="e">
        <f t="shared" ca="1" si="38"/>
        <v>#N/A</v>
      </c>
      <c r="AK67" s="406" t="e">
        <f t="shared" ca="1" si="38"/>
        <v>#N/A</v>
      </c>
      <c r="AL67" s="406" t="e">
        <f t="shared" ca="1" si="38"/>
        <v>#N/A</v>
      </c>
      <c r="AM67" s="406" t="e">
        <f t="shared" ca="1" si="38"/>
        <v>#N/A</v>
      </c>
      <c r="AN67" s="406" t="e">
        <f t="shared" ca="1" si="38"/>
        <v>#N/A</v>
      </c>
      <c r="AO67" s="406" t="e">
        <f t="shared" ca="1" si="38"/>
        <v>#N/A</v>
      </c>
      <c r="AP67" s="406" t="e">
        <f t="shared" ca="1" si="38"/>
        <v>#N/A</v>
      </c>
      <c r="AQ67" s="406" t="e">
        <f t="shared" ca="1" si="38"/>
        <v>#N/A</v>
      </c>
      <c r="AR67" s="406" t="e">
        <f t="shared" ca="1" si="39"/>
        <v>#N/A</v>
      </c>
      <c r="AS67" s="406" t="e">
        <f t="shared" ca="1" si="39"/>
        <v>#N/A</v>
      </c>
      <c r="AT67" s="406" t="e">
        <f t="shared" ca="1" si="39"/>
        <v>#N/A</v>
      </c>
      <c r="AU67" s="406" t="e">
        <f t="shared" ca="1" si="39"/>
        <v>#N/A</v>
      </c>
      <c r="AV67" s="406" t="e">
        <f t="shared" ca="1" si="39"/>
        <v>#N/A</v>
      </c>
      <c r="AW67" s="406" t="e">
        <f t="shared" ca="1" si="39"/>
        <v>#N/A</v>
      </c>
      <c r="AX67" s="406" t="e">
        <f t="shared" ca="1" si="39"/>
        <v>#N/A</v>
      </c>
      <c r="AY67" s="406" t="e">
        <f t="shared" ca="1" si="39"/>
        <v>#N/A</v>
      </c>
      <c r="AZ67" s="406" t="e">
        <f t="shared" ca="1" si="39"/>
        <v>#N/A</v>
      </c>
      <c r="BA67" s="406" t="e">
        <f t="shared" ca="1" si="39"/>
        <v>#N/A</v>
      </c>
      <c r="BB67" s="406" t="s">
        <v>1138</v>
      </c>
      <c r="BC67" s="407" t="str">
        <f t="shared" ca="1" si="40"/>
        <v/>
      </c>
      <c r="BD67" s="410"/>
      <c r="BE67" s="410"/>
    </row>
    <row r="68" spans="3:57" x14ac:dyDescent="0.25">
      <c r="C68" s="406">
        <f t="shared" ref="C68:C131" si="41">C67+1</f>
        <v>66</v>
      </c>
      <c r="D68" s="406" t="e">
        <f t="shared" ca="1" si="35"/>
        <v>#N/A</v>
      </c>
      <c r="E68" s="406" t="e">
        <f t="shared" ca="1" si="35"/>
        <v>#N/A</v>
      </c>
      <c r="F68" s="406" t="e">
        <f t="shared" ca="1" si="35"/>
        <v>#N/A</v>
      </c>
      <c r="G68" s="406" t="e">
        <f t="shared" ca="1" si="35"/>
        <v>#N/A</v>
      </c>
      <c r="H68" s="406" t="e">
        <f t="shared" ca="1" si="35"/>
        <v>#N/A</v>
      </c>
      <c r="I68" s="406" t="e">
        <f t="shared" ca="1" si="35"/>
        <v>#N/A</v>
      </c>
      <c r="J68" s="406" t="e">
        <f t="shared" ca="1" si="35"/>
        <v>#N/A</v>
      </c>
      <c r="K68" s="406" t="e">
        <f t="shared" ca="1" si="35"/>
        <v>#N/A</v>
      </c>
      <c r="L68" s="406" t="e">
        <f t="shared" ca="1" si="35"/>
        <v>#N/A</v>
      </c>
      <c r="M68" s="406" t="e">
        <f t="shared" ca="1" si="35"/>
        <v>#N/A</v>
      </c>
      <c r="N68" s="406" t="e">
        <f t="shared" ca="1" si="36"/>
        <v>#N/A</v>
      </c>
      <c r="O68" s="406" t="e">
        <f t="shared" ca="1" si="36"/>
        <v>#N/A</v>
      </c>
      <c r="P68" s="406" t="e">
        <f t="shared" ca="1" si="36"/>
        <v>#N/A</v>
      </c>
      <c r="Q68" s="406" t="e">
        <f t="shared" ca="1" si="36"/>
        <v>#N/A</v>
      </c>
      <c r="R68" s="406" t="e">
        <f t="shared" ca="1" si="36"/>
        <v>#N/A</v>
      </c>
      <c r="S68" s="406" t="e">
        <f t="shared" ca="1" si="36"/>
        <v>#N/A</v>
      </c>
      <c r="T68" s="406" t="e">
        <f t="shared" ca="1" si="36"/>
        <v>#N/A</v>
      </c>
      <c r="U68" s="406" t="e">
        <f t="shared" ca="1" si="36"/>
        <v>#N/A</v>
      </c>
      <c r="V68" s="406" t="e">
        <f t="shared" ca="1" si="36"/>
        <v>#N/A</v>
      </c>
      <c r="W68" s="406" t="e">
        <f t="shared" ca="1" si="36"/>
        <v>#N/A</v>
      </c>
      <c r="X68" s="406" t="e">
        <f t="shared" ca="1" si="37"/>
        <v>#N/A</v>
      </c>
      <c r="Y68" s="406" t="e">
        <f t="shared" ca="1" si="37"/>
        <v>#N/A</v>
      </c>
      <c r="Z68" s="406" t="e">
        <f t="shared" ca="1" si="37"/>
        <v>#N/A</v>
      </c>
      <c r="AA68" s="406" t="e">
        <f t="shared" ca="1" si="37"/>
        <v>#N/A</v>
      </c>
      <c r="AB68" s="406" t="e">
        <f t="shared" ca="1" si="37"/>
        <v>#N/A</v>
      </c>
      <c r="AC68" s="406" t="e">
        <f t="shared" ca="1" si="37"/>
        <v>#N/A</v>
      </c>
      <c r="AD68" s="406" t="e">
        <f t="shared" ca="1" si="37"/>
        <v>#N/A</v>
      </c>
      <c r="AE68" s="406" t="e">
        <f t="shared" ca="1" si="37"/>
        <v>#N/A</v>
      </c>
      <c r="AF68" s="406" t="e">
        <f t="shared" ca="1" si="37"/>
        <v>#N/A</v>
      </c>
      <c r="AG68" s="406" t="e">
        <f t="shared" ca="1" si="37"/>
        <v>#N/A</v>
      </c>
      <c r="AH68" s="406" t="e">
        <f t="shared" ca="1" si="38"/>
        <v>#N/A</v>
      </c>
      <c r="AI68" s="406" t="e">
        <f t="shared" ca="1" si="38"/>
        <v>#N/A</v>
      </c>
      <c r="AJ68" s="406" t="e">
        <f t="shared" ca="1" si="38"/>
        <v>#N/A</v>
      </c>
      <c r="AK68" s="406" t="e">
        <f t="shared" ca="1" si="38"/>
        <v>#N/A</v>
      </c>
      <c r="AL68" s="406" t="e">
        <f t="shared" ca="1" si="38"/>
        <v>#N/A</v>
      </c>
      <c r="AM68" s="406" t="e">
        <f t="shared" ca="1" si="38"/>
        <v>#N/A</v>
      </c>
      <c r="AN68" s="406" t="e">
        <f t="shared" ca="1" si="38"/>
        <v>#N/A</v>
      </c>
      <c r="AO68" s="406" t="e">
        <f t="shared" ca="1" si="38"/>
        <v>#N/A</v>
      </c>
      <c r="AP68" s="406" t="e">
        <f t="shared" ca="1" si="38"/>
        <v>#N/A</v>
      </c>
      <c r="AQ68" s="406" t="e">
        <f t="shared" ca="1" si="38"/>
        <v>#N/A</v>
      </c>
      <c r="AR68" s="406" t="e">
        <f t="shared" ca="1" si="39"/>
        <v>#N/A</v>
      </c>
      <c r="AS68" s="406" t="e">
        <f t="shared" ca="1" si="39"/>
        <v>#N/A</v>
      </c>
      <c r="AT68" s="406" t="e">
        <f t="shared" ca="1" si="39"/>
        <v>#N/A</v>
      </c>
      <c r="AU68" s="406" t="e">
        <f t="shared" ca="1" si="39"/>
        <v>#N/A</v>
      </c>
      <c r="AV68" s="406" t="e">
        <f t="shared" ca="1" si="39"/>
        <v>#N/A</v>
      </c>
      <c r="AW68" s="406" t="e">
        <f t="shared" ca="1" si="39"/>
        <v>#N/A</v>
      </c>
      <c r="AX68" s="406" t="e">
        <f t="shared" ca="1" si="39"/>
        <v>#N/A</v>
      </c>
      <c r="AY68" s="406" t="e">
        <f t="shared" ca="1" si="39"/>
        <v>#N/A</v>
      </c>
      <c r="AZ68" s="406" t="e">
        <f t="shared" ca="1" si="39"/>
        <v>#N/A</v>
      </c>
      <c r="BA68" s="406" t="e">
        <f t="shared" ca="1" si="39"/>
        <v>#N/A</v>
      </c>
      <c r="BB68" s="406" t="s">
        <v>1139</v>
      </c>
      <c r="BC68" s="407" t="str">
        <f t="shared" ca="1" si="40"/>
        <v/>
      </c>
      <c r="BD68" s="410"/>
      <c r="BE68" s="410"/>
    </row>
    <row r="69" spans="3:57" x14ac:dyDescent="0.25">
      <c r="C69" s="406">
        <f t="shared" si="41"/>
        <v>67</v>
      </c>
      <c r="D69" s="406" t="e">
        <f t="shared" ca="1" si="35"/>
        <v>#N/A</v>
      </c>
      <c r="E69" s="406" t="e">
        <f t="shared" ca="1" si="35"/>
        <v>#N/A</v>
      </c>
      <c r="F69" s="406" t="e">
        <f t="shared" ca="1" si="35"/>
        <v>#N/A</v>
      </c>
      <c r="G69" s="406" t="e">
        <f t="shared" ca="1" si="35"/>
        <v>#N/A</v>
      </c>
      <c r="H69" s="406" t="e">
        <f t="shared" ca="1" si="35"/>
        <v>#N/A</v>
      </c>
      <c r="I69" s="406" t="e">
        <f t="shared" ca="1" si="35"/>
        <v>#N/A</v>
      </c>
      <c r="J69" s="406" t="e">
        <f t="shared" ca="1" si="35"/>
        <v>#N/A</v>
      </c>
      <c r="K69" s="406" t="e">
        <f t="shared" ca="1" si="35"/>
        <v>#N/A</v>
      </c>
      <c r="L69" s="406" t="e">
        <f t="shared" ca="1" si="35"/>
        <v>#N/A</v>
      </c>
      <c r="M69" s="406" t="e">
        <f t="shared" ca="1" si="35"/>
        <v>#N/A</v>
      </c>
      <c r="N69" s="406" t="e">
        <f t="shared" ca="1" si="36"/>
        <v>#N/A</v>
      </c>
      <c r="O69" s="406" t="e">
        <f t="shared" ca="1" si="36"/>
        <v>#N/A</v>
      </c>
      <c r="P69" s="406" t="e">
        <f t="shared" ca="1" si="36"/>
        <v>#N/A</v>
      </c>
      <c r="Q69" s="406" t="e">
        <f t="shared" ca="1" si="36"/>
        <v>#N/A</v>
      </c>
      <c r="R69" s="406" t="e">
        <f t="shared" ca="1" si="36"/>
        <v>#N/A</v>
      </c>
      <c r="S69" s="406" t="e">
        <f t="shared" ca="1" si="36"/>
        <v>#N/A</v>
      </c>
      <c r="T69" s="406" t="e">
        <f t="shared" ca="1" si="36"/>
        <v>#N/A</v>
      </c>
      <c r="U69" s="406" t="e">
        <f t="shared" ca="1" si="36"/>
        <v>#N/A</v>
      </c>
      <c r="V69" s="406" t="e">
        <f t="shared" ca="1" si="36"/>
        <v>#N/A</v>
      </c>
      <c r="W69" s="406" t="e">
        <f t="shared" ca="1" si="36"/>
        <v>#N/A</v>
      </c>
      <c r="X69" s="406" t="e">
        <f t="shared" ca="1" si="37"/>
        <v>#N/A</v>
      </c>
      <c r="Y69" s="406" t="e">
        <f t="shared" ca="1" si="37"/>
        <v>#N/A</v>
      </c>
      <c r="Z69" s="406" t="e">
        <f t="shared" ca="1" si="37"/>
        <v>#N/A</v>
      </c>
      <c r="AA69" s="406" t="e">
        <f t="shared" ca="1" si="37"/>
        <v>#N/A</v>
      </c>
      <c r="AB69" s="406" t="e">
        <f t="shared" ca="1" si="37"/>
        <v>#N/A</v>
      </c>
      <c r="AC69" s="406" t="e">
        <f t="shared" ca="1" si="37"/>
        <v>#N/A</v>
      </c>
      <c r="AD69" s="406" t="e">
        <f t="shared" ca="1" si="37"/>
        <v>#N/A</v>
      </c>
      <c r="AE69" s="406" t="e">
        <f t="shared" ca="1" si="37"/>
        <v>#N/A</v>
      </c>
      <c r="AF69" s="406" t="e">
        <f t="shared" ca="1" si="37"/>
        <v>#N/A</v>
      </c>
      <c r="AG69" s="406" t="e">
        <f t="shared" ca="1" si="37"/>
        <v>#N/A</v>
      </c>
      <c r="AH69" s="406" t="e">
        <f t="shared" ca="1" si="38"/>
        <v>#N/A</v>
      </c>
      <c r="AI69" s="406" t="e">
        <f t="shared" ca="1" si="38"/>
        <v>#N/A</v>
      </c>
      <c r="AJ69" s="406" t="e">
        <f t="shared" ca="1" si="38"/>
        <v>#N/A</v>
      </c>
      <c r="AK69" s="406" t="e">
        <f t="shared" ca="1" si="38"/>
        <v>#N/A</v>
      </c>
      <c r="AL69" s="406" t="e">
        <f t="shared" ca="1" si="38"/>
        <v>#N/A</v>
      </c>
      <c r="AM69" s="406" t="e">
        <f t="shared" ca="1" si="38"/>
        <v>#N/A</v>
      </c>
      <c r="AN69" s="406" t="e">
        <f t="shared" ca="1" si="38"/>
        <v>#N/A</v>
      </c>
      <c r="AO69" s="406" t="e">
        <f t="shared" ca="1" si="38"/>
        <v>#N/A</v>
      </c>
      <c r="AP69" s="406" t="e">
        <f t="shared" ca="1" si="38"/>
        <v>#N/A</v>
      </c>
      <c r="AQ69" s="406" t="e">
        <f t="shared" ca="1" si="38"/>
        <v>#N/A</v>
      </c>
      <c r="AR69" s="406" t="e">
        <f t="shared" ca="1" si="39"/>
        <v>#N/A</v>
      </c>
      <c r="AS69" s="406" t="e">
        <f t="shared" ca="1" si="39"/>
        <v>#N/A</v>
      </c>
      <c r="AT69" s="406" t="e">
        <f t="shared" ca="1" si="39"/>
        <v>#N/A</v>
      </c>
      <c r="AU69" s="406" t="e">
        <f t="shared" ca="1" si="39"/>
        <v>#N/A</v>
      </c>
      <c r="AV69" s="406" t="e">
        <f t="shared" ca="1" si="39"/>
        <v>#N/A</v>
      </c>
      <c r="AW69" s="406" t="e">
        <f t="shared" ca="1" si="39"/>
        <v>#N/A</v>
      </c>
      <c r="AX69" s="406" t="e">
        <f t="shared" ca="1" si="39"/>
        <v>#N/A</v>
      </c>
      <c r="AY69" s="406" t="e">
        <f t="shared" ca="1" si="39"/>
        <v>#N/A</v>
      </c>
      <c r="AZ69" s="406" t="e">
        <f t="shared" ca="1" si="39"/>
        <v>#N/A</v>
      </c>
      <c r="BA69" s="406" t="e">
        <f t="shared" ca="1" si="39"/>
        <v>#N/A</v>
      </c>
      <c r="BB69" s="406" t="s">
        <v>1140</v>
      </c>
      <c r="BC69" s="407" t="str">
        <f t="shared" ca="1" si="40"/>
        <v/>
      </c>
      <c r="BD69" s="410"/>
      <c r="BE69" s="410"/>
    </row>
    <row r="70" spans="3:57" x14ac:dyDescent="0.25">
      <c r="C70" s="406">
        <f t="shared" si="41"/>
        <v>68</v>
      </c>
      <c r="D70" s="406" t="e">
        <f t="shared" ca="1" si="35"/>
        <v>#N/A</v>
      </c>
      <c r="E70" s="406" t="e">
        <f t="shared" ca="1" si="35"/>
        <v>#N/A</v>
      </c>
      <c r="F70" s="406" t="e">
        <f t="shared" ca="1" si="35"/>
        <v>#N/A</v>
      </c>
      <c r="G70" s="406" t="e">
        <f t="shared" ca="1" si="35"/>
        <v>#N/A</v>
      </c>
      <c r="H70" s="406" t="e">
        <f t="shared" ca="1" si="35"/>
        <v>#N/A</v>
      </c>
      <c r="I70" s="406" t="e">
        <f t="shared" ca="1" si="35"/>
        <v>#N/A</v>
      </c>
      <c r="J70" s="406" t="e">
        <f t="shared" ca="1" si="35"/>
        <v>#N/A</v>
      </c>
      <c r="K70" s="406" t="e">
        <f t="shared" ca="1" si="35"/>
        <v>#N/A</v>
      </c>
      <c r="L70" s="406" t="e">
        <f t="shared" ca="1" si="35"/>
        <v>#N/A</v>
      </c>
      <c r="M70" s="406" t="e">
        <f t="shared" ca="1" si="35"/>
        <v>#N/A</v>
      </c>
      <c r="N70" s="406" t="e">
        <f t="shared" ca="1" si="36"/>
        <v>#N/A</v>
      </c>
      <c r="O70" s="406" t="e">
        <f t="shared" ca="1" si="36"/>
        <v>#N/A</v>
      </c>
      <c r="P70" s="406" t="e">
        <f t="shared" ca="1" si="36"/>
        <v>#N/A</v>
      </c>
      <c r="Q70" s="406" t="e">
        <f t="shared" ca="1" si="36"/>
        <v>#N/A</v>
      </c>
      <c r="R70" s="406" t="e">
        <f t="shared" ca="1" si="36"/>
        <v>#N/A</v>
      </c>
      <c r="S70" s="406" t="e">
        <f t="shared" ca="1" si="36"/>
        <v>#N/A</v>
      </c>
      <c r="T70" s="406" t="e">
        <f t="shared" ca="1" si="36"/>
        <v>#N/A</v>
      </c>
      <c r="U70" s="406" t="e">
        <f t="shared" ca="1" si="36"/>
        <v>#N/A</v>
      </c>
      <c r="V70" s="406" t="e">
        <f t="shared" ca="1" si="36"/>
        <v>#N/A</v>
      </c>
      <c r="W70" s="406" t="e">
        <f t="shared" ca="1" si="36"/>
        <v>#N/A</v>
      </c>
      <c r="X70" s="406" t="e">
        <f t="shared" ca="1" si="37"/>
        <v>#N/A</v>
      </c>
      <c r="Y70" s="406" t="e">
        <f t="shared" ca="1" si="37"/>
        <v>#N/A</v>
      </c>
      <c r="Z70" s="406" t="e">
        <f t="shared" ca="1" si="37"/>
        <v>#N/A</v>
      </c>
      <c r="AA70" s="406" t="e">
        <f t="shared" ca="1" si="37"/>
        <v>#N/A</v>
      </c>
      <c r="AB70" s="406" t="e">
        <f t="shared" ca="1" si="37"/>
        <v>#N/A</v>
      </c>
      <c r="AC70" s="406" t="e">
        <f t="shared" ca="1" si="37"/>
        <v>#N/A</v>
      </c>
      <c r="AD70" s="406" t="e">
        <f t="shared" ca="1" si="37"/>
        <v>#N/A</v>
      </c>
      <c r="AE70" s="406" t="e">
        <f t="shared" ca="1" si="37"/>
        <v>#N/A</v>
      </c>
      <c r="AF70" s="406" t="e">
        <f t="shared" ca="1" si="37"/>
        <v>#N/A</v>
      </c>
      <c r="AG70" s="406" t="e">
        <f t="shared" ca="1" si="37"/>
        <v>#N/A</v>
      </c>
      <c r="AH70" s="406" t="e">
        <f t="shared" ca="1" si="38"/>
        <v>#N/A</v>
      </c>
      <c r="AI70" s="406" t="e">
        <f t="shared" ca="1" si="38"/>
        <v>#N/A</v>
      </c>
      <c r="AJ70" s="406" t="e">
        <f t="shared" ca="1" si="38"/>
        <v>#N/A</v>
      </c>
      <c r="AK70" s="406" t="e">
        <f t="shared" ca="1" si="38"/>
        <v>#N/A</v>
      </c>
      <c r="AL70" s="406" t="e">
        <f t="shared" ca="1" si="38"/>
        <v>#N/A</v>
      </c>
      <c r="AM70" s="406" t="e">
        <f t="shared" ca="1" si="38"/>
        <v>#N/A</v>
      </c>
      <c r="AN70" s="406" t="e">
        <f t="shared" ca="1" si="38"/>
        <v>#N/A</v>
      </c>
      <c r="AO70" s="406" t="e">
        <f t="shared" ca="1" si="38"/>
        <v>#N/A</v>
      </c>
      <c r="AP70" s="406" t="e">
        <f t="shared" ca="1" si="38"/>
        <v>#N/A</v>
      </c>
      <c r="AQ70" s="406" t="e">
        <f t="shared" ca="1" si="38"/>
        <v>#N/A</v>
      </c>
      <c r="AR70" s="406" t="e">
        <f t="shared" ca="1" si="39"/>
        <v>#N/A</v>
      </c>
      <c r="AS70" s="406" t="e">
        <f t="shared" ca="1" si="39"/>
        <v>#N/A</v>
      </c>
      <c r="AT70" s="406" t="e">
        <f t="shared" ca="1" si="39"/>
        <v>#N/A</v>
      </c>
      <c r="AU70" s="406" t="e">
        <f t="shared" ca="1" si="39"/>
        <v>#N/A</v>
      </c>
      <c r="AV70" s="406" t="e">
        <f t="shared" ca="1" si="39"/>
        <v>#N/A</v>
      </c>
      <c r="AW70" s="406" t="e">
        <f t="shared" ca="1" si="39"/>
        <v>#N/A</v>
      </c>
      <c r="AX70" s="406" t="e">
        <f t="shared" ca="1" si="39"/>
        <v>#N/A</v>
      </c>
      <c r="AY70" s="406" t="e">
        <f t="shared" ca="1" si="39"/>
        <v>#N/A</v>
      </c>
      <c r="AZ70" s="406" t="e">
        <f t="shared" ca="1" si="39"/>
        <v>#N/A</v>
      </c>
      <c r="BA70" s="406" t="e">
        <f t="shared" ca="1" si="39"/>
        <v>#N/A</v>
      </c>
      <c r="BB70" s="406" t="s">
        <v>1141</v>
      </c>
      <c r="BC70" s="407" t="str">
        <f t="shared" ca="1" si="40"/>
        <v/>
      </c>
      <c r="BD70" s="410"/>
      <c r="BE70" s="410"/>
    </row>
    <row r="71" spans="3:57" x14ac:dyDescent="0.25">
      <c r="C71" s="406">
        <f t="shared" si="41"/>
        <v>69</v>
      </c>
      <c r="D71" s="406" t="e">
        <f t="shared" ca="1" si="35"/>
        <v>#N/A</v>
      </c>
      <c r="E71" s="406" t="e">
        <f t="shared" ca="1" si="35"/>
        <v>#N/A</v>
      </c>
      <c r="F71" s="406" t="e">
        <f t="shared" ca="1" si="35"/>
        <v>#N/A</v>
      </c>
      <c r="G71" s="406" t="e">
        <f t="shared" ca="1" si="35"/>
        <v>#N/A</v>
      </c>
      <c r="H71" s="406" t="e">
        <f t="shared" ca="1" si="35"/>
        <v>#N/A</v>
      </c>
      <c r="I71" s="406" t="e">
        <f t="shared" ca="1" si="35"/>
        <v>#N/A</v>
      </c>
      <c r="J71" s="406" t="e">
        <f t="shared" ca="1" si="35"/>
        <v>#N/A</v>
      </c>
      <c r="K71" s="406" t="e">
        <f t="shared" ca="1" si="35"/>
        <v>#N/A</v>
      </c>
      <c r="L71" s="406" t="e">
        <f t="shared" ca="1" si="35"/>
        <v>#N/A</v>
      </c>
      <c r="M71" s="406" t="e">
        <f t="shared" ca="1" si="35"/>
        <v>#N/A</v>
      </c>
      <c r="N71" s="406" t="e">
        <f t="shared" ca="1" si="36"/>
        <v>#N/A</v>
      </c>
      <c r="O71" s="406" t="e">
        <f t="shared" ca="1" si="36"/>
        <v>#N/A</v>
      </c>
      <c r="P71" s="406" t="e">
        <f t="shared" ca="1" si="36"/>
        <v>#N/A</v>
      </c>
      <c r="Q71" s="406" t="e">
        <f t="shared" ca="1" si="36"/>
        <v>#N/A</v>
      </c>
      <c r="R71" s="406" t="e">
        <f t="shared" ca="1" si="36"/>
        <v>#N/A</v>
      </c>
      <c r="S71" s="406" t="e">
        <f t="shared" ca="1" si="36"/>
        <v>#N/A</v>
      </c>
      <c r="T71" s="406" t="e">
        <f t="shared" ca="1" si="36"/>
        <v>#N/A</v>
      </c>
      <c r="U71" s="406" t="e">
        <f t="shared" ca="1" si="36"/>
        <v>#N/A</v>
      </c>
      <c r="V71" s="406" t="e">
        <f t="shared" ca="1" si="36"/>
        <v>#N/A</v>
      </c>
      <c r="W71" s="406" t="e">
        <f t="shared" ca="1" si="36"/>
        <v>#N/A</v>
      </c>
      <c r="X71" s="406" t="e">
        <f t="shared" ca="1" si="37"/>
        <v>#N/A</v>
      </c>
      <c r="Y71" s="406" t="e">
        <f t="shared" ca="1" si="37"/>
        <v>#N/A</v>
      </c>
      <c r="Z71" s="406" t="e">
        <f t="shared" ca="1" si="37"/>
        <v>#N/A</v>
      </c>
      <c r="AA71" s="406" t="e">
        <f t="shared" ca="1" si="37"/>
        <v>#N/A</v>
      </c>
      <c r="AB71" s="406" t="e">
        <f t="shared" ca="1" si="37"/>
        <v>#N/A</v>
      </c>
      <c r="AC71" s="406" t="e">
        <f t="shared" ca="1" si="37"/>
        <v>#N/A</v>
      </c>
      <c r="AD71" s="406" t="e">
        <f t="shared" ca="1" si="37"/>
        <v>#N/A</v>
      </c>
      <c r="AE71" s="406" t="e">
        <f t="shared" ca="1" si="37"/>
        <v>#N/A</v>
      </c>
      <c r="AF71" s="406" t="e">
        <f t="shared" ca="1" si="37"/>
        <v>#N/A</v>
      </c>
      <c r="AG71" s="406" t="e">
        <f t="shared" ca="1" si="37"/>
        <v>#N/A</v>
      </c>
      <c r="AH71" s="406" t="e">
        <f t="shared" ca="1" si="38"/>
        <v>#N/A</v>
      </c>
      <c r="AI71" s="406" t="e">
        <f t="shared" ca="1" si="38"/>
        <v>#N/A</v>
      </c>
      <c r="AJ71" s="406" t="e">
        <f t="shared" ca="1" si="38"/>
        <v>#N/A</v>
      </c>
      <c r="AK71" s="406" t="e">
        <f t="shared" ca="1" si="38"/>
        <v>#N/A</v>
      </c>
      <c r="AL71" s="406" t="e">
        <f t="shared" ca="1" si="38"/>
        <v>#N/A</v>
      </c>
      <c r="AM71" s="406" t="e">
        <f t="shared" ca="1" si="38"/>
        <v>#N/A</v>
      </c>
      <c r="AN71" s="406" t="e">
        <f t="shared" ca="1" si="38"/>
        <v>#N/A</v>
      </c>
      <c r="AO71" s="406" t="e">
        <f t="shared" ca="1" si="38"/>
        <v>#N/A</v>
      </c>
      <c r="AP71" s="406" t="e">
        <f t="shared" ca="1" si="38"/>
        <v>#N/A</v>
      </c>
      <c r="AQ71" s="406" t="e">
        <f t="shared" ca="1" si="38"/>
        <v>#N/A</v>
      </c>
      <c r="AR71" s="406" t="e">
        <f t="shared" ca="1" si="39"/>
        <v>#N/A</v>
      </c>
      <c r="AS71" s="406" t="e">
        <f t="shared" ca="1" si="39"/>
        <v>#N/A</v>
      </c>
      <c r="AT71" s="406" t="e">
        <f t="shared" ca="1" si="39"/>
        <v>#N/A</v>
      </c>
      <c r="AU71" s="406" t="e">
        <f t="shared" ca="1" si="39"/>
        <v>#N/A</v>
      </c>
      <c r="AV71" s="406" t="e">
        <f t="shared" ca="1" si="39"/>
        <v>#N/A</v>
      </c>
      <c r="AW71" s="406" t="e">
        <f t="shared" ca="1" si="39"/>
        <v>#N/A</v>
      </c>
      <c r="AX71" s="406" t="e">
        <f t="shared" ca="1" si="39"/>
        <v>#N/A</v>
      </c>
      <c r="AY71" s="406" t="e">
        <f t="shared" ca="1" si="39"/>
        <v>#N/A</v>
      </c>
      <c r="AZ71" s="406" t="e">
        <f t="shared" ca="1" si="39"/>
        <v>#N/A</v>
      </c>
      <c r="BA71" s="406" t="e">
        <f t="shared" ca="1" si="39"/>
        <v>#N/A</v>
      </c>
      <c r="BB71" s="406" t="s">
        <v>1142</v>
      </c>
      <c r="BC71" s="407" t="str">
        <f t="shared" ca="1" si="40"/>
        <v/>
      </c>
      <c r="BD71" s="410"/>
      <c r="BE71" s="410"/>
    </row>
    <row r="72" spans="3:57" x14ac:dyDescent="0.25">
      <c r="C72" s="406">
        <f t="shared" si="41"/>
        <v>70</v>
      </c>
      <c r="D72" s="406" t="e">
        <f t="shared" ref="D72:M81" ca="1" si="42">TRIM(INDIRECT("'" &amp; "TNX RTF" &amp; "'!" &amp; ADDRESS($A$3+$C72,D$1)))</f>
        <v>#N/A</v>
      </c>
      <c r="E72" s="406" t="e">
        <f t="shared" ca="1" si="42"/>
        <v>#N/A</v>
      </c>
      <c r="F72" s="406" t="e">
        <f t="shared" ca="1" si="42"/>
        <v>#N/A</v>
      </c>
      <c r="G72" s="406" t="e">
        <f t="shared" ca="1" si="42"/>
        <v>#N/A</v>
      </c>
      <c r="H72" s="406" t="e">
        <f t="shared" ca="1" si="42"/>
        <v>#N/A</v>
      </c>
      <c r="I72" s="406" t="e">
        <f t="shared" ca="1" si="42"/>
        <v>#N/A</v>
      </c>
      <c r="J72" s="406" t="e">
        <f t="shared" ca="1" si="42"/>
        <v>#N/A</v>
      </c>
      <c r="K72" s="406" t="e">
        <f t="shared" ca="1" si="42"/>
        <v>#N/A</v>
      </c>
      <c r="L72" s="406" t="e">
        <f t="shared" ca="1" si="42"/>
        <v>#N/A</v>
      </c>
      <c r="M72" s="406" t="e">
        <f t="shared" ca="1" si="42"/>
        <v>#N/A</v>
      </c>
      <c r="N72" s="406" t="e">
        <f t="shared" ref="N72:W81" ca="1" si="43">TRIM(INDIRECT("'" &amp; "TNX RTF" &amp; "'!" &amp; ADDRESS($A$3+$C72,N$1)))</f>
        <v>#N/A</v>
      </c>
      <c r="O72" s="406" t="e">
        <f t="shared" ca="1" si="43"/>
        <v>#N/A</v>
      </c>
      <c r="P72" s="406" t="e">
        <f t="shared" ca="1" si="43"/>
        <v>#N/A</v>
      </c>
      <c r="Q72" s="406" t="e">
        <f t="shared" ca="1" si="43"/>
        <v>#N/A</v>
      </c>
      <c r="R72" s="406" t="e">
        <f t="shared" ca="1" si="43"/>
        <v>#N/A</v>
      </c>
      <c r="S72" s="406" t="e">
        <f t="shared" ca="1" si="43"/>
        <v>#N/A</v>
      </c>
      <c r="T72" s="406" t="e">
        <f t="shared" ca="1" si="43"/>
        <v>#N/A</v>
      </c>
      <c r="U72" s="406" t="e">
        <f t="shared" ca="1" si="43"/>
        <v>#N/A</v>
      </c>
      <c r="V72" s="406" t="e">
        <f t="shared" ca="1" si="43"/>
        <v>#N/A</v>
      </c>
      <c r="W72" s="406" t="e">
        <f t="shared" ca="1" si="43"/>
        <v>#N/A</v>
      </c>
      <c r="X72" s="406" t="e">
        <f t="shared" ref="X72:AG81" ca="1" si="44">TRIM(INDIRECT("'" &amp; "TNX RTF" &amp; "'!" &amp; ADDRESS($A$3+$C72,X$1)))</f>
        <v>#N/A</v>
      </c>
      <c r="Y72" s="406" t="e">
        <f t="shared" ca="1" si="44"/>
        <v>#N/A</v>
      </c>
      <c r="Z72" s="406" t="e">
        <f t="shared" ca="1" si="44"/>
        <v>#N/A</v>
      </c>
      <c r="AA72" s="406" t="e">
        <f t="shared" ca="1" si="44"/>
        <v>#N/A</v>
      </c>
      <c r="AB72" s="406" t="e">
        <f t="shared" ca="1" si="44"/>
        <v>#N/A</v>
      </c>
      <c r="AC72" s="406" t="e">
        <f t="shared" ca="1" si="44"/>
        <v>#N/A</v>
      </c>
      <c r="AD72" s="406" t="e">
        <f t="shared" ca="1" si="44"/>
        <v>#N/A</v>
      </c>
      <c r="AE72" s="406" t="e">
        <f t="shared" ca="1" si="44"/>
        <v>#N/A</v>
      </c>
      <c r="AF72" s="406" t="e">
        <f t="shared" ca="1" si="44"/>
        <v>#N/A</v>
      </c>
      <c r="AG72" s="406" t="e">
        <f t="shared" ca="1" si="44"/>
        <v>#N/A</v>
      </c>
      <c r="AH72" s="406" t="e">
        <f t="shared" ref="AH72:AQ81" ca="1" si="45">TRIM(INDIRECT("'" &amp; "TNX RTF" &amp; "'!" &amp; ADDRESS($A$3+$C72,AH$1)))</f>
        <v>#N/A</v>
      </c>
      <c r="AI72" s="406" t="e">
        <f t="shared" ca="1" si="45"/>
        <v>#N/A</v>
      </c>
      <c r="AJ72" s="406" t="e">
        <f t="shared" ca="1" si="45"/>
        <v>#N/A</v>
      </c>
      <c r="AK72" s="406" t="e">
        <f t="shared" ca="1" si="45"/>
        <v>#N/A</v>
      </c>
      <c r="AL72" s="406" t="e">
        <f t="shared" ca="1" si="45"/>
        <v>#N/A</v>
      </c>
      <c r="AM72" s="406" t="e">
        <f t="shared" ca="1" si="45"/>
        <v>#N/A</v>
      </c>
      <c r="AN72" s="406" t="e">
        <f t="shared" ca="1" si="45"/>
        <v>#N/A</v>
      </c>
      <c r="AO72" s="406" t="e">
        <f t="shared" ca="1" si="45"/>
        <v>#N/A</v>
      </c>
      <c r="AP72" s="406" t="e">
        <f t="shared" ca="1" si="45"/>
        <v>#N/A</v>
      </c>
      <c r="AQ72" s="406" t="e">
        <f t="shared" ca="1" si="45"/>
        <v>#N/A</v>
      </c>
      <c r="AR72" s="406" t="e">
        <f t="shared" ref="AR72:BA81" ca="1" si="46">TRIM(INDIRECT("'" &amp; "TNX RTF" &amp; "'!" &amp; ADDRESS($A$3+$C72,AR$1)))</f>
        <v>#N/A</v>
      </c>
      <c r="AS72" s="406" t="e">
        <f t="shared" ca="1" si="46"/>
        <v>#N/A</v>
      </c>
      <c r="AT72" s="406" t="e">
        <f t="shared" ca="1" si="46"/>
        <v>#N/A</v>
      </c>
      <c r="AU72" s="406" t="e">
        <f t="shared" ca="1" si="46"/>
        <v>#N/A</v>
      </c>
      <c r="AV72" s="406" t="e">
        <f t="shared" ca="1" si="46"/>
        <v>#N/A</v>
      </c>
      <c r="AW72" s="406" t="e">
        <f t="shared" ca="1" si="46"/>
        <v>#N/A</v>
      </c>
      <c r="AX72" s="406" t="e">
        <f t="shared" ca="1" si="46"/>
        <v>#N/A</v>
      </c>
      <c r="AY72" s="406" t="e">
        <f t="shared" ca="1" si="46"/>
        <v>#N/A</v>
      </c>
      <c r="AZ72" s="406" t="e">
        <f t="shared" ca="1" si="46"/>
        <v>#N/A</v>
      </c>
      <c r="BA72" s="406" t="e">
        <f t="shared" ca="1" si="46"/>
        <v>#N/A</v>
      </c>
      <c r="BB72" s="406" t="s">
        <v>1143</v>
      </c>
      <c r="BC72" s="407" t="str">
        <f t="shared" ca="1" si="40"/>
        <v/>
      </c>
      <c r="BD72" s="410"/>
      <c r="BE72" s="410"/>
    </row>
    <row r="73" spans="3:57" x14ac:dyDescent="0.25">
      <c r="C73" s="406">
        <f t="shared" si="41"/>
        <v>71</v>
      </c>
      <c r="D73" s="406" t="e">
        <f t="shared" ca="1" si="42"/>
        <v>#N/A</v>
      </c>
      <c r="E73" s="406" t="e">
        <f t="shared" ca="1" si="42"/>
        <v>#N/A</v>
      </c>
      <c r="F73" s="406" t="e">
        <f t="shared" ca="1" si="42"/>
        <v>#N/A</v>
      </c>
      <c r="G73" s="406" t="e">
        <f t="shared" ca="1" si="42"/>
        <v>#N/A</v>
      </c>
      <c r="H73" s="406" t="e">
        <f t="shared" ca="1" si="42"/>
        <v>#N/A</v>
      </c>
      <c r="I73" s="406" t="e">
        <f t="shared" ca="1" si="42"/>
        <v>#N/A</v>
      </c>
      <c r="J73" s="406" t="e">
        <f t="shared" ca="1" si="42"/>
        <v>#N/A</v>
      </c>
      <c r="K73" s="406" t="e">
        <f t="shared" ca="1" si="42"/>
        <v>#N/A</v>
      </c>
      <c r="L73" s="406" t="e">
        <f t="shared" ca="1" si="42"/>
        <v>#N/A</v>
      </c>
      <c r="M73" s="406" t="e">
        <f t="shared" ca="1" si="42"/>
        <v>#N/A</v>
      </c>
      <c r="N73" s="406" t="e">
        <f t="shared" ca="1" si="43"/>
        <v>#N/A</v>
      </c>
      <c r="O73" s="406" t="e">
        <f t="shared" ca="1" si="43"/>
        <v>#N/A</v>
      </c>
      <c r="P73" s="406" t="e">
        <f t="shared" ca="1" si="43"/>
        <v>#N/A</v>
      </c>
      <c r="Q73" s="406" t="e">
        <f t="shared" ca="1" si="43"/>
        <v>#N/A</v>
      </c>
      <c r="R73" s="406" t="e">
        <f t="shared" ca="1" si="43"/>
        <v>#N/A</v>
      </c>
      <c r="S73" s="406" t="e">
        <f t="shared" ca="1" si="43"/>
        <v>#N/A</v>
      </c>
      <c r="T73" s="406" t="e">
        <f t="shared" ca="1" si="43"/>
        <v>#N/A</v>
      </c>
      <c r="U73" s="406" t="e">
        <f t="shared" ca="1" si="43"/>
        <v>#N/A</v>
      </c>
      <c r="V73" s="406" t="e">
        <f t="shared" ca="1" si="43"/>
        <v>#N/A</v>
      </c>
      <c r="W73" s="406" t="e">
        <f t="shared" ca="1" si="43"/>
        <v>#N/A</v>
      </c>
      <c r="X73" s="406" t="e">
        <f t="shared" ca="1" si="44"/>
        <v>#N/A</v>
      </c>
      <c r="Y73" s="406" t="e">
        <f t="shared" ca="1" si="44"/>
        <v>#N/A</v>
      </c>
      <c r="Z73" s="406" t="e">
        <f t="shared" ca="1" si="44"/>
        <v>#N/A</v>
      </c>
      <c r="AA73" s="406" t="e">
        <f t="shared" ca="1" si="44"/>
        <v>#N/A</v>
      </c>
      <c r="AB73" s="406" t="e">
        <f t="shared" ca="1" si="44"/>
        <v>#N/A</v>
      </c>
      <c r="AC73" s="406" t="e">
        <f t="shared" ca="1" si="44"/>
        <v>#N/A</v>
      </c>
      <c r="AD73" s="406" t="e">
        <f t="shared" ca="1" si="44"/>
        <v>#N/A</v>
      </c>
      <c r="AE73" s="406" t="e">
        <f t="shared" ca="1" si="44"/>
        <v>#N/A</v>
      </c>
      <c r="AF73" s="406" t="e">
        <f t="shared" ca="1" si="44"/>
        <v>#N/A</v>
      </c>
      <c r="AG73" s="406" t="e">
        <f t="shared" ca="1" si="44"/>
        <v>#N/A</v>
      </c>
      <c r="AH73" s="406" t="e">
        <f t="shared" ca="1" si="45"/>
        <v>#N/A</v>
      </c>
      <c r="AI73" s="406" t="e">
        <f t="shared" ca="1" si="45"/>
        <v>#N/A</v>
      </c>
      <c r="AJ73" s="406" t="e">
        <f t="shared" ca="1" si="45"/>
        <v>#N/A</v>
      </c>
      <c r="AK73" s="406" t="e">
        <f t="shared" ca="1" si="45"/>
        <v>#N/A</v>
      </c>
      <c r="AL73" s="406" t="e">
        <f t="shared" ca="1" si="45"/>
        <v>#N/A</v>
      </c>
      <c r="AM73" s="406" t="e">
        <f t="shared" ca="1" si="45"/>
        <v>#N/A</v>
      </c>
      <c r="AN73" s="406" t="e">
        <f t="shared" ca="1" si="45"/>
        <v>#N/A</v>
      </c>
      <c r="AO73" s="406" t="e">
        <f t="shared" ca="1" si="45"/>
        <v>#N/A</v>
      </c>
      <c r="AP73" s="406" t="e">
        <f t="shared" ca="1" si="45"/>
        <v>#N/A</v>
      </c>
      <c r="AQ73" s="406" t="e">
        <f t="shared" ca="1" si="45"/>
        <v>#N/A</v>
      </c>
      <c r="AR73" s="406" t="e">
        <f t="shared" ca="1" si="46"/>
        <v>#N/A</v>
      </c>
      <c r="AS73" s="406" t="e">
        <f t="shared" ca="1" si="46"/>
        <v>#N/A</v>
      </c>
      <c r="AT73" s="406" t="e">
        <f t="shared" ca="1" si="46"/>
        <v>#N/A</v>
      </c>
      <c r="AU73" s="406" t="e">
        <f t="shared" ca="1" si="46"/>
        <v>#N/A</v>
      </c>
      <c r="AV73" s="406" t="e">
        <f t="shared" ca="1" si="46"/>
        <v>#N/A</v>
      </c>
      <c r="AW73" s="406" t="e">
        <f t="shared" ca="1" si="46"/>
        <v>#N/A</v>
      </c>
      <c r="AX73" s="406" t="e">
        <f t="shared" ca="1" si="46"/>
        <v>#N/A</v>
      </c>
      <c r="AY73" s="406" t="e">
        <f t="shared" ca="1" si="46"/>
        <v>#N/A</v>
      </c>
      <c r="AZ73" s="406" t="e">
        <f t="shared" ca="1" si="46"/>
        <v>#N/A</v>
      </c>
      <c r="BA73" s="406" t="e">
        <f t="shared" ca="1" si="46"/>
        <v>#N/A</v>
      </c>
      <c r="BB73" s="406" t="s">
        <v>1144</v>
      </c>
      <c r="BC73" s="407" t="str">
        <f t="shared" ca="1" si="40"/>
        <v/>
      </c>
      <c r="BD73" s="410"/>
      <c r="BE73" s="410"/>
    </row>
    <row r="74" spans="3:57" x14ac:dyDescent="0.25">
      <c r="C74" s="406">
        <f t="shared" si="41"/>
        <v>72</v>
      </c>
      <c r="D74" s="406" t="e">
        <f t="shared" ca="1" si="42"/>
        <v>#N/A</v>
      </c>
      <c r="E74" s="406" t="e">
        <f t="shared" ca="1" si="42"/>
        <v>#N/A</v>
      </c>
      <c r="F74" s="406" t="e">
        <f t="shared" ca="1" si="42"/>
        <v>#N/A</v>
      </c>
      <c r="G74" s="406" t="e">
        <f t="shared" ca="1" si="42"/>
        <v>#N/A</v>
      </c>
      <c r="H74" s="406" t="e">
        <f t="shared" ca="1" si="42"/>
        <v>#N/A</v>
      </c>
      <c r="I74" s="406" t="e">
        <f t="shared" ca="1" si="42"/>
        <v>#N/A</v>
      </c>
      <c r="J74" s="406" t="e">
        <f t="shared" ca="1" si="42"/>
        <v>#N/A</v>
      </c>
      <c r="K74" s="406" t="e">
        <f t="shared" ca="1" si="42"/>
        <v>#N/A</v>
      </c>
      <c r="L74" s="406" t="e">
        <f t="shared" ca="1" si="42"/>
        <v>#N/A</v>
      </c>
      <c r="M74" s="406" t="e">
        <f t="shared" ca="1" si="42"/>
        <v>#N/A</v>
      </c>
      <c r="N74" s="406" t="e">
        <f t="shared" ca="1" si="43"/>
        <v>#N/A</v>
      </c>
      <c r="O74" s="406" t="e">
        <f t="shared" ca="1" si="43"/>
        <v>#N/A</v>
      </c>
      <c r="P74" s="406" t="e">
        <f t="shared" ca="1" si="43"/>
        <v>#N/A</v>
      </c>
      <c r="Q74" s="406" t="e">
        <f t="shared" ca="1" si="43"/>
        <v>#N/A</v>
      </c>
      <c r="R74" s="406" t="e">
        <f t="shared" ca="1" si="43"/>
        <v>#N/A</v>
      </c>
      <c r="S74" s="406" t="e">
        <f t="shared" ca="1" si="43"/>
        <v>#N/A</v>
      </c>
      <c r="T74" s="406" t="e">
        <f t="shared" ca="1" si="43"/>
        <v>#N/A</v>
      </c>
      <c r="U74" s="406" t="e">
        <f t="shared" ca="1" si="43"/>
        <v>#N/A</v>
      </c>
      <c r="V74" s="406" t="e">
        <f t="shared" ca="1" si="43"/>
        <v>#N/A</v>
      </c>
      <c r="W74" s="406" t="e">
        <f t="shared" ca="1" si="43"/>
        <v>#N/A</v>
      </c>
      <c r="X74" s="406" t="e">
        <f t="shared" ca="1" si="44"/>
        <v>#N/A</v>
      </c>
      <c r="Y74" s="406" t="e">
        <f t="shared" ca="1" si="44"/>
        <v>#N/A</v>
      </c>
      <c r="Z74" s="406" t="e">
        <f t="shared" ca="1" si="44"/>
        <v>#N/A</v>
      </c>
      <c r="AA74" s="406" t="e">
        <f t="shared" ca="1" si="44"/>
        <v>#N/A</v>
      </c>
      <c r="AB74" s="406" t="e">
        <f t="shared" ca="1" si="44"/>
        <v>#N/A</v>
      </c>
      <c r="AC74" s="406" t="e">
        <f t="shared" ca="1" si="44"/>
        <v>#N/A</v>
      </c>
      <c r="AD74" s="406" t="e">
        <f t="shared" ca="1" si="44"/>
        <v>#N/A</v>
      </c>
      <c r="AE74" s="406" t="e">
        <f t="shared" ca="1" si="44"/>
        <v>#N/A</v>
      </c>
      <c r="AF74" s="406" t="e">
        <f t="shared" ca="1" si="44"/>
        <v>#N/A</v>
      </c>
      <c r="AG74" s="406" t="e">
        <f t="shared" ca="1" si="44"/>
        <v>#N/A</v>
      </c>
      <c r="AH74" s="406" t="e">
        <f t="shared" ca="1" si="45"/>
        <v>#N/A</v>
      </c>
      <c r="AI74" s="406" t="e">
        <f t="shared" ca="1" si="45"/>
        <v>#N/A</v>
      </c>
      <c r="AJ74" s="406" t="e">
        <f t="shared" ca="1" si="45"/>
        <v>#N/A</v>
      </c>
      <c r="AK74" s="406" t="e">
        <f t="shared" ca="1" si="45"/>
        <v>#N/A</v>
      </c>
      <c r="AL74" s="406" t="e">
        <f t="shared" ca="1" si="45"/>
        <v>#N/A</v>
      </c>
      <c r="AM74" s="406" t="e">
        <f t="shared" ca="1" si="45"/>
        <v>#N/A</v>
      </c>
      <c r="AN74" s="406" t="e">
        <f t="shared" ca="1" si="45"/>
        <v>#N/A</v>
      </c>
      <c r="AO74" s="406" t="e">
        <f t="shared" ca="1" si="45"/>
        <v>#N/A</v>
      </c>
      <c r="AP74" s="406" t="e">
        <f t="shared" ca="1" si="45"/>
        <v>#N/A</v>
      </c>
      <c r="AQ74" s="406" t="e">
        <f t="shared" ca="1" si="45"/>
        <v>#N/A</v>
      </c>
      <c r="AR74" s="406" t="e">
        <f t="shared" ca="1" si="46"/>
        <v>#N/A</v>
      </c>
      <c r="AS74" s="406" t="e">
        <f t="shared" ca="1" si="46"/>
        <v>#N/A</v>
      </c>
      <c r="AT74" s="406" t="e">
        <f t="shared" ca="1" si="46"/>
        <v>#N/A</v>
      </c>
      <c r="AU74" s="406" t="e">
        <f t="shared" ca="1" si="46"/>
        <v>#N/A</v>
      </c>
      <c r="AV74" s="406" t="e">
        <f t="shared" ca="1" si="46"/>
        <v>#N/A</v>
      </c>
      <c r="AW74" s="406" t="e">
        <f t="shared" ca="1" si="46"/>
        <v>#N/A</v>
      </c>
      <c r="AX74" s="406" t="e">
        <f t="shared" ca="1" si="46"/>
        <v>#N/A</v>
      </c>
      <c r="AY74" s="406" t="e">
        <f t="shared" ca="1" si="46"/>
        <v>#N/A</v>
      </c>
      <c r="AZ74" s="406" t="e">
        <f t="shared" ca="1" si="46"/>
        <v>#N/A</v>
      </c>
      <c r="BA74" s="406" t="e">
        <f t="shared" ca="1" si="46"/>
        <v>#N/A</v>
      </c>
      <c r="BB74" s="406" t="s">
        <v>1145</v>
      </c>
      <c r="BC74" s="407" t="str">
        <f t="shared" ca="1" si="40"/>
        <v/>
      </c>
      <c r="BD74" s="410"/>
      <c r="BE74" s="410"/>
    </row>
    <row r="75" spans="3:57" x14ac:dyDescent="0.25">
      <c r="C75" s="406">
        <f t="shared" si="41"/>
        <v>73</v>
      </c>
      <c r="D75" s="406" t="e">
        <f t="shared" ca="1" si="42"/>
        <v>#N/A</v>
      </c>
      <c r="E75" s="406" t="e">
        <f t="shared" ca="1" si="42"/>
        <v>#N/A</v>
      </c>
      <c r="F75" s="406" t="e">
        <f t="shared" ca="1" si="42"/>
        <v>#N/A</v>
      </c>
      <c r="G75" s="406" t="e">
        <f t="shared" ca="1" si="42"/>
        <v>#N/A</v>
      </c>
      <c r="H75" s="406" t="e">
        <f t="shared" ca="1" si="42"/>
        <v>#N/A</v>
      </c>
      <c r="I75" s="406" t="e">
        <f t="shared" ca="1" si="42"/>
        <v>#N/A</v>
      </c>
      <c r="J75" s="406" t="e">
        <f t="shared" ca="1" si="42"/>
        <v>#N/A</v>
      </c>
      <c r="K75" s="406" t="e">
        <f t="shared" ca="1" si="42"/>
        <v>#N/A</v>
      </c>
      <c r="L75" s="406" t="e">
        <f t="shared" ca="1" si="42"/>
        <v>#N/A</v>
      </c>
      <c r="M75" s="406" t="e">
        <f t="shared" ca="1" si="42"/>
        <v>#N/A</v>
      </c>
      <c r="N75" s="406" t="e">
        <f t="shared" ca="1" si="43"/>
        <v>#N/A</v>
      </c>
      <c r="O75" s="406" t="e">
        <f t="shared" ca="1" si="43"/>
        <v>#N/A</v>
      </c>
      <c r="P75" s="406" t="e">
        <f t="shared" ca="1" si="43"/>
        <v>#N/A</v>
      </c>
      <c r="Q75" s="406" t="e">
        <f t="shared" ca="1" si="43"/>
        <v>#N/A</v>
      </c>
      <c r="R75" s="406" t="e">
        <f t="shared" ca="1" si="43"/>
        <v>#N/A</v>
      </c>
      <c r="S75" s="406" t="e">
        <f t="shared" ca="1" si="43"/>
        <v>#N/A</v>
      </c>
      <c r="T75" s="406" t="e">
        <f t="shared" ca="1" si="43"/>
        <v>#N/A</v>
      </c>
      <c r="U75" s="406" t="e">
        <f t="shared" ca="1" si="43"/>
        <v>#N/A</v>
      </c>
      <c r="V75" s="406" t="e">
        <f t="shared" ca="1" si="43"/>
        <v>#N/A</v>
      </c>
      <c r="W75" s="406" t="e">
        <f t="shared" ca="1" si="43"/>
        <v>#N/A</v>
      </c>
      <c r="X75" s="406" t="e">
        <f t="shared" ca="1" si="44"/>
        <v>#N/A</v>
      </c>
      <c r="Y75" s="406" t="e">
        <f t="shared" ca="1" si="44"/>
        <v>#N/A</v>
      </c>
      <c r="Z75" s="406" t="e">
        <f t="shared" ca="1" si="44"/>
        <v>#N/A</v>
      </c>
      <c r="AA75" s="406" t="e">
        <f t="shared" ca="1" si="44"/>
        <v>#N/A</v>
      </c>
      <c r="AB75" s="406" t="e">
        <f t="shared" ca="1" si="44"/>
        <v>#N/A</v>
      </c>
      <c r="AC75" s="406" t="e">
        <f t="shared" ca="1" si="44"/>
        <v>#N/A</v>
      </c>
      <c r="AD75" s="406" t="e">
        <f t="shared" ca="1" si="44"/>
        <v>#N/A</v>
      </c>
      <c r="AE75" s="406" t="e">
        <f t="shared" ca="1" si="44"/>
        <v>#N/A</v>
      </c>
      <c r="AF75" s="406" t="e">
        <f t="shared" ca="1" si="44"/>
        <v>#N/A</v>
      </c>
      <c r="AG75" s="406" t="e">
        <f t="shared" ca="1" si="44"/>
        <v>#N/A</v>
      </c>
      <c r="AH75" s="406" t="e">
        <f t="shared" ca="1" si="45"/>
        <v>#N/A</v>
      </c>
      <c r="AI75" s="406" t="e">
        <f t="shared" ca="1" si="45"/>
        <v>#N/A</v>
      </c>
      <c r="AJ75" s="406" t="e">
        <f t="shared" ca="1" si="45"/>
        <v>#N/A</v>
      </c>
      <c r="AK75" s="406" t="e">
        <f t="shared" ca="1" si="45"/>
        <v>#N/A</v>
      </c>
      <c r="AL75" s="406" t="e">
        <f t="shared" ca="1" si="45"/>
        <v>#N/A</v>
      </c>
      <c r="AM75" s="406" t="e">
        <f t="shared" ca="1" si="45"/>
        <v>#N/A</v>
      </c>
      <c r="AN75" s="406" t="e">
        <f t="shared" ca="1" si="45"/>
        <v>#N/A</v>
      </c>
      <c r="AO75" s="406" t="e">
        <f t="shared" ca="1" si="45"/>
        <v>#N/A</v>
      </c>
      <c r="AP75" s="406" t="e">
        <f t="shared" ca="1" si="45"/>
        <v>#N/A</v>
      </c>
      <c r="AQ75" s="406" t="e">
        <f t="shared" ca="1" si="45"/>
        <v>#N/A</v>
      </c>
      <c r="AR75" s="406" t="e">
        <f t="shared" ca="1" si="46"/>
        <v>#N/A</v>
      </c>
      <c r="AS75" s="406" t="e">
        <f t="shared" ca="1" si="46"/>
        <v>#N/A</v>
      </c>
      <c r="AT75" s="406" t="e">
        <f t="shared" ca="1" si="46"/>
        <v>#N/A</v>
      </c>
      <c r="AU75" s="406" t="e">
        <f t="shared" ca="1" si="46"/>
        <v>#N/A</v>
      </c>
      <c r="AV75" s="406" t="e">
        <f t="shared" ca="1" si="46"/>
        <v>#N/A</v>
      </c>
      <c r="AW75" s="406" t="e">
        <f t="shared" ca="1" si="46"/>
        <v>#N/A</v>
      </c>
      <c r="AX75" s="406" t="e">
        <f t="shared" ca="1" si="46"/>
        <v>#N/A</v>
      </c>
      <c r="AY75" s="406" t="e">
        <f t="shared" ca="1" si="46"/>
        <v>#N/A</v>
      </c>
      <c r="AZ75" s="406" t="e">
        <f t="shared" ca="1" si="46"/>
        <v>#N/A</v>
      </c>
      <c r="BA75" s="406" t="e">
        <f t="shared" ca="1" si="46"/>
        <v>#N/A</v>
      </c>
      <c r="BB75" s="406" t="s">
        <v>1146</v>
      </c>
      <c r="BC75" s="407" t="str">
        <f t="shared" ca="1" si="40"/>
        <v/>
      </c>
      <c r="BD75" s="410"/>
      <c r="BE75" s="410"/>
    </row>
    <row r="76" spans="3:57" x14ac:dyDescent="0.25">
      <c r="C76" s="406">
        <f t="shared" si="41"/>
        <v>74</v>
      </c>
      <c r="D76" s="406" t="e">
        <f t="shared" ca="1" si="42"/>
        <v>#N/A</v>
      </c>
      <c r="E76" s="406" t="e">
        <f t="shared" ca="1" si="42"/>
        <v>#N/A</v>
      </c>
      <c r="F76" s="406" t="e">
        <f t="shared" ca="1" si="42"/>
        <v>#N/A</v>
      </c>
      <c r="G76" s="406" t="e">
        <f t="shared" ca="1" si="42"/>
        <v>#N/A</v>
      </c>
      <c r="H76" s="406" t="e">
        <f t="shared" ca="1" si="42"/>
        <v>#N/A</v>
      </c>
      <c r="I76" s="406" t="e">
        <f t="shared" ca="1" si="42"/>
        <v>#N/A</v>
      </c>
      <c r="J76" s="406" t="e">
        <f t="shared" ca="1" si="42"/>
        <v>#N/A</v>
      </c>
      <c r="K76" s="406" t="e">
        <f t="shared" ca="1" si="42"/>
        <v>#N/A</v>
      </c>
      <c r="L76" s="406" t="e">
        <f t="shared" ca="1" si="42"/>
        <v>#N/A</v>
      </c>
      <c r="M76" s="406" t="e">
        <f t="shared" ca="1" si="42"/>
        <v>#N/A</v>
      </c>
      <c r="N76" s="406" t="e">
        <f t="shared" ca="1" si="43"/>
        <v>#N/A</v>
      </c>
      <c r="O76" s="406" t="e">
        <f t="shared" ca="1" si="43"/>
        <v>#N/A</v>
      </c>
      <c r="P76" s="406" t="e">
        <f t="shared" ca="1" si="43"/>
        <v>#N/A</v>
      </c>
      <c r="Q76" s="406" t="e">
        <f t="shared" ca="1" si="43"/>
        <v>#N/A</v>
      </c>
      <c r="R76" s="406" t="e">
        <f t="shared" ca="1" si="43"/>
        <v>#N/A</v>
      </c>
      <c r="S76" s="406" t="e">
        <f t="shared" ca="1" si="43"/>
        <v>#N/A</v>
      </c>
      <c r="T76" s="406" t="e">
        <f t="shared" ca="1" si="43"/>
        <v>#N/A</v>
      </c>
      <c r="U76" s="406" t="e">
        <f t="shared" ca="1" si="43"/>
        <v>#N/A</v>
      </c>
      <c r="V76" s="406" t="e">
        <f t="shared" ca="1" si="43"/>
        <v>#N/A</v>
      </c>
      <c r="W76" s="406" t="e">
        <f t="shared" ca="1" si="43"/>
        <v>#N/A</v>
      </c>
      <c r="X76" s="406" t="e">
        <f t="shared" ca="1" si="44"/>
        <v>#N/A</v>
      </c>
      <c r="Y76" s="406" t="e">
        <f t="shared" ca="1" si="44"/>
        <v>#N/A</v>
      </c>
      <c r="Z76" s="406" t="e">
        <f t="shared" ca="1" si="44"/>
        <v>#N/A</v>
      </c>
      <c r="AA76" s="406" t="e">
        <f t="shared" ca="1" si="44"/>
        <v>#N/A</v>
      </c>
      <c r="AB76" s="406" t="e">
        <f t="shared" ca="1" si="44"/>
        <v>#N/A</v>
      </c>
      <c r="AC76" s="406" t="e">
        <f t="shared" ca="1" si="44"/>
        <v>#N/A</v>
      </c>
      <c r="AD76" s="406" t="e">
        <f t="shared" ca="1" si="44"/>
        <v>#N/A</v>
      </c>
      <c r="AE76" s="406" t="e">
        <f t="shared" ca="1" si="44"/>
        <v>#N/A</v>
      </c>
      <c r="AF76" s="406" t="e">
        <f t="shared" ca="1" si="44"/>
        <v>#N/A</v>
      </c>
      <c r="AG76" s="406" t="e">
        <f t="shared" ca="1" si="44"/>
        <v>#N/A</v>
      </c>
      <c r="AH76" s="406" t="e">
        <f t="shared" ca="1" si="45"/>
        <v>#N/A</v>
      </c>
      <c r="AI76" s="406" t="e">
        <f t="shared" ca="1" si="45"/>
        <v>#N/A</v>
      </c>
      <c r="AJ76" s="406" t="e">
        <f t="shared" ca="1" si="45"/>
        <v>#N/A</v>
      </c>
      <c r="AK76" s="406" t="e">
        <f t="shared" ca="1" si="45"/>
        <v>#N/A</v>
      </c>
      <c r="AL76" s="406" t="e">
        <f t="shared" ca="1" si="45"/>
        <v>#N/A</v>
      </c>
      <c r="AM76" s="406" t="e">
        <f t="shared" ca="1" si="45"/>
        <v>#N/A</v>
      </c>
      <c r="AN76" s="406" t="e">
        <f t="shared" ca="1" si="45"/>
        <v>#N/A</v>
      </c>
      <c r="AO76" s="406" t="e">
        <f t="shared" ca="1" si="45"/>
        <v>#N/A</v>
      </c>
      <c r="AP76" s="406" t="e">
        <f t="shared" ca="1" si="45"/>
        <v>#N/A</v>
      </c>
      <c r="AQ76" s="406" t="e">
        <f t="shared" ca="1" si="45"/>
        <v>#N/A</v>
      </c>
      <c r="AR76" s="406" t="e">
        <f t="shared" ca="1" si="46"/>
        <v>#N/A</v>
      </c>
      <c r="AS76" s="406" t="e">
        <f t="shared" ca="1" si="46"/>
        <v>#N/A</v>
      </c>
      <c r="AT76" s="406" t="e">
        <f t="shared" ca="1" si="46"/>
        <v>#N/A</v>
      </c>
      <c r="AU76" s="406" t="e">
        <f t="shared" ca="1" si="46"/>
        <v>#N/A</v>
      </c>
      <c r="AV76" s="406" t="e">
        <f t="shared" ca="1" si="46"/>
        <v>#N/A</v>
      </c>
      <c r="AW76" s="406" t="e">
        <f t="shared" ca="1" si="46"/>
        <v>#N/A</v>
      </c>
      <c r="AX76" s="406" t="e">
        <f t="shared" ca="1" si="46"/>
        <v>#N/A</v>
      </c>
      <c r="AY76" s="406" t="e">
        <f t="shared" ca="1" si="46"/>
        <v>#N/A</v>
      </c>
      <c r="AZ76" s="406" t="e">
        <f t="shared" ca="1" si="46"/>
        <v>#N/A</v>
      </c>
      <c r="BA76" s="406" t="e">
        <f t="shared" ca="1" si="46"/>
        <v>#N/A</v>
      </c>
      <c r="BB76" s="406" t="s">
        <v>1147</v>
      </c>
      <c r="BC76" s="407" t="str">
        <f t="shared" ca="1" si="40"/>
        <v/>
      </c>
      <c r="BD76" s="410"/>
      <c r="BE76" s="410"/>
    </row>
    <row r="77" spans="3:57" x14ac:dyDescent="0.25">
      <c r="C77" s="406">
        <f t="shared" si="41"/>
        <v>75</v>
      </c>
      <c r="D77" s="406" t="e">
        <f t="shared" ca="1" si="42"/>
        <v>#N/A</v>
      </c>
      <c r="E77" s="406" t="e">
        <f t="shared" ca="1" si="42"/>
        <v>#N/A</v>
      </c>
      <c r="F77" s="406" t="e">
        <f t="shared" ca="1" si="42"/>
        <v>#N/A</v>
      </c>
      <c r="G77" s="406" t="e">
        <f t="shared" ca="1" si="42"/>
        <v>#N/A</v>
      </c>
      <c r="H77" s="406" t="e">
        <f t="shared" ca="1" si="42"/>
        <v>#N/A</v>
      </c>
      <c r="I77" s="406" t="e">
        <f t="shared" ca="1" si="42"/>
        <v>#N/A</v>
      </c>
      <c r="J77" s="406" t="e">
        <f t="shared" ca="1" si="42"/>
        <v>#N/A</v>
      </c>
      <c r="K77" s="406" t="e">
        <f t="shared" ca="1" si="42"/>
        <v>#N/A</v>
      </c>
      <c r="L77" s="406" t="e">
        <f t="shared" ca="1" si="42"/>
        <v>#N/A</v>
      </c>
      <c r="M77" s="406" t="e">
        <f t="shared" ca="1" si="42"/>
        <v>#N/A</v>
      </c>
      <c r="N77" s="406" t="e">
        <f t="shared" ca="1" si="43"/>
        <v>#N/A</v>
      </c>
      <c r="O77" s="406" t="e">
        <f t="shared" ca="1" si="43"/>
        <v>#N/A</v>
      </c>
      <c r="P77" s="406" t="e">
        <f t="shared" ca="1" si="43"/>
        <v>#N/A</v>
      </c>
      <c r="Q77" s="406" t="e">
        <f t="shared" ca="1" si="43"/>
        <v>#N/A</v>
      </c>
      <c r="R77" s="406" t="e">
        <f t="shared" ca="1" si="43"/>
        <v>#N/A</v>
      </c>
      <c r="S77" s="406" t="e">
        <f t="shared" ca="1" si="43"/>
        <v>#N/A</v>
      </c>
      <c r="T77" s="406" t="e">
        <f t="shared" ca="1" si="43"/>
        <v>#N/A</v>
      </c>
      <c r="U77" s="406" t="e">
        <f t="shared" ca="1" si="43"/>
        <v>#N/A</v>
      </c>
      <c r="V77" s="406" t="e">
        <f t="shared" ca="1" si="43"/>
        <v>#N/A</v>
      </c>
      <c r="W77" s="406" t="e">
        <f t="shared" ca="1" si="43"/>
        <v>#N/A</v>
      </c>
      <c r="X77" s="406" t="e">
        <f t="shared" ca="1" si="44"/>
        <v>#N/A</v>
      </c>
      <c r="Y77" s="406" t="e">
        <f t="shared" ca="1" si="44"/>
        <v>#N/A</v>
      </c>
      <c r="Z77" s="406" t="e">
        <f t="shared" ca="1" si="44"/>
        <v>#N/A</v>
      </c>
      <c r="AA77" s="406" t="e">
        <f t="shared" ca="1" si="44"/>
        <v>#N/A</v>
      </c>
      <c r="AB77" s="406" t="e">
        <f t="shared" ca="1" si="44"/>
        <v>#N/A</v>
      </c>
      <c r="AC77" s="406" t="e">
        <f t="shared" ca="1" si="44"/>
        <v>#N/A</v>
      </c>
      <c r="AD77" s="406" t="e">
        <f t="shared" ca="1" si="44"/>
        <v>#N/A</v>
      </c>
      <c r="AE77" s="406" t="e">
        <f t="shared" ca="1" si="44"/>
        <v>#N/A</v>
      </c>
      <c r="AF77" s="406" t="e">
        <f t="shared" ca="1" si="44"/>
        <v>#N/A</v>
      </c>
      <c r="AG77" s="406" t="e">
        <f t="shared" ca="1" si="44"/>
        <v>#N/A</v>
      </c>
      <c r="AH77" s="406" t="e">
        <f t="shared" ca="1" si="45"/>
        <v>#N/A</v>
      </c>
      <c r="AI77" s="406" t="e">
        <f t="shared" ca="1" si="45"/>
        <v>#N/A</v>
      </c>
      <c r="AJ77" s="406" t="e">
        <f t="shared" ca="1" si="45"/>
        <v>#N/A</v>
      </c>
      <c r="AK77" s="406" t="e">
        <f t="shared" ca="1" si="45"/>
        <v>#N/A</v>
      </c>
      <c r="AL77" s="406" t="e">
        <f t="shared" ca="1" si="45"/>
        <v>#N/A</v>
      </c>
      <c r="AM77" s="406" t="e">
        <f t="shared" ca="1" si="45"/>
        <v>#N/A</v>
      </c>
      <c r="AN77" s="406" t="e">
        <f t="shared" ca="1" si="45"/>
        <v>#N/A</v>
      </c>
      <c r="AO77" s="406" t="e">
        <f t="shared" ca="1" si="45"/>
        <v>#N/A</v>
      </c>
      <c r="AP77" s="406" t="e">
        <f t="shared" ca="1" si="45"/>
        <v>#N/A</v>
      </c>
      <c r="AQ77" s="406" t="e">
        <f t="shared" ca="1" si="45"/>
        <v>#N/A</v>
      </c>
      <c r="AR77" s="406" t="e">
        <f t="shared" ca="1" si="46"/>
        <v>#N/A</v>
      </c>
      <c r="AS77" s="406" t="e">
        <f t="shared" ca="1" si="46"/>
        <v>#N/A</v>
      </c>
      <c r="AT77" s="406" t="e">
        <f t="shared" ca="1" si="46"/>
        <v>#N/A</v>
      </c>
      <c r="AU77" s="406" t="e">
        <f t="shared" ca="1" si="46"/>
        <v>#N/A</v>
      </c>
      <c r="AV77" s="406" t="e">
        <f t="shared" ca="1" si="46"/>
        <v>#N/A</v>
      </c>
      <c r="AW77" s="406" t="e">
        <f t="shared" ca="1" si="46"/>
        <v>#N/A</v>
      </c>
      <c r="AX77" s="406" t="e">
        <f t="shared" ca="1" si="46"/>
        <v>#N/A</v>
      </c>
      <c r="AY77" s="406" t="e">
        <f t="shared" ca="1" si="46"/>
        <v>#N/A</v>
      </c>
      <c r="AZ77" s="406" t="e">
        <f t="shared" ca="1" si="46"/>
        <v>#N/A</v>
      </c>
      <c r="BA77" s="406" t="e">
        <f t="shared" ca="1" si="46"/>
        <v>#N/A</v>
      </c>
      <c r="BB77" s="406" t="s">
        <v>1148</v>
      </c>
      <c r="BC77" s="407" t="str">
        <f t="shared" ca="1" si="40"/>
        <v/>
      </c>
      <c r="BD77" s="410"/>
      <c r="BE77" s="410"/>
    </row>
    <row r="78" spans="3:57" x14ac:dyDescent="0.25">
      <c r="C78" s="406">
        <f t="shared" si="41"/>
        <v>76</v>
      </c>
      <c r="D78" s="406" t="e">
        <f t="shared" ca="1" si="42"/>
        <v>#N/A</v>
      </c>
      <c r="E78" s="406" t="e">
        <f t="shared" ca="1" si="42"/>
        <v>#N/A</v>
      </c>
      <c r="F78" s="406" t="e">
        <f t="shared" ca="1" si="42"/>
        <v>#N/A</v>
      </c>
      <c r="G78" s="406" t="e">
        <f t="shared" ca="1" si="42"/>
        <v>#N/A</v>
      </c>
      <c r="H78" s="406" t="e">
        <f t="shared" ca="1" si="42"/>
        <v>#N/A</v>
      </c>
      <c r="I78" s="406" t="e">
        <f t="shared" ca="1" si="42"/>
        <v>#N/A</v>
      </c>
      <c r="J78" s="406" t="e">
        <f t="shared" ca="1" si="42"/>
        <v>#N/A</v>
      </c>
      <c r="K78" s="406" t="e">
        <f t="shared" ca="1" si="42"/>
        <v>#N/A</v>
      </c>
      <c r="L78" s="406" t="e">
        <f t="shared" ca="1" si="42"/>
        <v>#N/A</v>
      </c>
      <c r="M78" s="406" t="e">
        <f t="shared" ca="1" si="42"/>
        <v>#N/A</v>
      </c>
      <c r="N78" s="406" t="e">
        <f t="shared" ca="1" si="43"/>
        <v>#N/A</v>
      </c>
      <c r="O78" s="406" t="e">
        <f t="shared" ca="1" si="43"/>
        <v>#N/A</v>
      </c>
      <c r="P78" s="406" t="e">
        <f t="shared" ca="1" si="43"/>
        <v>#N/A</v>
      </c>
      <c r="Q78" s="406" t="e">
        <f t="shared" ca="1" si="43"/>
        <v>#N/A</v>
      </c>
      <c r="R78" s="406" t="e">
        <f t="shared" ca="1" si="43"/>
        <v>#N/A</v>
      </c>
      <c r="S78" s="406" t="e">
        <f t="shared" ca="1" si="43"/>
        <v>#N/A</v>
      </c>
      <c r="T78" s="406" t="e">
        <f t="shared" ca="1" si="43"/>
        <v>#N/A</v>
      </c>
      <c r="U78" s="406" t="e">
        <f t="shared" ca="1" si="43"/>
        <v>#N/A</v>
      </c>
      <c r="V78" s="406" t="e">
        <f t="shared" ca="1" si="43"/>
        <v>#N/A</v>
      </c>
      <c r="W78" s="406" t="e">
        <f t="shared" ca="1" si="43"/>
        <v>#N/A</v>
      </c>
      <c r="X78" s="406" t="e">
        <f t="shared" ca="1" si="44"/>
        <v>#N/A</v>
      </c>
      <c r="Y78" s="406" t="e">
        <f t="shared" ca="1" si="44"/>
        <v>#N/A</v>
      </c>
      <c r="Z78" s="406" t="e">
        <f t="shared" ca="1" si="44"/>
        <v>#N/A</v>
      </c>
      <c r="AA78" s="406" t="e">
        <f t="shared" ca="1" si="44"/>
        <v>#N/A</v>
      </c>
      <c r="AB78" s="406" t="e">
        <f t="shared" ca="1" si="44"/>
        <v>#N/A</v>
      </c>
      <c r="AC78" s="406" t="e">
        <f t="shared" ca="1" si="44"/>
        <v>#N/A</v>
      </c>
      <c r="AD78" s="406" t="e">
        <f t="shared" ca="1" si="44"/>
        <v>#N/A</v>
      </c>
      <c r="AE78" s="406" t="e">
        <f t="shared" ca="1" si="44"/>
        <v>#N/A</v>
      </c>
      <c r="AF78" s="406" t="e">
        <f t="shared" ca="1" si="44"/>
        <v>#N/A</v>
      </c>
      <c r="AG78" s="406" t="e">
        <f t="shared" ca="1" si="44"/>
        <v>#N/A</v>
      </c>
      <c r="AH78" s="406" t="e">
        <f t="shared" ca="1" si="45"/>
        <v>#N/A</v>
      </c>
      <c r="AI78" s="406" t="e">
        <f t="shared" ca="1" si="45"/>
        <v>#N/A</v>
      </c>
      <c r="AJ78" s="406" t="e">
        <f t="shared" ca="1" si="45"/>
        <v>#N/A</v>
      </c>
      <c r="AK78" s="406" t="e">
        <f t="shared" ca="1" si="45"/>
        <v>#N/A</v>
      </c>
      <c r="AL78" s="406" t="e">
        <f t="shared" ca="1" si="45"/>
        <v>#N/A</v>
      </c>
      <c r="AM78" s="406" t="e">
        <f t="shared" ca="1" si="45"/>
        <v>#N/A</v>
      </c>
      <c r="AN78" s="406" t="e">
        <f t="shared" ca="1" si="45"/>
        <v>#N/A</v>
      </c>
      <c r="AO78" s="406" t="e">
        <f t="shared" ca="1" si="45"/>
        <v>#N/A</v>
      </c>
      <c r="AP78" s="406" t="e">
        <f t="shared" ca="1" si="45"/>
        <v>#N/A</v>
      </c>
      <c r="AQ78" s="406" t="e">
        <f t="shared" ca="1" si="45"/>
        <v>#N/A</v>
      </c>
      <c r="AR78" s="406" t="e">
        <f t="shared" ca="1" si="46"/>
        <v>#N/A</v>
      </c>
      <c r="AS78" s="406" t="e">
        <f t="shared" ca="1" si="46"/>
        <v>#N/A</v>
      </c>
      <c r="AT78" s="406" t="e">
        <f t="shared" ca="1" si="46"/>
        <v>#N/A</v>
      </c>
      <c r="AU78" s="406" t="e">
        <f t="shared" ca="1" si="46"/>
        <v>#N/A</v>
      </c>
      <c r="AV78" s="406" t="e">
        <f t="shared" ca="1" si="46"/>
        <v>#N/A</v>
      </c>
      <c r="AW78" s="406" t="e">
        <f t="shared" ca="1" si="46"/>
        <v>#N/A</v>
      </c>
      <c r="AX78" s="406" t="e">
        <f t="shared" ca="1" si="46"/>
        <v>#N/A</v>
      </c>
      <c r="AY78" s="406" t="e">
        <f t="shared" ca="1" si="46"/>
        <v>#N/A</v>
      </c>
      <c r="AZ78" s="406" t="e">
        <f t="shared" ca="1" si="46"/>
        <v>#N/A</v>
      </c>
      <c r="BA78" s="406" t="e">
        <f t="shared" ca="1" si="46"/>
        <v>#N/A</v>
      </c>
      <c r="BB78" s="406" t="s">
        <v>1149</v>
      </c>
      <c r="BC78" s="407" t="str">
        <f t="shared" ca="1" si="40"/>
        <v/>
      </c>
      <c r="BD78" s="410"/>
      <c r="BE78" s="410"/>
    </row>
    <row r="79" spans="3:57" x14ac:dyDescent="0.25">
      <c r="C79" s="406">
        <f t="shared" si="41"/>
        <v>77</v>
      </c>
      <c r="D79" s="406" t="e">
        <f t="shared" ca="1" si="42"/>
        <v>#N/A</v>
      </c>
      <c r="E79" s="406" t="e">
        <f t="shared" ca="1" si="42"/>
        <v>#N/A</v>
      </c>
      <c r="F79" s="406" t="e">
        <f t="shared" ca="1" si="42"/>
        <v>#N/A</v>
      </c>
      <c r="G79" s="406" t="e">
        <f t="shared" ca="1" si="42"/>
        <v>#N/A</v>
      </c>
      <c r="H79" s="406" t="e">
        <f t="shared" ca="1" si="42"/>
        <v>#N/A</v>
      </c>
      <c r="I79" s="406" t="e">
        <f t="shared" ca="1" si="42"/>
        <v>#N/A</v>
      </c>
      <c r="J79" s="406" t="e">
        <f t="shared" ca="1" si="42"/>
        <v>#N/A</v>
      </c>
      <c r="K79" s="406" t="e">
        <f t="shared" ca="1" si="42"/>
        <v>#N/A</v>
      </c>
      <c r="L79" s="406" t="e">
        <f t="shared" ca="1" si="42"/>
        <v>#N/A</v>
      </c>
      <c r="M79" s="406" t="e">
        <f t="shared" ca="1" si="42"/>
        <v>#N/A</v>
      </c>
      <c r="N79" s="406" t="e">
        <f t="shared" ca="1" si="43"/>
        <v>#N/A</v>
      </c>
      <c r="O79" s="406" t="e">
        <f t="shared" ca="1" si="43"/>
        <v>#N/A</v>
      </c>
      <c r="P79" s="406" t="e">
        <f t="shared" ca="1" si="43"/>
        <v>#N/A</v>
      </c>
      <c r="Q79" s="406" t="e">
        <f t="shared" ca="1" si="43"/>
        <v>#N/A</v>
      </c>
      <c r="R79" s="406" t="e">
        <f t="shared" ca="1" si="43"/>
        <v>#N/A</v>
      </c>
      <c r="S79" s="406" t="e">
        <f t="shared" ca="1" si="43"/>
        <v>#N/A</v>
      </c>
      <c r="T79" s="406" t="e">
        <f t="shared" ca="1" si="43"/>
        <v>#N/A</v>
      </c>
      <c r="U79" s="406" t="e">
        <f t="shared" ca="1" si="43"/>
        <v>#N/A</v>
      </c>
      <c r="V79" s="406" t="e">
        <f t="shared" ca="1" si="43"/>
        <v>#N/A</v>
      </c>
      <c r="W79" s="406" t="e">
        <f t="shared" ca="1" si="43"/>
        <v>#N/A</v>
      </c>
      <c r="X79" s="406" t="e">
        <f t="shared" ca="1" si="44"/>
        <v>#N/A</v>
      </c>
      <c r="Y79" s="406" t="e">
        <f t="shared" ca="1" si="44"/>
        <v>#N/A</v>
      </c>
      <c r="Z79" s="406" t="e">
        <f t="shared" ca="1" si="44"/>
        <v>#N/A</v>
      </c>
      <c r="AA79" s="406" t="e">
        <f t="shared" ca="1" si="44"/>
        <v>#N/A</v>
      </c>
      <c r="AB79" s="406" t="e">
        <f t="shared" ca="1" si="44"/>
        <v>#N/A</v>
      </c>
      <c r="AC79" s="406" t="e">
        <f t="shared" ca="1" si="44"/>
        <v>#N/A</v>
      </c>
      <c r="AD79" s="406" t="e">
        <f t="shared" ca="1" si="44"/>
        <v>#N/A</v>
      </c>
      <c r="AE79" s="406" t="e">
        <f t="shared" ca="1" si="44"/>
        <v>#N/A</v>
      </c>
      <c r="AF79" s="406" t="e">
        <f t="shared" ca="1" si="44"/>
        <v>#N/A</v>
      </c>
      <c r="AG79" s="406" t="e">
        <f t="shared" ca="1" si="44"/>
        <v>#N/A</v>
      </c>
      <c r="AH79" s="406" t="e">
        <f t="shared" ca="1" si="45"/>
        <v>#N/A</v>
      </c>
      <c r="AI79" s="406" t="e">
        <f t="shared" ca="1" si="45"/>
        <v>#N/A</v>
      </c>
      <c r="AJ79" s="406" t="e">
        <f t="shared" ca="1" si="45"/>
        <v>#N/A</v>
      </c>
      <c r="AK79" s="406" t="e">
        <f t="shared" ca="1" si="45"/>
        <v>#N/A</v>
      </c>
      <c r="AL79" s="406" t="e">
        <f t="shared" ca="1" si="45"/>
        <v>#N/A</v>
      </c>
      <c r="AM79" s="406" t="e">
        <f t="shared" ca="1" si="45"/>
        <v>#N/A</v>
      </c>
      <c r="AN79" s="406" t="e">
        <f t="shared" ca="1" si="45"/>
        <v>#N/A</v>
      </c>
      <c r="AO79" s="406" t="e">
        <f t="shared" ca="1" si="45"/>
        <v>#N/A</v>
      </c>
      <c r="AP79" s="406" t="e">
        <f t="shared" ca="1" si="45"/>
        <v>#N/A</v>
      </c>
      <c r="AQ79" s="406" t="e">
        <f t="shared" ca="1" si="45"/>
        <v>#N/A</v>
      </c>
      <c r="AR79" s="406" t="e">
        <f t="shared" ca="1" si="46"/>
        <v>#N/A</v>
      </c>
      <c r="AS79" s="406" t="e">
        <f t="shared" ca="1" si="46"/>
        <v>#N/A</v>
      </c>
      <c r="AT79" s="406" t="e">
        <f t="shared" ca="1" si="46"/>
        <v>#N/A</v>
      </c>
      <c r="AU79" s="406" t="e">
        <f t="shared" ca="1" si="46"/>
        <v>#N/A</v>
      </c>
      <c r="AV79" s="406" t="e">
        <f t="shared" ca="1" si="46"/>
        <v>#N/A</v>
      </c>
      <c r="AW79" s="406" t="e">
        <f t="shared" ca="1" si="46"/>
        <v>#N/A</v>
      </c>
      <c r="AX79" s="406" t="e">
        <f t="shared" ca="1" si="46"/>
        <v>#N/A</v>
      </c>
      <c r="AY79" s="406" t="e">
        <f t="shared" ca="1" si="46"/>
        <v>#N/A</v>
      </c>
      <c r="AZ79" s="406" t="e">
        <f t="shared" ca="1" si="46"/>
        <v>#N/A</v>
      </c>
      <c r="BA79" s="406" t="e">
        <f t="shared" ca="1" si="46"/>
        <v>#N/A</v>
      </c>
      <c r="BB79" s="406" t="s">
        <v>1150</v>
      </c>
      <c r="BC79" s="407" t="str">
        <f t="shared" ca="1" si="40"/>
        <v/>
      </c>
      <c r="BD79" s="410"/>
      <c r="BE79" s="410"/>
    </row>
    <row r="80" spans="3:57" x14ac:dyDescent="0.25">
      <c r="C80" s="406">
        <f t="shared" si="41"/>
        <v>78</v>
      </c>
      <c r="D80" s="406" t="e">
        <f t="shared" ca="1" si="42"/>
        <v>#N/A</v>
      </c>
      <c r="E80" s="406" t="e">
        <f t="shared" ca="1" si="42"/>
        <v>#N/A</v>
      </c>
      <c r="F80" s="406" t="e">
        <f t="shared" ca="1" si="42"/>
        <v>#N/A</v>
      </c>
      <c r="G80" s="406" t="e">
        <f t="shared" ca="1" si="42"/>
        <v>#N/A</v>
      </c>
      <c r="H80" s="406" t="e">
        <f t="shared" ca="1" si="42"/>
        <v>#N/A</v>
      </c>
      <c r="I80" s="406" t="e">
        <f t="shared" ca="1" si="42"/>
        <v>#N/A</v>
      </c>
      <c r="J80" s="406" t="e">
        <f t="shared" ca="1" si="42"/>
        <v>#N/A</v>
      </c>
      <c r="K80" s="406" t="e">
        <f t="shared" ca="1" si="42"/>
        <v>#N/A</v>
      </c>
      <c r="L80" s="406" t="e">
        <f t="shared" ca="1" si="42"/>
        <v>#N/A</v>
      </c>
      <c r="M80" s="406" t="e">
        <f t="shared" ca="1" si="42"/>
        <v>#N/A</v>
      </c>
      <c r="N80" s="406" t="e">
        <f t="shared" ca="1" si="43"/>
        <v>#N/A</v>
      </c>
      <c r="O80" s="406" t="e">
        <f t="shared" ca="1" si="43"/>
        <v>#N/A</v>
      </c>
      <c r="P80" s="406" t="e">
        <f t="shared" ca="1" si="43"/>
        <v>#N/A</v>
      </c>
      <c r="Q80" s="406" t="e">
        <f t="shared" ca="1" si="43"/>
        <v>#N/A</v>
      </c>
      <c r="R80" s="406" t="e">
        <f t="shared" ca="1" si="43"/>
        <v>#N/A</v>
      </c>
      <c r="S80" s="406" t="e">
        <f t="shared" ca="1" si="43"/>
        <v>#N/A</v>
      </c>
      <c r="T80" s="406" t="e">
        <f t="shared" ca="1" si="43"/>
        <v>#N/A</v>
      </c>
      <c r="U80" s="406" t="e">
        <f t="shared" ca="1" si="43"/>
        <v>#N/A</v>
      </c>
      <c r="V80" s="406" t="e">
        <f t="shared" ca="1" si="43"/>
        <v>#N/A</v>
      </c>
      <c r="W80" s="406" t="e">
        <f t="shared" ca="1" si="43"/>
        <v>#N/A</v>
      </c>
      <c r="X80" s="406" t="e">
        <f t="shared" ca="1" si="44"/>
        <v>#N/A</v>
      </c>
      <c r="Y80" s="406" t="e">
        <f t="shared" ca="1" si="44"/>
        <v>#N/A</v>
      </c>
      <c r="Z80" s="406" t="e">
        <f t="shared" ca="1" si="44"/>
        <v>#N/A</v>
      </c>
      <c r="AA80" s="406" t="e">
        <f t="shared" ca="1" si="44"/>
        <v>#N/A</v>
      </c>
      <c r="AB80" s="406" t="e">
        <f t="shared" ca="1" si="44"/>
        <v>#N/A</v>
      </c>
      <c r="AC80" s="406" t="e">
        <f t="shared" ca="1" si="44"/>
        <v>#N/A</v>
      </c>
      <c r="AD80" s="406" t="e">
        <f t="shared" ca="1" si="44"/>
        <v>#N/A</v>
      </c>
      <c r="AE80" s="406" t="e">
        <f t="shared" ca="1" si="44"/>
        <v>#N/A</v>
      </c>
      <c r="AF80" s="406" t="e">
        <f t="shared" ca="1" si="44"/>
        <v>#N/A</v>
      </c>
      <c r="AG80" s="406" t="e">
        <f t="shared" ca="1" si="44"/>
        <v>#N/A</v>
      </c>
      <c r="AH80" s="406" t="e">
        <f t="shared" ca="1" si="45"/>
        <v>#N/A</v>
      </c>
      <c r="AI80" s="406" t="e">
        <f t="shared" ca="1" si="45"/>
        <v>#N/A</v>
      </c>
      <c r="AJ80" s="406" t="e">
        <f t="shared" ca="1" si="45"/>
        <v>#N/A</v>
      </c>
      <c r="AK80" s="406" t="e">
        <f t="shared" ca="1" si="45"/>
        <v>#N/A</v>
      </c>
      <c r="AL80" s="406" t="e">
        <f t="shared" ca="1" si="45"/>
        <v>#N/A</v>
      </c>
      <c r="AM80" s="406" t="e">
        <f t="shared" ca="1" si="45"/>
        <v>#N/A</v>
      </c>
      <c r="AN80" s="406" t="e">
        <f t="shared" ca="1" si="45"/>
        <v>#N/A</v>
      </c>
      <c r="AO80" s="406" t="e">
        <f t="shared" ca="1" si="45"/>
        <v>#N/A</v>
      </c>
      <c r="AP80" s="406" t="e">
        <f t="shared" ca="1" si="45"/>
        <v>#N/A</v>
      </c>
      <c r="AQ80" s="406" t="e">
        <f t="shared" ca="1" si="45"/>
        <v>#N/A</v>
      </c>
      <c r="AR80" s="406" t="e">
        <f t="shared" ca="1" si="46"/>
        <v>#N/A</v>
      </c>
      <c r="AS80" s="406" t="e">
        <f t="shared" ca="1" si="46"/>
        <v>#N/A</v>
      </c>
      <c r="AT80" s="406" t="e">
        <f t="shared" ca="1" si="46"/>
        <v>#N/A</v>
      </c>
      <c r="AU80" s="406" t="e">
        <f t="shared" ca="1" si="46"/>
        <v>#N/A</v>
      </c>
      <c r="AV80" s="406" t="e">
        <f t="shared" ca="1" si="46"/>
        <v>#N/A</v>
      </c>
      <c r="AW80" s="406" t="e">
        <f t="shared" ca="1" si="46"/>
        <v>#N/A</v>
      </c>
      <c r="AX80" s="406" t="e">
        <f t="shared" ca="1" si="46"/>
        <v>#N/A</v>
      </c>
      <c r="AY80" s="406" t="e">
        <f t="shared" ca="1" si="46"/>
        <v>#N/A</v>
      </c>
      <c r="AZ80" s="406" t="e">
        <f t="shared" ca="1" si="46"/>
        <v>#N/A</v>
      </c>
      <c r="BA80" s="406" t="e">
        <f t="shared" ca="1" si="46"/>
        <v>#N/A</v>
      </c>
      <c r="BB80" s="406" t="s">
        <v>1151</v>
      </c>
      <c r="BC80" s="407" t="str">
        <f t="shared" ca="1" si="40"/>
        <v/>
      </c>
      <c r="BD80" s="410"/>
      <c r="BE80" s="410"/>
    </row>
    <row r="81" spans="3:57" x14ac:dyDescent="0.25">
      <c r="C81" s="406">
        <f t="shared" si="41"/>
        <v>79</v>
      </c>
      <c r="D81" s="406" t="e">
        <f t="shared" ca="1" si="42"/>
        <v>#N/A</v>
      </c>
      <c r="E81" s="406" t="e">
        <f t="shared" ca="1" si="42"/>
        <v>#N/A</v>
      </c>
      <c r="F81" s="406" t="e">
        <f t="shared" ca="1" si="42"/>
        <v>#N/A</v>
      </c>
      <c r="G81" s="406" t="e">
        <f t="shared" ca="1" si="42"/>
        <v>#N/A</v>
      </c>
      <c r="H81" s="406" t="e">
        <f t="shared" ca="1" si="42"/>
        <v>#N/A</v>
      </c>
      <c r="I81" s="406" t="e">
        <f t="shared" ca="1" si="42"/>
        <v>#N/A</v>
      </c>
      <c r="J81" s="406" t="e">
        <f t="shared" ca="1" si="42"/>
        <v>#N/A</v>
      </c>
      <c r="K81" s="406" t="e">
        <f t="shared" ca="1" si="42"/>
        <v>#N/A</v>
      </c>
      <c r="L81" s="406" t="e">
        <f t="shared" ca="1" si="42"/>
        <v>#N/A</v>
      </c>
      <c r="M81" s="406" t="e">
        <f t="shared" ca="1" si="42"/>
        <v>#N/A</v>
      </c>
      <c r="N81" s="406" t="e">
        <f t="shared" ca="1" si="43"/>
        <v>#N/A</v>
      </c>
      <c r="O81" s="406" t="e">
        <f t="shared" ca="1" si="43"/>
        <v>#N/A</v>
      </c>
      <c r="P81" s="406" t="e">
        <f t="shared" ca="1" si="43"/>
        <v>#N/A</v>
      </c>
      <c r="Q81" s="406" t="e">
        <f t="shared" ca="1" si="43"/>
        <v>#N/A</v>
      </c>
      <c r="R81" s="406" t="e">
        <f t="shared" ca="1" si="43"/>
        <v>#N/A</v>
      </c>
      <c r="S81" s="406" t="e">
        <f t="shared" ca="1" si="43"/>
        <v>#N/A</v>
      </c>
      <c r="T81" s="406" t="e">
        <f t="shared" ca="1" si="43"/>
        <v>#N/A</v>
      </c>
      <c r="U81" s="406" t="e">
        <f t="shared" ca="1" si="43"/>
        <v>#N/A</v>
      </c>
      <c r="V81" s="406" t="e">
        <f t="shared" ca="1" si="43"/>
        <v>#N/A</v>
      </c>
      <c r="W81" s="406" t="e">
        <f t="shared" ca="1" si="43"/>
        <v>#N/A</v>
      </c>
      <c r="X81" s="406" t="e">
        <f t="shared" ca="1" si="44"/>
        <v>#N/A</v>
      </c>
      <c r="Y81" s="406" t="e">
        <f t="shared" ca="1" si="44"/>
        <v>#N/A</v>
      </c>
      <c r="Z81" s="406" t="e">
        <f t="shared" ca="1" si="44"/>
        <v>#N/A</v>
      </c>
      <c r="AA81" s="406" t="e">
        <f t="shared" ca="1" si="44"/>
        <v>#N/A</v>
      </c>
      <c r="AB81" s="406" t="e">
        <f t="shared" ca="1" si="44"/>
        <v>#N/A</v>
      </c>
      <c r="AC81" s="406" t="e">
        <f t="shared" ca="1" si="44"/>
        <v>#N/A</v>
      </c>
      <c r="AD81" s="406" t="e">
        <f t="shared" ca="1" si="44"/>
        <v>#N/A</v>
      </c>
      <c r="AE81" s="406" t="e">
        <f t="shared" ca="1" si="44"/>
        <v>#N/A</v>
      </c>
      <c r="AF81" s="406" t="e">
        <f t="shared" ca="1" si="44"/>
        <v>#N/A</v>
      </c>
      <c r="AG81" s="406" t="e">
        <f t="shared" ca="1" si="44"/>
        <v>#N/A</v>
      </c>
      <c r="AH81" s="406" t="e">
        <f t="shared" ca="1" si="45"/>
        <v>#N/A</v>
      </c>
      <c r="AI81" s="406" t="e">
        <f t="shared" ca="1" si="45"/>
        <v>#N/A</v>
      </c>
      <c r="AJ81" s="406" t="e">
        <f t="shared" ca="1" si="45"/>
        <v>#N/A</v>
      </c>
      <c r="AK81" s="406" t="e">
        <f t="shared" ca="1" si="45"/>
        <v>#N/A</v>
      </c>
      <c r="AL81" s="406" t="e">
        <f t="shared" ca="1" si="45"/>
        <v>#N/A</v>
      </c>
      <c r="AM81" s="406" t="e">
        <f t="shared" ca="1" si="45"/>
        <v>#N/A</v>
      </c>
      <c r="AN81" s="406" t="e">
        <f t="shared" ca="1" si="45"/>
        <v>#N/A</v>
      </c>
      <c r="AO81" s="406" t="e">
        <f t="shared" ca="1" si="45"/>
        <v>#N/A</v>
      </c>
      <c r="AP81" s="406" t="e">
        <f t="shared" ca="1" si="45"/>
        <v>#N/A</v>
      </c>
      <c r="AQ81" s="406" t="e">
        <f t="shared" ca="1" si="45"/>
        <v>#N/A</v>
      </c>
      <c r="AR81" s="406" t="e">
        <f t="shared" ca="1" si="46"/>
        <v>#N/A</v>
      </c>
      <c r="AS81" s="406" t="e">
        <f t="shared" ca="1" si="46"/>
        <v>#N/A</v>
      </c>
      <c r="AT81" s="406" t="e">
        <f t="shared" ca="1" si="46"/>
        <v>#N/A</v>
      </c>
      <c r="AU81" s="406" t="e">
        <f t="shared" ca="1" si="46"/>
        <v>#N/A</v>
      </c>
      <c r="AV81" s="406" t="e">
        <f t="shared" ca="1" si="46"/>
        <v>#N/A</v>
      </c>
      <c r="AW81" s="406" t="e">
        <f t="shared" ca="1" si="46"/>
        <v>#N/A</v>
      </c>
      <c r="AX81" s="406" t="e">
        <f t="shared" ca="1" si="46"/>
        <v>#N/A</v>
      </c>
      <c r="AY81" s="406" t="e">
        <f t="shared" ca="1" si="46"/>
        <v>#N/A</v>
      </c>
      <c r="AZ81" s="406" t="e">
        <f t="shared" ca="1" si="46"/>
        <v>#N/A</v>
      </c>
      <c r="BA81" s="406" t="e">
        <f t="shared" ca="1" si="46"/>
        <v>#N/A</v>
      </c>
      <c r="BB81" s="406" t="s">
        <v>1152</v>
      </c>
      <c r="BC81" s="407" t="str">
        <f t="shared" ca="1" si="40"/>
        <v/>
      </c>
      <c r="BD81" s="410"/>
      <c r="BE81" s="410"/>
    </row>
    <row r="82" spans="3:57" x14ac:dyDescent="0.25">
      <c r="C82" s="406">
        <f t="shared" si="41"/>
        <v>80</v>
      </c>
      <c r="D82" s="406" t="e">
        <f t="shared" ref="D82:M91" ca="1" si="47">TRIM(INDIRECT("'" &amp; "TNX RTF" &amp; "'!" &amp; ADDRESS($A$3+$C82,D$1)))</f>
        <v>#N/A</v>
      </c>
      <c r="E82" s="406" t="e">
        <f t="shared" ca="1" si="47"/>
        <v>#N/A</v>
      </c>
      <c r="F82" s="406" t="e">
        <f t="shared" ca="1" si="47"/>
        <v>#N/A</v>
      </c>
      <c r="G82" s="406" t="e">
        <f t="shared" ca="1" si="47"/>
        <v>#N/A</v>
      </c>
      <c r="H82" s="406" t="e">
        <f t="shared" ca="1" si="47"/>
        <v>#N/A</v>
      </c>
      <c r="I82" s="406" t="e">
        <f t="shared" ca="1" si="47"/>
        <v>#N/A</v>
      </c>
      <c r="J82" s="406" t="e">
        <f t="shared" ca="1" si="47"/>
        <v>#N/A</v>
      </c>
      <c r="K82" s="406" t="e">
        <f t="shared" ca="1" si="47"/>
        <v>#N/A</v>
      </c>
      <c r="L82" s="406" t="e">
        <f t="shared" ca="1" si="47"/>
        <v>#N/A</v>
      </c>
      <c r="M82" s="406" t="e">
        <f t="shared" ca="1" si="47"/>
        <v>#N/A</v>
      </c>
      <c r="N82" s="406" t="e">
        <f t="shared" ref="N82:W91" ca="1" si="48">TRIM(INDIRECT("'" &amp; "TNX RTF" &amp; "'!" &amp; ADDRESS($A$3+$C82,N$1)))</f>
        <v>#N/A</v>
      </c>
      <c r="O82" s="406" t="e">
        <f t="shared" ca="1" si="48"/>
        <v>#N/A</v>
      </c>
      <c r="P82" s="406" t="e">
        <f t="shared" ca="1" si="48"/>
        <v>#N/A</v>
      </c>
      <c r="Q82" s="406" t="e">
        <f t="shared" ca="1" si="48"/>
        <v>#N/A</v>
      </c>
      <c r="R82" s="406" t="e">
        <f t="shared" ca="1" si="48"/>
        <v>#N/A</v>
      </c>
      <c r="S82" s="406" t="e">
        <f t="shared" ca="1" si="48"/>
        <v>#N/A</v>
      </c>
      <c r="T82" s="406" t="e">
        <f t="shared" ca="1" si="48"/>
        <v>#N/A</v>
      </c>
      <c r="U82" s="406" t="e">
        <f t="shared" ca="1" si="48"/>
        <v>#N/A</v>
      </c>
      <c r="V82" s="406" t="e">
        <f t="shared" ca="1" si="48"/>
        <v>#N/A</v>
      </c>
      <c r="W82" s="406" t="e">
        <f t="shared" ca="1" si="48"/>
        <v>#N/A</v>
      </c>
      <c r="X82" s="406" t="e">
        <f t="shared" ref="X82:AG91" ca="1" si="49">TRIM(INDIRECT("'" &amp; "TNX RTF" &amp; "'!" &amp; ADDRESS($A$3+$C82,X$1)))</f>
        <v>#N/A</v>
      </c>
      <c r="Y82" s="406" t="e">
        <f t="shared" ca="1" si="49"/>
        <v>#N/A</v>
      </c>
      <c r="Z82" s="406" t="e">
        <f t="shared" ca="1" si="49"/>
        <v>#N/A</v>
      </c>
      <c r="AA82" s="406" t="e">
        <f t="shared" ca="1" si="49"/>
        <v>#N/A</v>
      </c>
      <c r="AB82" s="406" t="e">
        <f t="shared" ca="1" si="49"/>
        <v>#N/A</v>
      </c>
      <c r="AC82" s="406" t="e">
        <f t="shared" ca="1" si="49"/>
        <v>#N/A</v>
      </c>
      <c r="AD82" s="406" t="e">
        <f t="shared" ca="1" si="49"/>
        <v>#N/A</v>
      </c>
      <c r="AE82" s="406" t="e">
        <f t="shared" ca="1" si="49"/>
        <v>#N/A</v>
      </c>
      <c r="AF82" s="406" t="e">
        <f t="shared" ca="1" si="49"/>
        <v>#N/A</v>
      </c>
      <c r="AG82" s="406" t="e">
        <f t="shared" ca="1" si="49"/>
        <v>#N/A</v>
      </c>
      <c r="AH82" s="406" t="e">
        <f t="shared" ref="AH82:AQ91" ca="1" si="50">TRIM(INDIRECT("'" &amp; "TNX RTF" &amp; "'!" &amp; ADDRESS($A$3+$C82,AH$1)))</f>
        <v>#N/A</v>
      </c>
      <c r="AI82" s="406" t="e">
        <f t="shared" ca="1" si="50"/>
        <v>#N/A</v>
      </c>
      <c r="AJ82" s="406" t="e">
        <f t="shared" ca="1" si="50"/>
        <v>#N/A</v>
      </c>
      <c r="AK82" s="406" t="e">
        <f t="shared" ca="1" si="50"/>
        <v>#N/A</v>
      </c>
      <c r="AL82" s="406" t="e">
        <f t="shared" ca="1" si="50"/>
        <v>#N/A</v>
      </c>
      <c r="AM82" s="406" t="e">
        <f t="shared" ca="1" si="50"/>
        <v>#N/A</v>
      </c>
      <c r="AN82" s="406" t="e">
        <f t="shared" ca="1" si="50"/>
        <v>#N/A</v>
      </c>
      <c r="AO82" s="406" t="e">
        <f t="shared" ca="1" si="50"/>
        <v>#N/A</v>
      </c>
      <c r="AP82" s="406" t="e">
        <f t="shared" ca="1" si="50"/>
        <v>#N/A</v>
      </c>
      <c r="AQ82" s="406" t="e">
        <f t="shared" ca="1" si="50"/>
        <v>#N/A</v>
      </c>
      <c r="AR82" s="406" t="e">
        <f t="shared" ref="AR82:BA91" ca="1" si="51">TRIM(INDIRECT("'" &amp; "TNX RTF" &amp; "'!" &amp; ADDRESS($A$3+$C82,AR$1)))</f>
        <v>#N/A</v>
      </c>
      <c r="AS82" s="406" t="e">
        <f t="shared" ca="1" si="51"/>
        <v>#N/A</v>
      </c>
      <c r="AT82" s="406" t="e">
        <f t="shared" ca="1" si="51"/>
        <v>#N/A</v>
      </c>
      <c r="AU82" s="406" t="e">
        <f t="shared" ca="1" si="51"/>
        <v>#N/A</v>
      </c>
      <c r="AV82" s="406" t="e">
        <f t="shared" ca="1" si="51"/>
        <v>#N/A</v>
      </c>
      <c r="AW82" s="406" t="e">
        <f t="shared" ca="1" si="51"/>
        <v>#N/A</v>
      </c>
      <c r="AX82" s="406" t="e">
        <f t="shared" ca="1" si="51"/>
        <v>#N/A</v>
      </c>
      <c r="AY82" s="406" t="e">
        <f t="shared" ca="1" si="51"/>
        <v>#N/A</v>
      </c>
      <c r="AZ82" s="406" t="e">
        <f t="shared" ca="1" si="51"/>
        <v>#N/A</v>
      </c>
      <c r="BA82" s="406" t="e">
        <f t="shared" ca="1" si="51"/>
        <v>#N/A</v>
      </c>
      <c r="BB82" s="406" t="s">
        <v>1153</v>
      </c>
      <c r="BC82" s="407" t="str">
        <f t="shared" ca="1" si="40"/>
        <v/>
      </c>
      <c r="BD82" s="410"/>
      <c r="BE82" s="410"/>
    </row>
    <row r="83" spans="3:57" x14ac:dyDescent="0.25">
      <c r="C83" s="406">
        <f t="shared" si="41"/>
        <v>81</v>
      </c>
      <c r="D83" s="406" t="e">
        <f t="shared" ca="1" si="47"/>
        <v>#N/A</v>
      </c>
      <c r="E83" s="406" t="e">
        <f t="shared" ca="1" si="47"/>
        <v>#N/A</v>
      </c>
      <c r="F83" s="406" t="e">
        <f t="shared" ca="1" si="47"/>
        <v>#N/A</v>
      </c>
      <c r="G83" s="406" t="e">
        <f t="shared" ca="1" si="47"/>
        <v>#N/A</v>
      </c>
      <c r="H83" s="406" t="e">
        <f t="shared" ca="1" si="47"/>
        <v>#N/A</v>
      </c>
      <c r="I83" s="406" t="e">
        <f t="shared" ca="1" si="47"/>
        <v>#N/A</v>
      </c>
      <c r="J83" s="406" t="e">
        <f t="shared" ca="1" si="47"/>
        <v>#N/A</v>
      </c>
      <c r="K83" s="406" t="e">
        <f t="shared" ca="1" si="47"/>
        <v>#N/A</v>
      </c>
      <c r="L83" s="406" t="e">
        <f t="shared" ca="1" si="47"/>
        <v>#N/A</v>
      </c>
      <c r="M83" s="406" t="e">
        <f t="shared" ca="1" si="47"/>
        <v>#N/A</v>
      </c>
      <c r="N83" s="406" t="e">
        <f t="shared" ca="1" si="48"/>
        <v>#N/A</v>
      </c>
      <c r="O83" s="406" t="e">
        <f t="shared" ca="1" si="48"/>
        <v>#N/A</v>
      </c>
      <c r="P83" s="406" t="e">
        <f t="shared" ca="1" si="48"/>
        <v>#N/A</v>
      </c>
      <c r="Q83" s="406" t="e">
        <f t="shared" ca="1" si="48"/>
        <v>#N/A</v>
      </c>
      <c r="R83" s="406" t="e">
        <f t="shared" ca="1" si="48"/>
        <v>#N/A</v>
      </c>
      <c r="S83" s="406" t="e">
        <f t="shared" ca="1" si="48"/>
        <v>#N/A</v>
      </c>
      <c r="T83" s="406" t="e">
        <f t="shared" ca="1" si="48"/>
        <v>#N/A</v>
      </c>
      <c r="U83" s="406" t="e">
        <f t="shared" ca="1" si="48"/>
        <v>#N/A</v>
      </c>
      <c r="V83" s="406" t="e">
        <f t="shared" ca="1" si="48"/>
        <v>#N/A</v>
      </c>
      <c r="W83" s="406" t="e">
        <f t="shared" ca="1" si="48"/>
        <v>#N/A</v>
      </c>
      <c r="X83" s="406" t="e">
        <f t="shared" ca="1" si="49"/>
        <v>#N/A</v>
      </c>
      <c r="Y83" s="406" t="e">
        <f t="shared" ca="1" si="49"/>
        <v>#N/A</v>
      </c>
      <c r="Z83" s="406" t="e">
        <f t="shared" ca="1" si="49"/>
        <v>#N/A</v>
      </c>
      <c r="AA83" s="406" t="e">
        <f t="shared" ca="1" si="49"/>
        <v>#N/A</v>
      </c>
      <c r="AB83" s="406" t="e">
        <f t="shared" ca="1" si="49"/>
        <v>#N/A</v>
      </c>
      <c r="AC83" s="406" t="e">
        <f t="shared" ca="1" si="49"/>
        <v>#N/A</v>
      </c>
      <c r="AD83" s="406" t="e">
        <f t="shared" ca="1" si="49"/>
        <v>#N/A</v>
      </c>
      <c r="AE83" s="406" t="e">
        <f t="shared" ca="1" si="49"/>
        <v>#N/A</v>
      </c>
      <c r="AF83" s="406" t="e">
        <f t="shared" ca="1" si="49"/>
        <v>#N/A</v>
      </c>
      <c r="AG83" s="406" t="e">
        <f t="shared" ca="1" si="49"/>
        <v>#N/A</v>
      </c>
      <c r="AH83" s="406" t="e">
        <f t="shared" ca="1" si="50"/>
        <v>#N/A</v>
      </c>
      <c r="AI83" s="406" t="e">
        <f t="shared" ca="1" si="50"/>
        <v>#N/A</v>
      </c>
      <c r="AJ83" s="406" t="e">
        <f t="shared" ca="1" si="50"/>
        <v>#N/A</v>
      </c>
      <c r="AK83" s="406" t="e">
        <f t="shared" ca="1" si="50"/>
        <v>#N/A</v>
      </c>
      <c r="AL83" s="406" t="e">
        <f t="shared" ca="1" si="50"/>
        <v>#N/A</v>
      </c>
      <c r="AM83" s="406" t="e">
        <f t="shared" ca="1" si="50"/>
        <v>#N/A</v>
      </c>
      <c r="AN83" s="406" t="e">
        <f t="shared" ca="1" si="50"/>
        <v>#N/A</v>
      </c>
      <c r="AO83" s="406" t="e">
        <f t="shared" ca="1" si="50"/>
        <v>#N/A</v>
      </c>
      <c r="AP83" s="406" t="e">
        <f t="shared" ca="1" si="50"/>
        <v>#N/A</v>
      </c>
      <c r="AQ83" s="406" t="e">
        <f t="shared" ca="1" si="50"/>
        <v>#N/A</v>
      </c>
      <c r="AR83" s="406" t="e">
        <f t="shared" ca="1" si="51"/>
        <v>#N/A</v>
      </c>
      <c r="AS83" s="406" t="e">
        <f t="shared" ca="1" si="51"/>
        <v>#N/A</v>
      </c>
      <c r="AT83" s="406" t="e">
        <f t="shared" ca="1" si="51"/>
        <v>#N/A</v>
      </c>
      <c r="AU83" s="406" t="e">
        <f t="shared" ca="1" si="51"/>
        <v>#N/A</v>
      </c>
      <c r="AV83" s="406" t="e">
        <f t="shared" ca="1" si="51"/>
        <v>#N/A</v>
      </c>
      <c r="AW83" s="406" t="e">
        <f t="shared" ca="1" si="51"/>
        <v>#N/A</v>
      </c>
      <c r="AX83" s="406" t="e">
        <f t="shared" ca="1" si="51"/>
        <v>#N/A</v>
      </c>
      <c r="AY83" s="406" t="e">
        <f t="shared" ca="1" si="51"/>
        <v>#N/A</v>
      </c>
      <c r="AZ83" s="406" t="e">
        <f t="shared" ca="1" si="51"/>
        <v>#N/A</v>
      </c>
      <c r="BA83" s="406" t="e">
        <f t="shared" ca="1" si="51"/>
        <v>#N/A</v>
      </c>
      <c r="BB83" s="406" t="s">
        <v>1154</v>
      </c>
      <c r="BC83" s="407" t="str">
        <f t="shared" ca="1" si="40"/>
        <v/>
      </c>
      <c r="BD83" s="410"/>
      <c r="BE83" s="410"/>
    </row>
    <row r="84" spans="3:57" x14ac:dyDescent="0.25">
      <c r="C84" s="406">
        <f t="shared" si="41"/>
        <v>82</v>
      </c>
      <c r="D84" s="406" t="e">
        <f t="shared" ca="1" si="47"/>
        <v>#N/A</v>
      </c>
      <c r="E84" s="406" t="e">
        <f t="shared" ca="1" si="47"/>
        <v>#N/A</v>
      </c>
      <c r="F84" s="406" t="e">
        <f t="shared" ca="1" si="47"/>
        <v>#N/A</v>
      </c>
      <c r="G84" s="406" t="e">
        <f t="shared" ca="1" si="47"/>
        <v>#N/A</v>
      </c>
      <c r="H84" s="406" t="e">
        <f t="shared" ca="1" si="47"/>
        <v>#N/A</v>
      </c>
      <c r="I84" s="406" t="e">
        <f t="shared" ca="1" si="47"/>
        <v>#N/A</v>
      </c>
      <c r="J84" s="406" t="e">
        <f t="shared" ca="1" si="47"/>
        <v>#N/A</v>
      </c>
      <c r="K84" s="406" t="e">
        <f t="shared" ca="1" si="47"/>
        <v>#N/A</v>
      </c>
      <c r="L84" s="406" t="e">
        <f t="shared" ca="1" si="47"/>
        <v>#N/A</v>
      </c>
      <c r="M84" s="406" t="e">
        <f t="shared" ca="1" si="47"/>
        <v>#N/A</v>
      </c>
      <c r="N84" s="406" t="e">
        <f t="shared" ca="1" si="48"/>
        <v>#N/A</v>
      </c>
      <c r="O84" s="406" t="e">
        <f t="shared" ca="1" si="48"/>
        <v>#N/A</v>
      </c>
      <c r="P84" s="406" t="e">
        <f t="shared" ca="1" si="48"/>
        <v>#N/A</v>
      </c>
      <c r="Q84" s="406" t="e">
        <f t="shared" ca="1" si="48"/>
        <v>#N/A</v>
      </c>
      <c r="R84" s="406" t="e">
        <f t="shared" ca="1" si="48"/>
        <v>#N/A</v>
      </c>
      <c r="S84" s="406" t="e">
        <f t="shared" ca="1" si="48"/>
        <v>#N/A</v>
      </c>
      <c r="T84" s="406" t="e">
        <f t="shared" ca="1" si="48"/>
        <v>#N/A</v>
      </c>
      <c r="U84" s="406" t="e">
        <f t="shared" ca="1" si="48"/>
        <v>#N/A</v>
      </c>
      <c r="V84" s="406" t="e">
        <f t="shared" ca="1" si="48"/>
        <v>#N/A</v>
      </c>
      <c r="W84" s="406" t="e">
        <f t="shared" ca="1" si="48"/>
        <v>#N/A</v>
      </c>
      <c r="X84" s="406" t="e">
        <f t="shared" ca="1" si="49"/>
        <v>#N/A</v>
      </c>
      <c r="Y84" s="406" t="e">
        <f t="shared" ca="1" si="49"/>
        <v>#N/A</v>
      </c>
      <c r="Z84" s="406" t="e">
        <f t="shared" ca="1" si="49"/>
        <v>#N/A</v>
      </c>
      <c r="AA84" s="406" t="e">
        <f t="shared" ca="1" si="49"/>
        <v>#N/A</v>
      </c>
      <c r="AB84" s="406" t="e">
        <f t="shared" ca="1" si="49"/>
        <v>#N/A</v>
      </c>
      <c r="AC84" s="406" t="e">
        <f t="shared" ca="1" si="49"/>
        <v>#N/A</v>
      </c>
      <c r="AD84" s="406" t="e">
        <f t="shared" ca="1" si="49"/>
        <v>#N/A</v>
      </c>
      <c r="AE84" s="406" t="e">
        <f t="shared" ca="1" si="49"/>
        <v>#N/A</v>
      </c>
      <c r="AF84" s="406" t="e">
        <f t="shared" ca="1" si="49"/>
        <v>#N/A</v>
      </c>
      <c r="AG84" s="406" t="e">
        <f t="shared" ca="1" si="49"/>
        <v>#N/A</v>
      </c>
      <c r="AH84" s="406" t="e">
        <f t="shared" ca="1" si="50"/>
        <v>#N/A</v>
      </c>
      <c r="AI84" s="406" t="e">
        <f t="shared" ca="1" si="50"/>
        <v>#N/A</v>
      </c>
      <c r="AJ84" s="406" t="e">
        <f t="shared" ca="1" si="50"/>
        <v>#N/A</v>
      </c>
      <c r="AK84" s="406" t="e">
        <f t="shared" ca="1" si="50"/>
        <v>#N/A</v>
      </c>
      <c r="AL84" s="406" t="e">
        <f t="shared" ca="1" si="50"/>
        <v>#N/A</v>
      </c>
      <c r="AM84" s="406" t="e">
        <f t="shared" ca="1" si="50"/>
        <v>#N/A</v>
      </c>
      <c r="AN84" s="406" t="e">
        <f t="shared" ca="1" si="50"/>
        <v>#N/A</v>
      </c>
      <c r="AO84" s="406" t="e">
        <f t="shared" ca="1" si="50"/>
        <v>#N/A</v>
      </c>
      <c r="AP84" s="406" t="e">
        <f t="shared" ca="1" si="50"/>
        <v>#N/A</v>
      </c>
      <c r="AQ84" s="406" t="e">
        <f t="shared" ca="1" si="50"/>
        <v>#N/A</v>
      </c>
      <c r="AR84" s="406" t="e">
        <f t="shared" ca="1" si="51"/>
        <v>#N/A</v>
      </c>
      <c r="AS84" s="406" t="e">
        <f t="shared" ca="1" si="51"/>
        <v>#N/A</v>
      </c>
      <c r="AT84" s="406" t="e">
        <f t="shared" ca="1" si="51"/>
        <v>#N/A</v>
      </c>
      <c r="AU84" s="406" t="e">
        <f t="shared" ca="1" si="51"/>
        <v>#N/A</v>
      </c>
      <c r="AV84" s="406" t="e">
        <f t="shared" ca="1" si="51"/>
        <v>#N/A</v>
      </c>
      <c r="AW84" s="406" t="e">
        <f t="shared" ca="1" si="51"/>
        <v>#N/A</v>
      </c>
      <c r="AX84" s="406" t="e">
        <f t="shared" ca="1" si="51"/>
        <v>#N/A</v>
      </c>
      <c r="AY84" s="406" t="e">
        <f t="shared" ca="1" si="51"/>
        <v>#N/A</v>
      </c>
      <c r="AZ84" s="406" t="e">
        <f t="shared" ca="1" si="51"/>
        <v>#N/A</v>
      </c>
      <c r="BA84" s="406" t="e">
        <f t="shared" ca="1" si="51"/>
        <v>#N/A</v>
      </c>
      <c r="BB84" s="406" t="s">
        <v>1155</v>
      </c>
      <c r="BC84" s="407" t="str">
        <f t="shared" ca="1" si="40"/>
        <v/>
      </c>
      <c r="BD84" s="410"/>
      <c r="BE84" s="410"/>
    </row>
    <row r="85" spans="3:57" x14ac:dyDescent="0.25">
      <c r="C85" s="406">
        <f t="shared" si="41"/>
        <v>83</v>
      </c>
      <c r="D85" s="406" t="e">
        <f t="shared" ca="1" si="47"/>
        <v>#N/A</v>
      </c>
      <c r="E85" s="406" t="e">
        <f t="shared" ca="1" si="47"/>
        <v>#N/A</v>
      </c>
      <c r="F85" s="406" t="e">
        <f t="shared" ca="1" si="47"/>
        <v>#N/A</v>
      </c>
      <c r="G85" s="406" t="e">
        <f t="shared" ca="1" si="47"/>
        <v>#N/A</v>
      </c>
      <c r="H85" s="406" t="e">
        <f t="shared" ca="1" si="47"/>
        <v>#N/A</v>
      </c>
      <c r="I85" s="406" t="e">
        <f t="shared" ca="1" si="47"/>
        <v>#N/A</v>
      </c>
      <c r="J85" s="406" t="e">
        <f t="shared" ca="1" si="47"/>
        <v>#N/A</v>
      </c>
      <c r="K85" s="406" t="e">
        <f t="shared" ca="1" si="47"/>
        <v>#N/A</v>
      </c>
      <c r="L85" s="406" t="e">
        <f t="shared" ca="1" si="47"/>
        <v>#N/A</v>
      </c>
      <c r="M85" s="406" t="e">
        <f t="shared" ca="1" si="47"/>
        <v>#N/A</v>
      </c>
      <c r="N85" s="406" t="e">
        <f t="shared" ca="1" si="48"/>
        <v>#N/A</v>
      </c>
      <c r="O85" s="406" t="e">
        <f t="shared" ca="1" si="48"/>
        <v>#N/A</v>
      </c>
      <c r="P85" s="406" t="e">
        <f t="shared" ca="1" si="48"/>
        <v>#N/A</v>
      </c>
      <c r="Q85" s="406" t="e">
        <f t="shared" ca="1" si="48"/>
        <v>#N/A</v>
      </c>
      <c r="R85" s="406" t="e">
        <f t="shared" ca="1" si="48"/>
        <v>#N/A</v>
      </c>
      <c r="S85" s="406" t="e">
        <f t="shared" ca="1" si="48"/>
        <v>#N/A</v>
      </c>
      <c r="T85" s="406" t="e">
        <f t="shared" ca="1" si="48"/>
        <v>#N/A</v>
      </c>
      <c r="U85" s="406" t="e">
        <f t="shared" ca="1" si="48"/>
        <v>#N/A</v>
      </c>
      <c r="V85" s="406" t="e">
        <f t="shared" ca="1" si="48"/>
        <v>#N/A</v>
      </c>
      <c r="W85" s="406" t="e">
        <f t="shared" ca="1" si="48"/>
        <v>#N/A</v>
      </c>
      <c r="X85" s="406" t="e">
        <f t="shared" ca="1" si="49"/>
        <v>#N/A</v>
      </c>
      <c r="Y85" s="406" t="e">
        <f t="shared" ca="1" si="49"/>
        <v>#N/A</v>
      </c>
      <c r="Z85" s="406" t="e">
        <f t="shared" ca="1" si="49"/>
        <v>#N/A</v>
      </c>
      <c r="AA85" s="406" t="e">
        <f t="shared" ca="1" si="49"/>
        <v>#N/A</v>
      </c>
      <c r="AB85" s="406" t="e">
        <f t="shared" ca="1" si="49"/>
        <v>#N/A</v>
      </c>
      <c r="AC85" s="406" t="e">
        <f t="shared" ca="1" si="49"/>
        <v>#N/A</v>
      </c>
      <c r="AD85" s="406" t="e">
        <f t="shared" ca="1" si="49"/>
        <v>#N/A</v>
      </c>
      <c r="AE85" s="406" t="e">
        <f t="shared" ca="1" si="49"/>
        <v>#N/A</v>
      </c>
      <c r="AF85" s="406" t="e">
        <f t="shared" ca="1" si="49"/>
        <v>#N/A</v>
      </c>
      <c r="AG85" s="406" t="e">
        <f t="shared" ca="1" si="49"/>
        <v>#N/A</v>
      </c>
      <c r="AH85" s="406" t="e">
        <f t="shared" ca="1" si="50"/>
        <v>#N/A</v>
      </c>
      <c r="AI85" s="406" t="e">
        <f t="shared" ca="1" si="50"/>
        <v>#N/A</v>
      </c>
      <c r="AJ85" s="406" t="e">
        <f t="shared" ca="1" si="50"/>
        <v>#N/A</v>
      </c>
      <c r="AK85" s="406" t="e">
        <f t="shared" ca="1" si="50"/>
        <v>#N/A</v>
      </c>
      <c r="AL85" s="406" t="e">
        <f t="shared" ca="1" si="50"/>
        <v>#N/A</v>
      </c>
      <c r="AM85" s="406" t="e">
        <f t="shared" ca="1" si="50"/>
        <v>#N/A</v>
      </c>
      <c r="AN85" s="406" t="e">
        <f t="shared" ca="1" si="50"/>
        <v>#N/A</v>
      </c>
      <c r="AO85" s="406" t="e">
        <f t="shared" ca="1" si="50"/>
        <v>#N/A</v>
      </c>
      <c r="AP85" s="406" t="e">
        <f t="shared" ca="1" si="50"/>
        <v>#N/A</v>
      </c>
      <c r="AQ85" s="406" t="e">
        <f t="shared" ca="1" si="50"/>
        <v>#N/A</v>
      </c>
      <c r="AR85" s="406" t="e">
        <f t="shared" ca="1" si="51"/>
        <v>#N/A</v>
      </c>
      <c r="AS85" s="406" t="e">
        <f t="shared" ca="1" si="51"/>
        <v>#N/A</v>
      </c>
      <c r="AT85" s="406" t="e">
        <f t="shared" ca="1" si="51"/>
        <v>#N/A</v>
      </c>
      <c r="AU85" s="406" t="e">
        <f t="shared" ca="1" si="51"/>
        <v>#N/A</v>
      </c>
      <c r="AV85" s="406" t="e">
        <f t="shared" ca="1" si="51"/>
        <v>#N/A</v>
      </c>
      <c r="AW85" s="406" t="e">
        <f t="shared" ca="1" si="51"/>
        <v>#N/A</v>
      </c>
      <c r="AX85" s="406" t="e">
        <f t="shared" ca="1" si="51"/>
        <v>#N/A</v>
      </c>
      <c r="AY85" s="406" t="e">
        <f t="shared" ca="1" si="51"/>
        <v>#N/A</v>
      </c>
      <c r="AZ85" s="406" t="e">
        <f t="shared" ca="1" si="51"/>
        <v>#N/A</v>
      </c>
      <c r="BA85" s="406" t="e">
        <f t="shared" ca="1" si="51"/>
        <v>#N/A</v>
      </c>
      <c r="BB85" s="406" t="s">
        <v>1156</v>
      </c>
      <c r="BC85" s="407" t="str">
        <f t="shared" ca="1" si="40"/>
        <v/>
      </c>
      <c r="BD85" s="410"/>
      <c r="BE85" s="410"/>
    </row>
    <row r="86" spans="3:57" x14ac:dyDescent="0.25">
      <c r="C86" s="406">
        <f t="shared" si="41"/>
        <v>84</v>
      </c>
      <c r="D86" s="406" t="e">
        <f t="shared" ca="1" si="47"/>
        <v>#N/A</v>
      </c>
      <c r="E86" s="406" t="e">
        <f t="shared" ca="1" si="47"/>
        <v>#N/A</v>
      </c>
      <c r="F86" s="406" t="e">
        <f t="shared" ca="1" si="47"/>
        <v>#N/A</v>
      </c>
      <c r="G86" s="406" t="e">
        <f t="shared" ca="1" si="47"/>
        <v>#N/A</v>
      </c>
      <c r="H86" s="406" t="e">
        <f t="shared" ca="1" si="47"/>
        <v>#N/A</v>
      </c>
      <c r="I86" s="406" t="e">
        <f t="shared" ca="1" si="47"/>
        <v>#N/A</v>
      </c>
      <c r="J86" s="406" t="e">
        <f t="shared" ca="1" si="47"/>
        <v>#N/A</v>
      </c>
      <c r="K86" s="406" t="e">
        <f t="shared" ca="1" si="47"/>
        <v>#N/A</v>
      </c>
      <c r="L86" s="406" t="e">
        <f t="shared" ca="1" si="47"/>
        <v>#N/A</v>
      </c>
      <c r="M86" s="406" t="e">
        <f t="shared" ca="1" si="47"/>
        <v>#N/A</v>
      </c>
      <c r="N86" s="406" t="e">
        <f t="shared" ca="1" si="48"/>
        <v>#N/A</v>
      </c>
      <c r="O86" s="406" t="e">
        <f t="shared" ca="1" si="48"/>
        <v>#N/A</v>
      </c>
      <c r="P86" s="406" t="e">
        <f t="shared" ca="1" si="48"/>
        <v>#N/A</v>
      </c>
      <c r="Q86" s="406" t="e">
        <f t="shared" ca="1" si="48"/>
        <v>#N/A</v>
      </c>
      <c r="R86" s="406" t="e">
        <f t="shared" ca="1" si="48"/>
        <v>#N/A</v>
      </c>
      <c r="S86" s="406" t="e">
        <f t="shared" ca="1" si="48"/>
        <v>#N/A</v>
      </c>
      <c r="T86" s="406" t="e">
        <f t="shared" ca="1" si="48"/>
        <v>#N/A</v>
      </c>
      <c r="U86" s="406" t="e">
        <f t="shared" ca="1" si="48"/>
        <v>#N/A</v>
      </c>
      <c r="V86" s="406" t="e">
        <f t="shared" ca="1" si="48"/>
        <v>#N/A</v>
      </c>
      <c r="W86" s="406" t="e">
        <f t="shared" ca="1" si="48"/>
        <v>#N/A</v>
      </c>
      <c r="X86" s="406" t="e">
        <f t="shared" ca="1" si="49"/>
        <v>#N/A</v>
      </c>
      <c r="Y86" s="406" t="e">
        <f t="shared" ca="1" si="49"/>
        <v>#N/A</v>
      </c>
      <c r="Z86" s="406" t="e">
        <f t="shared" ca="1" si="49"/>
        <v>#N/A</v>
      </c>
      <c r="AA86" s="406" t="e">
        <f t="shared" ca="1" si="49"/>
        <v>#N/A</v>
      </c>
      <c r="AB86" s="406" t="e">
        <f t="shared" ca="1" si="49"/>
        <v>#N/A</v>
      </c>
      <c r="AC86" s="406" t="e">
        <f t="shared" ca="1" si="49"/>
        <v>#N/A</v>
      </c>
      <c r="AD86" s="406" t="e">
        <f t="shared" ca="1" si="49"/>
        <v>#N/A</v>
      </c>
      <c r="AE86" s="406" t="e">
        <f t="shared" ca="1" si="49"/>
        <v>#N/A</v>
      </c>
      <c r="AF86" s="406" t="e">
        <f t="shared" ca="1" si="49"/>
        <v>#N/A</v>
      </c>
      <c r="AG86" s="406" t="e">
        <f t="shared" ca="1" si="49"/>
        <v>#N/A</v>
      </c>
      <c r="AH86" s="406" t="e">
        <f t="shared" ca="1" si="50"/>
        <v>#N/A</v>
      </c>
      <c r="AI86" s="406" t="e">
        <f t="shared" ca="1" si="50"/>
        <v>#N/A</v>
      </c>
      <c r="AJ86" s="406" t="e">
        <f t="shared" ca="1" si="50"/>
        <v>#N/A</v>
      </c>
      <c r="AK86" s="406" t="e">
        <f t="shared" ca="1" si="50"/>
        <v>#N/A</v>
      </c>
      <c r="AL86" s="406" t="e">
        <f t="shared" ca="1" si="50"/>
        <v>#N/A</v>
      </c>
      <c r="AM86" s="406" t="e">
        <f t="shared" ca="1" si="50"/>
        <v>#N/A</v>
      </c>
      <c r="AN86" s="406" t="e">
        <f t="shared" ca="1" si="50"/>
        <v>#N/A</v>
      </c>
      <c r="AO86" s="406" t="e">
        <f t="shared" ca="1" si="50"/>
        <v>#N/A</v>
      </c>
      <c r="AP86" s="406" t="e">
        <f t="shared" ca="1" si="50"/>
        <v>#N/A</v>
      </c>
      <c r="AQ86" s="406" t="e">
        <f t="shared" ca="1" si="50"/>
        <v>#N/A</v>
      </c>
      <c r="AR86" s="406" t="e">
        <f t="shared" ca="1" si="51"/>
        <v>#N/A</v>
      </c>
      <c r="AS86" s="406" t="e">
        <f t="shared" ca="1" si="51"/>
        <v>#N/A</v>
      </c>
      <c r="AT86" s="406" t="e">
        <f t="shared" ca="1" si="51"/>
        <v>#N/A</v>
      </c>
      <c r="AU86" s="406" t="e">
        <f t="shared" ca="1" si="51"/>
        <v>#N/A</v>
      </c>
      <c r="AV86" s="406" t="e">
        <f t="shared" ca="1" si="51"/>
        <v>#N/A</v>
      </c>
      <c r="AW86" s="406" t="e">
        <f t="shared" ca="1" si="51"/>
        <v>#N/A</v>
      </c>
      <c r="AX86" s="406" t="e">
        <f t="shared" ca="1" si="51"/>
        <v>#N/A</v>
      </c>
      <c r="AY86" s="406" t="e">
        <f t="shared" ca="1" si="51"/>
        <v>#N/A</v>
      </c>
      <c r="AZ86" s="406" t="e">
        <f t="shared" ca="1" si="51"/>
        <v>#N/A</v>
      </c>
      <c r="BA86" s="406" t="e">
        <f t="shared" ca="1" si="51"/>
        <v>#N/A</v>
      </c>
      <c r="BB86" s="406" t="s">
        <v>1157</v>
      </c>
      <c r="BC86" s="407" t="str">
        <f t="shared" ca="1" si="40"/>
        <v/>
      </c>
      <c r="BD86" s="410"/>
      <c r="BE86" s="410"/>
    </row>
    <row r="87" spans="3:57" x14ac:dyDescent="0.25">
      <c r="C87" s="406">
        <f t="shared" si="41"/>
        <v>85</v>
      </c>
      <c r="D87" s="406" t="e">
        <f t="shared" ca="1" si="47"/>
        <v>#N/A</v>
      </c>
      <c r="E87" s="406" t="e">
        <f t="shared" ca="1" si="47"/>
        <v>#N/A</v>
      </c>
      <c r="F87" s="406" t="e">
        <f t="shared" ca="1" si="47"/>
        <v>#N/A</v>
      </c>
      <c r="G87" s="406" t="e">
        <f t="shared" ca="1" si="47"/>
        <v>#N/A</v>
      </c>
      <c r="H87" s="406" t="e">
        <f t="shared" ca="1" si="47"/>
        <v>#N/A</v>
      </c>
      <c r="I87" s="406" t="e">
        <f t="shared" ca="1" si="47"/>
        <v>#N/A</v>
      </c>
      <c r="J87" s="406" t="e">
        <f t="shared" ca="1" si="47"/>
        <v>#N/A</v>
      </c>
      <c r="K87" s="406" t="e">
        <f t="shared" ca="1" si="47"/>
        <v>#N/A</v>
      </c>
      <c r="L87" s="406" t="e">
        <f t="shared" ca="1" si="47"/>
        <v>#N/A</v>
      </c>
      <c r="M87" s="406" t="e">
        <f t="shared" ca="1" si="47"/>
        <v>#N/A</v>
      </c>
      <c r="N87" s="406" t="e">
        <f t="shared" ca="1" si="48"/>
        <v>#N/A</v>
      </c>
      <c r="O87" s="406" t="e">
        <f t="shared" ca="1" si="48"/>
        <v>#N/A</v>
      </c>
      <c r="P87" s="406" t="e">
        <f t="shared" ca="1" si="48"/>
        <v>#N/A</v>
      </c>
      <c r="Q87" s="406" t="e">
        <f t="shared" ca="1" si="48"/>
        <v>#N/A</v>
      </c>
      <c r="R87" s="406" t="e">
        <f t="shared" ca="1" si="48"/>
        <v>#N/A</v>
      </c>
      <c r="S87" s="406" t="e">
        <f t="shared" ca="1" si="48"/>
        <v>#N/A</v>
      </c>
      <c r="T87" s="406" t="e">
        <f t="shared" ca="1" si="48"/>
        <v>#N/A</v>
      </c>
      <c r="U87" s="406" t="e">
        <f t="shared" ca="1" si="48"/>
        <v>#N/A</v>
      </c>
      <c r="V87" s="406" t="e">
        <f t="shared" ca="1" si="48"/>
        <v>#N/A</v>
      </c>
      <c r="W87" s="406" t="e">
        <f t="shared" ca="1" si="48"/>
        <v>#N/A</v>
      </c>
      <c r="X87" s="406" t="e">
        <f t="shared" ca="1" si="49"/>
        <v>#N/A</v>
      </c>
      <c r="Y87" s="406" t="e">
        <f t="shared" ca="1" si="49"/>
        <v>#N/A</v>
      </c>
      <c r="Z87" s="406" t="e">
        <f t="shared" ca="1" si="49"/>
        <v>#N/A</v>
      </c>
      <c r="AA87" s="406" t="e">
        <f t="shared" ca="1" si="49"/>
        <v>#N/A</v>
      </c>
      <c r="AB87" s="406" t="e">
        <f t="shared" ca="1" si="49"/>
        <v>#N/A</v>
      </c>
      <c r="AC87" s="406" t="e">
        <f t="shared" ca="1" si="49"/>
        <v>#N/A</v>
      </c>
      <c r="AD87" s="406" t="e">
        <f t="shared" ca="1" si="49"/>
        <v>#N/A</v>
      </c>
      <c r="AE87" s="406" t="e">
        <f t="shared" ca="1" si="49"/>
        <v>#N/A</v>
      </c>
      <c r="AF87" s="406" t="e">
        <f t="shared" ca="1" si="49"/>
        <v>#N/A</v>
      </c>
      <c r="AG87" s="406" t="e">
        <f t="shared" ca="1" si="49"/>
        <v>#N/A</v>
      </c>
      <c r="AH87" s="406" t="e">
        <f t="shared" ca="1" si="50"/>
        <v>#N/A</v>
      </c>
      <c r="AI87" s="406" t="e">
        <f t="shared" ca="1" si="50"/>
        <v>#N/A</v>
      </c>
      <c r="AJ87" s="406" t="e">
        <f t="shared" ca="1" si="50"/>
        <v>#N/A</v>
      </c>
      <c r="AK87" s="406" t="e">
        <f t="shared" ca="1" si="50"/>
        <v>#N/A</v>
      </c>
      <c r="AL87" s="406" t="e">
        <f t="shared" ca="1" si="50"/>
        <v>#N/A</v>
      </c>
      <c r="AM87" s="406" t="e">
        <f t="shared" ca="1" si="50"/>
        <v>#N/A</v>
      </c>
      <c r="AN87" s="406" t="e">
        <f t="shared" ca="1" si="50"/>
        <v>#N/A</v>
      </c>
      <c r="AO87" s="406" t="e">
        <f t="shared" ca="1" si="50"/>
        <v>#N/A</v>
      </c>
      <c r="AP87" s="406" t="e">
        <f t="shared" ca="1" si="50"/>
        <v>#N/A</v>
      </c>
      <c r="AQ87" s="406" t="e">
        <f t="shared" ca="1" si="50"/>
        <v>#N/A</v>
      </c>
      <c r="AR87" s="406" t="e">
        <f t="shared" ca="1" si="51"/>
        <v>#N/A</v>
      </c>
      <c r="AS87" s="406" t="e">
        <f t="shared" ca="1" si="51"/>
        <v>#N/A</v>
      </c>
      <c r="AT87" s="406" t="e">
        <f t="shared" ca="1" si="51"/>
        <v>#N/A</v>
      </c>
      <c r="AU87" s="406" t="e">
        <f t="shared" ca="1" si="51"/>
        <v>#N/A</v>
      </c>
      <c r="AV87" s="406" t="e">
        <f t="shared" ca="1" si="51"/>
        <v>#N/A</v>
      </c>
      <c r="AW87" s="406" t="e">
        <f t="shared" ca="1" si="51"/>
        <v>#N/A</v>
      </c>
      <c r="AX87" s="406" t="e">
        <f t="shared" ca="1" si="51"/>
        <v>#N/A</v>
      </c>
      <c r="AY87" s="406" t="e">
        <f t="shared" ca="1" si="51"/>
        <v>#N/A</v>
      </c>
      <c r="AZ87" s="406" t="e">
        <f t="shared" ca="1" si="51"/>
        <v>#N/A</v>
      </c>
      <c r="BA87" s="406" t="e">
        <f t="shared" ca="1" si="51"/>
        <v>#N/A</v>
      </c>
      <c r="BB87" s="406" t="s">
        <v>1158</v>
      </c>
      <c r="BC87" s="407" t="str">
        <f t="shared" ca="1" si="40"/>
        <v/>
      </c>
      <c r="BD87" s="410"/>
      <c r="BE87" s="410"/>
    </row>
    <row r="88" spans="3:57" x14ac:dyDescent="0.25">
      <c r="C88" s="406">
        <f t="shared" si="41"/>
        <v>86</v>
      </c>
      <c r="D88" s="406" t="e">
        <f t="shared" ca="1" si="47"/>
        <v>#N/A</v>
      </c>
      <c r="E88" s="406" t="e">
        <f t="shared" ca="1" si="47"/>
        <v>#N/A</v>
      </c>
      <c r="F88" s="406" t="e">
        <f t="shared" ca="1" si="47"/>
        <v>#N/A</v>
      </c>
      <c r="G88" s="406" t="e">
        <f t="shared" ca="1" si="47"/>
        <v>#N/A</v>
      </c>
      <c r="H88" s="406" t="e">
        <f t="shared" ca="1" si="47"/>
        <v>#N/A</v>
      </c>
      <c r="I88" s="406" t="e">
        <f t="shared" ca="1" si="47"/>
        <v>#N/A</v>
      </c>
      <c r="J88" s="406" t="e">
        <f t="shared" ca="1" si="47"/>
        <v>#N/A</v>
      </c>
      <c r="K88" s="406" t="e">
        <f t="shared" ca="1" si="47"/>
        <v>#N/A</v>
      </c>
      <c r="L88" s="406" t="e">
        <f t="shared" ca="1" si="47"/>
        <v>#N/A</v>
      </c>
      <c r="M88" s="406" t="e">
        <f t="shared" ca="1" si="47"/>
        <v>#N/A</v>
      </c>
      <c r="N88" s="406" t="e">
        <f t="shared" ca="1" si="48"/>
        <v>#N/A</v>
      </c>
      <c r="O88" s="406" t="e">
        <f t="shared" ca="1" si="48"/>
        <v>#N/A</v>
      </c>
      <c r="P88" s="406" t="e">
        <f t="shared" ca="1" si="48"/>
        <v>#N/A</v>
      </c>
      <c r="Q88" s="406" t="e">
        <f t="shared" ca="1" si="48"/>
        <v>#N/A</v>
      </c>
      <c r="R88" s="406" t="e">
        <f t="shared" ca="1" si="48"/>
        <v>#N/A</v>
      </c>
      <c r="S88" s="406" t="e">
        <f t="shared" ca="1" si="48"/>
        <v>#N/A</v>
      </c>
      <c r="T88" s="406" t="e">
        <f t="shared" ca="1" si="48"/>
        <v>#N/A</v>
      </c>
      <c r="U88" s="406" t="e">
        <f t="shared" ca="1" si="48"/>
        <v>#N/A</v>
      </c>
      <c r="V88" s="406" t="e">
        <f t="shared" ca="1" si="48"/>
        <v>#N/A</v>
      </c>
      <c r="W88" s="406" t="e">
        <f t="shared" ca="1" si="48"/>
        <v>#N/A</v>
      </c>
      <c r="X88" s="406" t="e">
        <f t="shared" ca="1" si="49"/>
        <v>#N/A</v>
      </c>
      <c r="Y88" s="406" t="e">
        <f t="shared" ca="1" si="49"/>
        <v>#N/A</v>
      </c>
      <c r="Z88" s="406" t="e">
        <f t="shared" ca="1" si="49"/>
        <v>#N/A</v>
      </c>
      <c r="AA88" s="406" t="e">
        <f t="shared" ca="1" si="49"/>
        <v>#N/A</v>
      </c>
      <c r="AB88" s="406" t="e">
        <f t="shared" ca="1" si="49"/>
        <v>#N/A</v>
      </c>
      <c r="AC88" s="406" t="e">
        <f t="shared" ca="1" si="49"/>
        <v>#N/A</v>
      </c>
      <c r="AD88" s="406" t="e">
        <f t="shared" ca="1" si="49"/>
        <v>#N/A</v>
      </c>
      <c r="AE88" s="406" t="e">
        <f t="shared" ca="1" si="49"/>
        <v>#N/A</v>
      </c>
      <c r="AF88" s="406" t="e">
        <f t="shared" ca="1" si="49"/>
        <v>#N/A</v>
      </c>
      <c r="AG88" s="406" t="e">
        <f t="shared" ca="1" si="49"/>
        <v>#N/A</v>
      </c>
      <c r="AH88" s="406" t="e">
        <f t="shared" ca="1" si="50"/>
        <v>#N/A</v>
      </c>
      <c r="AI88" s="406" t="e">
        <f t="shared" ca="1" si="50"/>
        <v>#N/A</v>
      </c>
      <c r="AJ88" s="406" t="e">
        <f t="shared" ca="1" si="50"/>
        <v>#N/A</v>
      </c>
      <c r="AK88" s="406" t="e">
        <f t="shared" ca="1" si="50"/>
        <v>#N/A</v>
      </c>
      <c r="AL88" s="406" t="e">
        <f t="shared" ca="1" si="50"/>
        <v>#N/A</v>
      </c>
      <c r="AM88" s="406" t="e">
        <f t="shared" ca="1" si="50"/>
        <v>#N/A</v>
      </c>
      <c r="AN88" s="406" t="e">
        <f t="shared" ca="1" si="50"/>
        <v>#N/A</v>
      </c>
      <c r="AO88" s="406" t="e">
        <f t="shared" ca="1" si="50"/>
        <v>#N/A</v>
      </c>
      <c r="AP88" s="406" t="e">
        <f t="shared" ca="1" si="50"/>
        <v>#N/A</v>
      </c>
      <c r="AQ88" s="406" t="e">
        <f t="shared" ca="1" si="50"/>
        <v>#N/A</v>
      </c>
      <c r="AR88" s="406" t="e">
        <f t="shared" ca="1" si="51"/>
        <v>#N/A</v>
      </c>
      <c r="AS88" s="406" t="e">
        <f t="shared" ca="1" si="51"/>
        <v>#N/A</v>
      </c>
      <c r="AT88" s="406" t="e">
        <f t="shared" ca="1" si="51"/>
        <v>#N/A</v>
      </c>
      <c r="AU88" s="406" t="e">
        <f t="shared" ca="1" si="51"/>
        <v>#N/A</v>
      </c>
      <c r="AV88" s="406" t="e">
        <f t="shared" ca="1" si="51"/>
        <v>#N/A</v>
      </c>
      <c r="AW88" s="406" t="e">
        <f t="shared" ca="1" si="51"/>
        <v>#N/A</v>
      </c>
      <c r="AX88" s="406" t="e">
        <f t="shared" ca="1" si="51"/>
        <v>#N/A</v>
      </c>
      <c r="AY88" s="406" t="e">
        <f t="shared" ca="1" si="51"/>
        <v>#N/A</v>
      </c>
      <c r="AZ88" s="406" t="e">
        <f t="shared" ca="1" si="51"/>
        <v>#N/A</v>
      </c>
      <c r="BA88" s="406" t="e">
        <f t="shared" ca="1" si="51"/>
        <v>#N/A</v>
      </c>
      <c r="BB88" s="406" t="s">
        <v>1159</v>
      </c>
      <c r="BC88" s="407" t="str">
        <f t="shared" ca="1" si="40"/>
        <v/>
      </c>
      <c r="BD88" s="410"/>
      <c r="BE88" s="410"/>
    </row>
    <row r="89" spans="3:57" x14ac:dyDescent="0.25">
      <c r="C89" s="406">
        <f t="shared" si="41"/>
        <v>87</v>
      </c>
      <c r="D89" s="406" t="e">
        <f t="shared" ca="1" si="47"/>
        <v>#N/A</v>
      </c>
      <c r="E89" s="406" t="e">
        <f t="shared" ca="1" si="47"/>
        <v>#N/A</v>
      </c>
      <c r="F89" s="406" t="e">
        <f t="shared" ca="1" si="47"/>
        <v>#N/A</v>
      </c>
      <c r="G89" s="406" t="e">
        <f t="shared" ca="1" si="47"/>
        <v>#N/A</v>
      </c>
      <c r="H89" s="406" t="e">
        <f t="shared" ca="1" si="47"/>
        <v>#N/A</v>
      </c>
      <c r="I89" s="406" t="e">
        <f t="shared" ca="1" si="47"/>
        <v>#N/A</v>
      </c>
      <c r="J89" s="406" t="e">
        <f t="shared" ca="1" si="47"/>
        <v>#N/A</v>
      </c>
      <c r="K89" s="406" t="e">
        <f t="shared" ca="1" si="47"/>
        <v>#N/A</v>
      </c>
      <c r="L89" s="406" t="e">
        <f t="shared" ca="1" si="47"/>
        <v>#N/A</v>
      </c>
      <c r="M89" s="406" t="e">
        <f t="shared" ca="1" si="47"/>
        <v>#N/A</v>
      </c>
      <c r="N89" s="406" t="e">
        <f t="shared" ca="1" si="48"/>
        <v>#N/A</v>
      </c>
      <c r="O89" s="406" t="e">
        <f t="shared" ca="1" si="48"/>
        <v>#N/A</v>
      </c>
      <c r="P89" s="406" t="e">
        <f t="shared" ca="1" si="48"/>
        <v>#N/A</v>
      </c>
      <c r="Q89" s="406" t="e">
        <f t="shared" ca="1" si="48"/>
        <v>#N/A</v>
      </c>
      <c r="R89" s="406" t="e">
        <f t="shared" ca="1" si="48"/>
        <v>#N/A</v>
      </c>
      <c r="S89" s="406" t="e">
        <f t="shared" ca="1" si="48"/>
        <v>#N/A</v>
      </c>
      <c r="T89" s="406" t="e">
        <f t="shared" ca="1" si="48"/>
        <v>#N/A</v>
      </c>
      <c r="U89" s="406" t="e">
        <f t="shared" ca="1" si="48"/>
        <v>#N/A</v>
      </c>
      <c r="V89" s="406" t="e">
        <f t="shared" ca="1" si="48"/>
        <v>#N/A</v>
      </c>
      <c r="W89" s="406" t="e">
        <f t="shared" ca="1" si="48"/>
        <v>#N/A</v>
      </c>
      <c r="X89" s="406" t="e">
        <f t="shared" ca="1" si="49"/>
        <v>#N/A</v>
      </c>
      <c r="Y89" s="406" t="e">
        <f t="shared" ca="1" si="49"/>
        <v>#N/A</v>
      </c>
      <c r="Z89" s="406" t="e">
        <f t="shared" ca="1" si="49"/>
        <v>#N/A</v>
      </c>
      <c r="AA89" s="406" t="e">
        <f t="shared" ca="1" si="49"/>
        <v>#N/A</v>
      </c>
      <c r="AB89" s="406" t="e">
        <f t="shared" ca="1" si="49"/>
        <v>#N/A</v>
      </c>
      <c r="AC89" s="406" t="e">
        <f t="shared" ca="1" si="49"/>
        <v>#N/A</v>
      </c>
      <c r="AD89" s="406" t="e">
        <f t="shared" ca="1" si="49"/>
        <v>#N/A</v>
      </c>
      <c r="AE89" s="406" t="e">
        <f t="shared" ca="1" si="49"/>
        <v>#N/A</v>
      </c>
      <c r="AF89" s="406" t="e">
        <f t="shared" ca="1" si="49"/>
        <v>#N/A</v>
      </c>
      <c r="AG89" s="406" t="e">
        <f t="shared" ca="1" si="49"/>
        <v>#N/A</v>
      </c>
      <c r="AH89" s="406" t="e">
        <f t="shared" ca="1" si="50"/>
        <v>#N/A</v>
      </c>
      <c r="AI89" s="406" t="e">
        <f t="shared" ca="1" si="50"/>
        <v>#N/A</v>
      </c>
      <c r="AJ89" s="406" t="e">
        <f t="shared" ca="1" si="50"/>
        <v>#N/A</v>
      </c>
      <c r="AK89" s="406" t="e">
        <f t="shared" ca="1" si="50"/>
        <v>#N/A</v>
      </c>
      <c r="AL89" s="406" t="e">
        <f t="shared" ca="1" si="50"/>
        <v>#N/A</v>
      </c>
      <c r="AM89" s="406" t="e">
        <f t="shared" ca="1" si="50"/>
        <v>#N/A</v>
      </c>
      <c r="AN89" s="406" t="e">
        <f t="shared" ca="1" si="50"/>
        <v>#N/A</v>
      </c>
      <c r="AO89" s="406" t="e">
        <f t="shared" ca="1" si="50"/>
        <v>#N/A</v>
      </c>
      <c r="AP89" s="406" t="e">
        <f t="shared" ca="1" si="50"/>
        <v>#N/A</v>
      </c>
      <c r="AQ89" s="406" t="e">
        <f t="shared" ca="1" si="50"/>
        <v>#N/A</v>
      </c>
      <c r="AR89" s="406" t="e">
        <f t="shared" ca="1" si="51"/>
        <v>#N/A</v>
      </c>
      <c r="AS89" s="406" t="e">
        <f t="shared" ca="1" si="51"/>
        <v>#N/A</v>
      </c>
      <c r="AT89" s="406" t="e">
        <f t="shared" ca="1" si="51"/>
        <v>#N/A</v>
      </c>
      <c r="AU89" s="406" t="e">
        <f t="shared" ca="1" si="51"/>
        <v>#N/A</v>
      </c>
      <c r="AV89" s="406" t="e">
        <f t="shared" ca="1" si="51"/>
        <v>#N/A</v>
      </c>
      <c r="AW89" s="406" t="e">
        <f t="shared" ca="1" si="51"/>
        <v>#N/A</v>
      </c>
      <c r="AX89" s="406" t="e">
        <f t="shared" ca="1" si="51"/>
        <v>#N/A</v>
      </c>
      <c r="AY89" s="406" t="e">
        <f t="shared" ca="1" si="51"/>
        <v>#N/A</v>
      </c>
      <c r="AZ89" s="406" t="e">
        <f t="shared" ca="1" si="51"/>
        <v>#N/A</v>
      </c>
      <c r="BA89" s="406" t="e">
        <f t="shared" ca="1" si="51"/>
        <v>#N/A</v>
      </c>
      <c r="BB89" s="406" t="s">
        <v>1160</v>
      </c>
      <c r="BC89" s="407" t="str">
        <f t="shared" ca="1" si="40"/>
        <v/>
      </c>
      <c r="BD89" s="410"/>
      <c r="BE89" s="410"/>
    </row>
    <row r="90" spans="3:57" x14ac:dyDescent="0.25">
      <c r="C90" s="406">
        <f t="shared" si="41"/>
        <v>88</v>
      </c>
      <c r="D90" s="406" t="e">
        <f t="shared" ca="1" si="47"/>
        <v>#N/A</v>
      </c>
      <c r="E90" s="406" t="e">
        <f t="shared" ca="1" si="47"/>
        <v>#N/A</v>
      </c>
      <c r="F90" s="406" t="e">
        <f t="shared" ca="1" si="47"/>
        <v>#N/A</v>
      </c>
      <c r="G90" s="406" t="e">
        <f t="shared" ca="1" si="47"/>
        <v>#N/A</v>
      </c>
      <c r="H90" s="406" t="e">
        <f t="shared" ca="1" si="47"/>
        <v>#N/A</v>
      </c>
      <c r="I90" s="406" t="e">
        <f t="shared" ca="1" si="47"/>
        <v>#N/A</v>
      </c>
      <c r="J90" s="406" t="e">
        <f t="shared" ca="1" si="47"/>
        <v>#N/A</v>
      </c>
      <c r="K90" s="406" t="e">
        <f t="shared" ca="1" si="47"/>
        <v>#N/A</v>
      </c>
      <c r="L90" s="406" t="e">
        <f t="shared" ca="1" si="47"/>
        <v>#N/A</v>
      </c>
      <c r="M90" s="406" t="e">
        <f t="shared" ca="1" si="47"/>
        <v>#N/A</v>
      </c>
      <c r="N90" s="406" t="e">
        <f t="shared" ca="1" si="48"/>
        <v>#N/A</v>
      </c>
      <c r="O90" s="406" t="e">
        <f t="shared" ca="1" si="48"/>
        <v>#N/A</v>
      </c>
      <c r="P90" s="406" t="e">
        <f t="shared" ca="1" si="48"/>
        <v>#N/A</v>
      </c>
      <c r="Q90" s="406" t="e">
        <f t="shared" ca="1" si="48"/>
        <v>#N/A</v>
      </c>
      <c r="R90" s="406" t="e">
        <f t="shared" ca="1" si="48"/>
        <v>#N/A</v>
      </c>
      <c r="S90" s="406" t="e">
        <f t="shared" ca="1" si="48"/>
        <v>#N/A</v>
      </c>
      <c r="T90" s="406" t="e">
        <f t="shared" ca="1" si="48"/>
        <v>#N/A</v>
      </c>
      <c r="U90" s="406" t="e">
        <f t="shared" ca="1" si="48"/>
        <v>#N/A</v>
      </c>
      <c r="V90" s="406" t="e">
        <f t="shared" ca="1" si="48"/>
        <v>#N/A</v>
      </c>
      <c r="W90" s="406" t="e">
        <f t="shared" ca="1" si="48"/>
        <v>#N/A</v>
      </c>
      <c r="X90" s="406" t="e">
        <f t="shared" ca="1" si="49"/>
        <v>#N/A</v>
      </c>
      <c r="Y90" s="406" t="e">
        <f t="shared" ca="1" si="49"/>
        <v>#N/A</v>
      </c>
      <c r="Z90" s="406" t="e">
        <f t="shared" ca="1" si="49"/>
        <v>#N/A</v>
      </c>
      <c r="AA90" s="406" t="e">
        <f t="shared" ca="1" si="49"/>
        <v>#N/A</v>
      </c>
      <c r="AB90" s="406" t="e">
        <f t="shared" ca="1" si="49"/>
        <v>#N/A</v>
      </c>
      <c r="AC90" s="406" t="e">
        <f t="shared" ca="1" si="49"/>
        <v>#N/A</v>
      </c>
      <c r="AD90" s="406" t="e">
        <f t="shared" ca="1" si="49"/>
        <v>#N/A</v>
      </c>
      <c r="AE90" s="406" t="e">
        <f t="shared" ca="1" si="49"/>
        <v>#N/A</v>
      </c>
      <c r="AF90" s="406" t="e">
        <f t="shared" ca="1" si="49"/>
        <v>#N/A</v>
      </c>
      <c r="AG90" s="406" t="e">
        <f t="shared" ca="1" si="49"/>
        <v>#N/A</v>
      </c>
      <c r="AH90" s="406" t="e">
        <f t="shared" ca="1" si="50"/>
        <v>#N/A</v>
      </c>
      <c r="AI90" s="406" t="e">
        <f t="shared" ca="1" si="50"/>
        <v>#N/A</v>
      </c>
      <c r="AJ90" s="406" t="e">
        <f t="shared" ca="1" si="50"/>
        <v>#N/A</v>
      </c>
      <c r="AK90" s="406" t="e">
        <f t="shared" ca="1" si="50"/>
        <v>#N/A</v>
      </c>
      <c r="AL90" s="406" t="e">
        <f t="shared" ca="1" si="50"/>
        <v>#N/A</v>
      </c>
      <c r="AM90" s="406" t="e">
        <f t="shared" ca="1" si="50"/>
        <v>#N/A</v>
      </c>
      <c r="AN90" s="406" t="e">
        <f t="shared" ca="1" si="50"/>
        <v>#N/A</v>
      </c>
      <c r="AO90" s="406" t="e">
        <f t="shared" ca="1" si="50"/>
        <v>#N/A</v>
      </c>
      <c r="AP90" s="406" t="e">
        <f t="shared" ca="1" si="50"/>
        <v>#N/A</v>
      </c>
      <c r="AQ90" s="406" t="e">
        <f t="shared" ca="1" si="50"/>
        <v>#N/A</v>
      </c>
      <c r="AR90" s="406" t="e">
        <f t="shared" ca="1" si="51"/>
        <v>#N/A</v>
      </c>
      <c r="AS90" s="406" t="e">
        <f t="shared" ca="1" si="51"/>
        <v>#N/A</v>
      </c>
      <c r="AT90" s="406" t="e">
        <f t="shared" ca="1" si="51"/>
        <v>#N/A</v>
      </c>
      <c r="AU90" s="406" t="e">
        <f t="shared" ca="1" si="51"/>
        <v>#N/A</v>
      </c>
      <c r="AV90" s="406" t="e">
        <f t="shared" ca="1" si="51"/>
        <v>#N/A</v>
      </c>
      <c r="AW90" s="406" t="e">
        <f t="shared" ca="1" si="51"/>
        <v>#N/A</v>
      </c>
      <c r="AX90" s="406" t="e">
        <f t="shared" ca="1" si="51"/>
        <v>#N/A</v>
      </c>
      <c r="AY90" s="406" t="e">
        <f t="shared" ca="1" si="51"/>
        <v>#N/A</v>
      </c>
      <c r="AZ90" s="406" t="e">
        <f t="shared" ca="1" si="51"/>
        <v>#N/A</v>
      </c>
      <c r="BA90" s="406" t="e">
        <f t="shared" ca="1" si="51"/>
        <v>#N/A</v>
      </c>
      <c r="BB90" s="406" t="s">
        <v>1161</v>
      </c>
      <c r="BC90" s="407" t="str">
        <f t="shared" ca="1" si="40"/>
        <v/>
      </c>
      <c r="BD90" s="410"/>
      <c r="BE90" s="410"/>
    </row>
    <row r="91" spans="3:57" x14ac:dyDescent="0.25">
      <c r="C91" s="406">
        <f t="shared" si="41"/>
        <v>89</v>
      </c>
      <c r="D91" s="406" t="e">
        <f t="shared" ca="1" si="47"/>
        <v>#N/A</v>
      </c>
      <c r="E91" s="406" t="e">
        <f t="shared" ca="1" si="47"/>
        <v>#N/A</v>
      </c>
      <c r="F91" s="406" t="e">
        <f t="shared" ca="1" si="47"/>
        <v>#N/A</v>
      </c>
      <c r="G91" s="406" t="e">
        <f t="shared" ca="1" si="47"/>
        <v>#N/A</v>
      </c>
      <c r="H91" s="406" t="e">
        <f t="shared" ca="1" si="47"/>
        <v>#N/A</v>
      </c>
      <c r="I91" s="406" t="e">
        <f t="shared" ca="1" si="47"/>
        <v>#N/A</v>
      </c>
      <c r="J91" s="406" t="e">
        <f t="shared" ca="1" si="47"/>
        <v>#N/A</v>
      </c>
      <c r="K91" s="406" t="e">
        <f t="shared" ca="1" si="47"/>
        <v>#N/A</v>
      </c>
      <c r="L91" s="406" t="e">
        <f t="shared" ca="1" si="47"/>
        <v>#N/A</v>
      </c>
      <c r="M91" s="406" t="e">
        <f t="shared" ca="1" si="47"/>
        <v>#N/A</v>
      </c>
      <c r="N91" s="406" t="e">
        <f t="shared" ca="1" si="48"/>
        <v>#N/A</v>
      </c>
      <c r="O91" s="406" t="e">
        <f t="shared" ca="1" si="48"/>
        <v>#N/A</v>
      </c>
      <c r="P91" s="406" t="e">
        <f t="shared" ca="1" si="48"/>
        <v>#N/A</v>
      </c>
      <c r="Q91" s="406" t="e">
        <f t="shared" ca="1" si="48"/>
        <v>#N/A</v>
      </c>
      <c r="R91" s="406" t="e">
        <f t="shared" ca="1" si="48"/>
        <v>#N/A</v>
      </c>
      <c r="S91" s="406" t="e">
        <f t="shared" ca="1" si="48"/>
        <v>#N/A</v>
      </c>
      <c r="T91" s="406" t="e">
        <f t="shared" ca="1" si="48"/>
        <v>#N/A</v>
      </c>
      <c r="U91" s="406" t="e">
        <f t="shared" ca="1" si="48"/>
        <v>#N/A</v>
      </c>
      <c r="V91" s="406" t="e">
        <f t="shared" ca="1" si="48"/>
        <v>#N/A</v>
      </c>
      <c r="W91" s="406" t="e">
        <f t="shared" ca="1" si="48"/>
        <v>#N/A</v>
      </c>
      <c r="X91" s="406" t="e">
        <f t="shared" ca="1" si="49"/>
        <v>#N/A</v>
      </c>
      <c r="Y91" s="406" t="e">
        <f t="shared" ca="1" si="49"/>
        <v>#N/A</v>
      </c>
      <c r="Z91" s="406" t="e">
        <f t="shared" ca="1" si="49"/>
        <v>#N/A</v>
      </c>
      <c r="AA91" s="406" t="e">
        <f t="shared" ca="1" si="49"/>
        <v>#N/A</v>
      </c>
      <c r="AB91" s="406" t="e">
        <f t="shared" ca="1" si="49"/>
        <v>#N/A</v>
      </c>
      <c r="AC91" s="406" t="e">
        <f t="shared" ca="1" si="49"/>
        <v>#N/A</v>
      </c>
      <c r="AD91" s="406" t="e">
        <f t="shared" ca="1" si="49"/>
        <v>#N/A</v>
      </c>
      <c r="AE91" s="406" t="e">
        <f t="shared" ca="1" si="49"/>
        <v>#N/A</v>
      </c>
      <c r="AF91" s="406" t="e">
        <f t="shared" ca="1" si="49"/>
        <v>#N/A</v>
      </c>
      <c r="AG91" s="406" t="e">
        <f t="shared" ca="1" si="49"/>
        <v>#N/A</v>
      </c>
      <c r="AH91" s="406" t="e">
        <f t="shared" ca="1" si="50"/>
        <v>#N/A</v>
      </c>
      <c r="AI91" s="406" t="e">
        <f t="shared" ca="1" si="50"/>
        <v>#N/A</v>
      </c>
      <c r="AJ91" s="406" t="e">
        <f t="shared" ca="1" si="50"/>
        <v>#N/A</v>
      </c>
      <c r="AK91" s="406" t="e">
        <f t="shared" ca="1" si="50"/>
        <v>#N/A</v>
      </c>
      <c r="AL91" s="406" t="e">
        <f t="shared" ca="1" si="50"/>
        <v>#N/A</v>
      </c>
      <c r="AM91" s="406" t="e">
        <f t="shared" ca="1" si="50"/>
        <v>#N/A</v>
      </c>
      <c r="AN91" s="406" t="e">
        <f t="shared" ca="1" si="50"/>
        <v>#N/A</v>
      </c>
      <c r="AO91" s="406" t="e">
        <f t="shared" ca="1" si="50"/>
        <v>#N/A</v>
      </c>
      <c r="AP91" s="406" t="e">
        <f t="shared" ca="1" si="50"/>
        <v>#N/A</v>
      </c>
      <c r="AQ91" s="406" t="e">
        <f t="shared" ca="1" si="50"/>
        <v>#N/A</v>
      </c>
      <c r="AR91" s="406" t="e">
        <f t="shared" ca="1" si="51"/>
        <v>#N/A</v>
      </c>
      <c r="AS91" s="406" t="e">
        <f t="shared" ca="1" si="51"/>
        <v>#N/A</v>
      </c>
      <c r="AT91" s="406" t="e">
        <f t="shared" ca="1" si="51"/>
        <v>#N/A</v>
      </c>
      <c r="AU91" s="406" t="e">
        <f t="shared" ca="1" si="51"/>
        <v>#N/A</v>
      </c>
      <c r="AV91" s="406" t="e">
        <f t="shared" ca="1" si="51"/>
        <v>#N/A</v>
      </c>
      <c r="AW91" s="406" t="e">
        <f t="shared" ca="1" si="51"/>
        <v>#N/A</v>
      </c>
      <c r="AX91" s="406" t="e">
        <f t="shared" ca="1" si="51"/>
        <v>#N/A</v>
      </c>
      <c r="AY91" s="406" t="e">
        <f t="shared" ca="1" si="51"/>
        <v>#N/A</v>
      </c>
      <c r="AZ91" s="406" t="e">
        <f t="shared" ca="1" si="51"/>
        <v>#N/A</v>
      </c>
      <c r="BA91" s="406" t="e">
        <f t="shared" ca="1" si="51"/>
        <v>#N/A</v>
      </c>
      <c r="BB91" s="406" t="s">
        <v>1162</v>
      </c>
      <c r="BC91" s="407" t="str">
        <f t="shared" ca="1" si="40"/>
        <v/>
      </c>
      <c r="BD91" s="410"/>
      <c r="BE91" s="410"/>
    </row>
    <row r="92" spans="3:57" x14ac:dyDescent="0.25">
      <c r="C92" s="406">
        <f t="shared" si="41"/>
        <v>90</v>
      </c>
      <c r="D92" s="406" t="e">
        <f t="shared" ref="D92:M101" ca="1" si="52">TRIM(INDIRECT("'" &amp; "TNX RTF" &amp; "'!" &amp; ADDRESS($A$3+$C92,D$1)))</f>
        <v>#N/A</v>
      </c>
      <c r="E92" s="406" t="e">
        <f t="shared" ca="1" si="52"/>
        <v>#N/A</v>
      </c>
      <c r="F92" s="406" t="e">
        <f t="shared" ca="1" si="52"/>
        <v>#N/A</v>
      </c>
      <c r="G92" s="406" t="e">
        <f t="shared" ca="1" si="52"/>
        <v>#N/A</v>
      </c>
      <c r="H92" s="406" t="e">
        <f t="shared" ca="1" si="52"/>
        <v>#N/A</v>
      </c>
      <c r="I92" s="406" t="e">
        <f t="shared" ca="1" si="52"/>
        <v>#N/A</v>
      </c>
      <c r="J92" s="406" t="e">
        <f t="shared" ca="1" si="52"/>
        <v>#N/A</v>
      </c>
      <c r="K92" s="406" t="e">
        <f t="shared" ca="1" si="52"/>
        <v>#N/A</v>
      </c>
      <c r="L92" s="406" t="e">
        <f t="shared" ca="1" si="52"/>
        <v>#N/A</v>
      </c>
      <c r="M92" s="406" t="e">
        <f t="shared" ca="1" si="52"/>
        <v>#N/A</v>
      </c>
      <c r="N92" s="406" t="e">
        <f t="shared" ref="N92:W101" ca="1" si="53">TRIM(INDIRECT("'" &amp; "TNX RTF" &amp; "'!" &amp; ADDRESS($A$3+$C92,N$1)))</f>
        <v>#N/A</v>
      </c>
      <c r="O92" s="406" t="e">
        <f t="shared" ca="1" si="53"/>
        <v>#N/A</v>
      </c>
      <c r="P92" s="406" t="e">
        <f t="shared" ca="1" si="53"/>
        <v>#N/A</v>
      </c>
      <c r="Q92" s="406" t="e">
        <f t="shared" ca="1" si="53"/>
        <v>#N/A</v>
      </c>
      <c r="R92" s="406" t="e">
        <f t="shared" ca="1" si="53"/>
        <v>#N/A</v>
      </c>
      <c r="S92" s="406" t="e">
        <f t="shared" ca="1" si="53"/>
        <v>#N/A</v>
      </c>
      <c r="T92" s="406" t="e">
        <f t="shared" ca="1" si="53"/>
        <v>#N/A</v>
      </c>
      <c r="U92" s="406" t="e">
        <f t="shared" ca="1" si="53"/>
        <v>#N/A</v>
      </c>
      <c r="V92" s="406" t="e">
        <f t="shared" ca="1" si="53"/>
        <v>#N/A</v>
      </c>
      <c r="W92" s="406" t="e">
        <f t="shared" ca="1" si="53"/>
        <v>#N/A</v>
      </c>
      <c r="X92" s="406" t="e">
        <f t="shared" ref="X92:AG101" ca="1" si="54">TRIM(INDIRECT("'" &amp; "TNX RTF" &amp; "'!" &amp; ADDRESS($A$3+$C92,X$1)))</f>
        <v>#N/A</v>
      </c>
      <c r="Y92" s="406" t="e">
        <f t="shared" ca="1" si="54"/>
        <v>#N/A</v>
      </c>
      <c r="Z92" s="406" t="e">
        <f t="shared" ca="1" si="54"/>
        <v>#N/A</v>
      </c>
      <c r="AA92" s="406" t="e">
        <f t="shared" ca="1" si="54"/>
        <v>#N/A</v>
      </c>
      <c r="AB92" s="406" t="e">
        <f t="shared" ca="1" si="54"/>
        <v>#N/A</v>
      </c>
      <c r="AC92" s="406" t="e">
        <f t="shared" ca="1" si="54"/>
        <v>#N/A</v>
      </c>
      <c r="AD92" s="406" t="e">
        <f t="shared" ca="1" si="54"/>
        <v>#N/A</v>
      </c>
      <c r="AE92" s="406" t="e">
        <f t="shared" ca="1" si="54"/>
        <v>#N/A</v>
      </c>
      <c r="AF92" s="406" t="e">
        <f t="shared" ca="1" si="54"/>
        <v>#N/A</v>
      </c>
      <c r="AG92" s="406" t="e">
        <f t="shared" ca="1" si="54"/>
        <v>#N/A</v>
      </c>
      <c r="AH92" s="406" t="e">
        <f t="shared" ref="AH92:AQ101" ca="1" si="55">TRIM(INDIRECT("'" &amp; "TNX RTF" &amp; "'!" &amp; ADDRESS($A$3+$C92,AH$1)))</f>
        <v>#N/A</v>
      </c>
      <c r="AI92" s="406" t="e">
        <f t="shared" ca="1" si="55"/>
        <v>#N/A</v>
      </c>
      <c r="AJ92" s="406" t="e">
        <f t="shared" ca="1" si="55"/>
        <v>#N/A</v>
      </c>
      <c r="AK92" s="406" t="e">
        <f t="shared" ca="1" si="55"/>
        <v>#N/A</v>
      </c>
      <c r="AL92" s="406" t="e">
        <f t="shared" ca="1" si="55"/>
        <v>#N/A</v>
      </c>
      <c r="AM92" s="406" t="e">
        <f t="shared" ca="1" si="55"/>
        <v>#N/A</v>
      </c>
      <c r="AN92" s="406" t="e">
        <f t="shared" ca="1" si="55"/>
        <v>#N/A</v>
      </c>
      <c r="AO92" s="406" t="e">
        <f t="shared" ca="1" si="55"/>
        <v>#N/A</v>
      </c>
      <c r="AP92" s="406" t="e">
        <f t="shared" ca="1" si="55"/>
        <v>#N/A</v>
      </c>
      <c r="AQ92" s="406" t="e">
        <f t="shared" ca="1" si="55"/>
        <v>#N/A</v>
      </c>
      <c r="AR92" s="406" t="e">
        <f t="shared" ref="AR92:BA101" ca="1" si="56">TRIM(INDIRECT("'" &amp; "TNX RTF" &amp; "'!" &amp; ADDRESS($A$3+$C92,AR$1)))</f>
        <v>#N/A</v>
      </c>
      <c r="AS92" s="406" t="e">
        <f t="shared" ca="1" si="56"/>
        <v>#N/A</v>
      </c>
      <c r="AT92" s="406" t="e">
        <f t="shared" ca="1" si="56"/>
        <v>#N/A</v>
      </c>
      <c r="AU92" s="406" t="e">
        <f t="shared" ca="1" si="56"/>
        <v>#N/A</v>
      </c>
      <c r="AV92" s="406" t="e">
        <f t="shared" ca="1" si="56"/>
        <v>#N/A</v>
      </c>
      <c r="AW92" s="406" t="e">
        <f t="shared" ca="1" si="56"/>
        <v>#N/A</v>
      </c>
      <c r="AX92" s="406" t="e">
        <f t="shared" ca="1" si="56"/>
        <v>#N/A</v>
      </c>
      <c r="AY92" s="406" t="e">
        <f t="shared" ca="1" si="56"/>
        <v>#N/A</v>
      </c>
      <c r="AZ92" s="406" t="e">
        <f t="shared" ca="1" si="56"/>
        <v>#N/A</v>
      </c>
      <c r="BA92" s="406" t="e">
        <f t="shared" ca="1" si="56"/>
        <v>#N/A</v>
      </c>
      <c r="BB92" s="406" t="s">
        <v>1163</v>
      </c>
      <c r="BC92" s="407" t="str">
        <f t="shared" ca="1" si="40"/>
        <v/>
      </c>
      <c r="BD92" s="410"/>
      <c r="BE92" s="410"/>
    </row>
    <row r="93" spans="3:57" x14ac:dyDescent="0.25">
      <c r="C93" s="406">
        <f t="shared" si="41"/>
        <v>91</v>
      </c>
      <c r="D93" s="406" t="e">
        <f t="shared" ca="1" si="52"/>
        <v>#N/A</v>
      </c>
      <c r="E93" s="406" t="e">
        <f t="shared" ca="1" si="52"/>
        <v>#N/A</v>
      </c>
      <c r="F93" s="406" t="e">
        <f t="shared" ca="1" si="52"/>
        <v>#N/A</v>
      </c>
      <c r="G93" s="406" t="e">
        <f t="shared" ca="1" si="52"/>
        <v>#N/A</v>
      </c>
      <c r="H93" s="406" t="e">
        <f t="shared" ca="1" si="52"/>
        <v>#N/A</v>
      </c>
      <c r="I93" s="406" t="e">
        <f t="shared" ca="1" si="52"/>
        <v>#N/A</v>
      </c>
      <c r="J93" s="406" t="e">
        <f t="shared" ca="1" si="52"/>
        <v>#N/A</v>
      </c>
      <c r="K93" s="406" t="e">
        <f t="shared" ca="1" si="52"/>
        <v>#N/A</v>
      </c>
      <c r="L93" s="406" t="e">
        <f t="shared" ca="1" si="52"/>
        <v>#N/A</v>
      </c>
      <c r="M93" s="406" t="e">
        <f t="shared" ca="1" si="52"/>
        <v>#N/A</v>
      </c>
      <c r="N93" s="406" t="e">
        <f t="shared" ca="1" si="53"/>
        <v>#N/A</v>
      </c>
      <c r="O93" s="406" t="e">
        <f t="shared" ca="1" si="53"/>
        <v>#N/A</v>
      </c>
      <c r="P93" s="406" t="e">
        <f t="shared" ca="1" si="53"/>
        <v>#N/A</v>
      </c>
      <c r="Q93" s="406" t="e">
        <f t="shared" ca="1" si="53"/>
        <v>#N/A</v>
      </c>
      <c r="R93" s="406" t="e">
        <f t="shared" ca="1" si="53"/>
        <v>#N/A</v>
      </c>
      <c r="S93" s="406" t="e">
        <f t="shared" ca="1" si="53"/>
        <v>#N/A</v>
      </c>
      <c r="T93" s="406" t="e">
        <f t="shared" ca="1" si="53"/>
        <v>#N/A</v>
      </c>
      <c r="U93" s="406" t="e">
        <f t="shared" ca="1" si="53"/>
        <v>#N/A</v>
      </c>
      <c r="V93" s="406" t="e">
        <f t="shared" ca="1" si="53"/>
        <v>#N/A</v>
      </c>
      <c r="W93" s="406" t="e">
        <f t="shared" ca="1" si="53"/>
        <v>#N/A</v>
      </c>
      <c r="X93" s="406" t="e">
        <f t="shared" ca="1" si="54"/>
        <v>#N/A</v>
      </c>
      <c r="Y93" s="406" t="e">
        <f t="shared" ca="1" si="54"/>
        <v>#N/A</v>
      </c>
      <c r="Z93" s="406" t="e">
        <f t="shared" ca="1" si="54"/>
        <v>#N/A</v>
      </c>
      <c r="AA93" s="406" t="e">
        <f t="shared" ca="1" si="54"/>
        <v>#N/A</v>
      </c>
      <c r="AB93" s="406" t="e">
        <f t="shared" ca="1" si="54"/>
        <v>#N/A</v>
      </c>
      <c r="AC93" s="406" t="e">
        <f t="shared" ca="1" si="54"/>
        <v>#N/A</v>
      </c>
      <c r="AD93" s="406" t="e">
        <f t="shared" ca="1" si="54"/>
        <v>#N/A</v>
      </c>
      <c r="AE93" s="406" t="e">
        <f t="shared" ca="1" si="54"/>
        <v>#N/A</v>
      </c>
      <c r="AF93" s="406" t="e">
        <f t="shared" ca="1" si="54"/>
        <v>#N/A</v>
      </c>
      <c r="AG93" s="406" t="e">
        <f t="shared" ca="1" si="54"/>
        <v>#N/A</v>
      </c>
      <c r="AH93" s="406" t="e">
        <f t="shared" ca="1" si="55"/>
        <v>#N/A</v>
      </c>
      <c r="AI93" s="406" t="e">
        <f t="shared" ca="1" si="55"/>
        <v>#N/A</v>
      </c>
      <c r="AJ93" s="406" t="e">
        <f t="shared" ca="1" si="55"/>
        <v>#N/A</v>
      </c>
      <c r="AK93" s="406" t="e">
        <f t="shared" ca="1" si="55"/>
        <v>#N/A</v>
      </c>
      <c r="AL93" s="406" t="e">
        <f t="shared" ca="1" si="55"/>
        <v>#N/A</v>
      </c>
      <c r="AM93" s="406" t="e">
        <f t="shared" ca="1" si="55"/>
        <v>#N/A</v>
      </c>
      <c r="AN93" s="406" t="e">
        <f t="shared" ca="1" si="55"/>
        <v>#N/A</v>
      </c>
      <c r="AO93" s="406" t="e">
        <f t="shared" ca="1" si="55"/>
        <v>#N/A</v>
      </c>
      <c r="AP93" s="406" t="e">
        <f t="shared" ca="1" si="55"/>
        <v>#N/A</v>
      </c>
      <c r="AQ93" s="406" t="e">
        <f t="shared" ca="1" si="55"/>
        <v>#N/A</v>
      </c>
      <c r="AR93" s="406" t="e">
        <f t="shared" ca="1" si="56"/>
        <v>#N/A</v>
      </c>
      <c r="AS93" s="406" t="e">
        <f t="shared" ca="1" si="56"/>
        <v>#N/A</v>
      </c>
      <c r="AT93" s="406" t="e">
        <f t="shared" ca="1" si="56"/>
        <v>#N/A</v>
      </c>
      <c r="AU93" s="406" t="e">
        <f t="shared" ca="1" si="56"/>
        <v>#N/A</v>
      </c>
      <c r="AV93" s="406" t="e">
        <f t="shared" ca="1" si="56"/>
        <v>#N/A</v>
      </c>
      <c r="AW93" s="406" t="e">
        <f t="shared" ca="1" si="56"/>
        <v>#N/A</v>
      </c>
      <c r="AX93" s="406" t="e">
        <f t="shared" ca="1" si="56"/>
        <v>#N/A</v>
      </c>
      <c r="AY93" s="406" t="e">
        <f t="shared" ca="1" si="56"/>
        <v>#N/A</v>
      </c>
      <c r="AZ93" s="406" t="e">
        <f t="shared" ca="1" si="56"/>
        <v>#N/A</v>
      </c>
      <c r="BA93" s="406" t="e">
        <f t="shared" ca="1" si="56"/>
        <v>#N/A</v>
      </c>
      <c r="BB93" s="406" t="s">
        <v>1164</v>
      </c>
      <c r="BC93" s="407" t="str">
        <f t="shared" ca="1" si="40"/>
        <v/>
      </c>
      <c r="BD93" s="410"/>
      <c r="BE93" s="410"/>
    </row>
    <row r="94" spans="3:57" x14ac:dyDescent="0.25">
      <c r="C94" s="406">
        <f t="shared" si="41"/>
        <v>92</v>
      </c>
      <c r="D94" s="406" t="e">
        <f t="shared" ca="1" si="52"/>
        <v>#N/A</v>
      </c>
      <c r="E94" s="406" t="e">
        <f t="shared" ca="1" si="52"/>
        <v>#N/A</v>
      </c>
      <c r="F94" s="406" t="e">
        <f t="shared" ca="1" si="52"/>
        <v>#N/A</v>
      </c>
      <c r="G94" s="406" t="e">
        <f t="shared" ca="1" si="52"/>
        <v>#N/A</v>
      </c>
      <c r="H94" s="406" t="e">
        <f t="shared" ca="1" si="52"/>
        <v>#N/A</v>
      </c>
      <c r="I94" s="406" t="e">
        <f t="shared" ca="1" si="52"/>
        <v>#N/A</v>
      </c>
      <c r="J94" s="406" t="e">
        <f t="shared" ca="1" si="52"/>
        <v>#N/A</v>
      </c>
      <c r="K94" s="406" t="e">
        <f t="shared" ca="1" si="52"/>
        <v>#N/A</v>
      </c>
      <c r="L94" s="406" t="e">
        <f t="shared" ca="1" si="52"/>
        <v>#N/A</v>
      </c>
      <c r="M94" s="406" t="e">
        <f t="shared" ca="1" si="52"/>
        <v>#N/A</v>
      </c>
      <c r="N94" s="406" t="e">
        <f t="shared" ca="1" si="53"/>
        <v>#N/A</v>
      </c>
      <c r="O94" s="406" t="e">
        <f t="shared" ca="1" si="53"/>
        <v>#N/A</v>
      </c>
      <c r="P94" s="406" t="e">
        <f t="shared" ca="1" si="53"/>
        <v>#N/A</v>
      </c>
      <c r="Q94" s="406" t="e">
        <f t="shared" ca="1" si="53"/>
        <v>#N/A</v>
      </c>
      <c r="R94" s="406" t="e">
        <f t="shared" ca="1" si="53"/>
        <v>#N/A</v>
      </c>
      <c r="S94" s="406" t="e">
        <f t="shared" ca="1" si="53"/>
        <v>#N/A</v>
      </c>
      <c r="T94" s="406" t="e">
        <f t="shared" ca="1" si="53"/>
        <v>#N/A</v>
      </c>
      <c r="U94" s="406" t="e">
        <f t="shared" ca="1" si="53"/>
        <v>#N/A</v>
      </c>
      <c r="V94" s="406" t="e">
        <f t="shared" ca="1" si="53"/>
        <v>#N/A</v>
      </c>
      <c r="W94" s="406" t="e">
        <f t="shared" ca="1" si="53"/>
        <v>#N/A</v>
      </c>
      <c r="X94" s="406" t="e">
        <f t="shared" ca="1" si="54"/>
        <v>#N/A</v>
      </c>
      <c r="Y94" s="406" t="e">
        <f t="shared" ca="1" si="54"/>
        <v>#N/A</v>
      </c>
      <c r="Z94" s="406" t="e">
        <f t="shared" ca="1" si="54"/>
        <v>#N/A</v>
      </c>
      <c r="AA94" s="406" t="e">
        <f t="shared" ca="1" si="54"/>
        <v>#N/A</v>
      </c>
      <c r="AB94" s="406" t="e">
        <f t="shared" ca="1" si="54"/>
        <v>#N/A</v>
      </c>
      <c r="AC94" s="406" t="e">
        <f t="shared" ca="1" si="54"/>
        <v>#N/A</v>
      </c>
      <c r="AD94" s="406" t="e">
        <f t="shared" ca="1" si="54"/>
        <v>#N/A</v>
      </c>
      <c r="AE94" s="406" t="e">
        <f t="shared" ca="1" si="54"/>
        <v>#N/A</v>
      </c>
      <c r="AF94" s="406" t="e">
        <f t="shared" ca="1" si="54"/>
        <v>#N/A</v>
      </c>
      <c r="AG94" s="406" t="e">
        <f t="shared" ca="1" si="54"/>
        <v>#N/A</v>
      </c>
      <c r="AH94" s="406" t="e">
        <f t="shared" ca="1" si="55"/>
        <v>#N/A</v>
      </c>
      <c r="AI94" s="406" t="e">
        <f t="shared" ca="1" si="55"/>
        <v>#N/A</v>
      </c>
      <c r="AJ94" s="406" t="e">
        <f t="shared" ca="1" si="55"/>
        <v>#N/A</v>
      </c>
      <c r="AK94" s="406" t="e">
        <f t="shared" ca="1" si="55"/>
        <v>#N/A</v>
      </c>
      <c r="AL94" s="406" t="e">
        <f t="shared" ca="1" si="55"/>
        <v>#N/A</v>
      </c>
      <c r="AM94" s="406" t="e">
        <f t="shared" ca="1" si="55"/>
        <v>#N/A</v>
      </c>
      <c r="AN94" s="406" t="e">
        <f t="shared" ca="1" si="55"/>
        <v>#N/A</v>
      </c>
      <c r="AO94" s="406" t="e">
        <f t="shared" ca="1" si="55"/>
        <v>#N/A</v>
      </c>
      <c r="AP94" s="406" t="e">
        <f t="shared" ca="1" si="55"/>
        <v>#N/A</v>
      </c>
      <c r="AQ94" s="406" t="e">
        <f t="shared" ca="1" si="55"/>
        <v>#N/A</v>
      </c>
      <c r="AR94" s="406" t="e">
        <f t="shared" ca="1" si="56"/>
        <v>#N/A</v>
      </c>
      <c r="AS94" s="406" t="e">
        <f t="shared" ca="1" si="56"/>
        <v>#N/A</v>
      </c>
      <c r="AT94" s="406" t="e">
        <f t="shared" ca="1" si="56"/>
        <v>#N/A</v>
      </c>
      <c r="AU94" s="406" t="e">
        <f t="shared" ca="1" si="56"/>
        <v>#N/A</v>
      </c>
      <c r="AV94" s="406" t="e">
        <f t="shared" ca="1" si="56"/>
        <v>#N/A</v>
      </c>
      <c r="AW94" s="406" t="e">
        <f t="shared" ca="1" si="56"/>
        <v>#N/A</v>
      </c>
      <c r="AX94" s="406" t="e">
        <f t="shared" ca="1" si="56"/>
        <v>#N/A</v>
      </c>
      <c r="AY94" s="406" t="e">
        <f t="shared" ca="1" si="56"/>
        <v>#N/A</v>
      </c>
      <c r="AZ94" s="406" t="e">
        <f t="shared" ca="1" si="56"/>
        <v>#N/A</v>
      </c>
      <c r="BA94" s="406" t="e">
        <f t="shared" ca="1" si="56"/>
        <v>#N/A</v>
      </c>
      <c r="BB94" s="412" t="s">
        <v>1165</v>
      </c>
      <c r="BC94" s="407" t="str">
        <f t="shared" ca="1" si="40"/>
        <v/>
      </c>
      <c r="BD94" s="410"/>
      <c r="BE94" s="410"/>
    </row>
    <row r="95" spans="3:57" x14ac:dyDescent="0.25">
      <c r="C95" s="406">
        <f t="shared" si="41"/>
        <v>93</v>
      </c>
      <c r="D95" s="406" t="e">
        <f t="shared" ca="1" si="52"/>
        <v>#N/A</v>
      </c>
      <c r="E95" s="406" t="e">
        <f t="shared" ca="1" si="52"/>
        <v>#N/A</v>
      </c>
      <c r="F95" s="406" t="e">
        <f t="shared" ca="1" si="52"/>
        <v>#N/A</v>
      </c>
      <c r="G95" s="406" t="e">
        <f t="shared" ca="1" si="52"/>
        <v>#N/A</v>
      </c>
      <c r="H95" s="406" t="e">
        <f t="shared" ca="1" si="52"/>
        <v>#N/A</v>
      </c>
      <c r="I95" s="406" t="e">
        <f t="shared" ca="1" si="52"/>
        <v>#N/A</v>
      </c>
      <c r="J95" s="406" t="e">
        <f t="shared" ca="1" si="52"/>
        <v>#N/A</v>
      </c>
      <c r="K95" s="406" t="e">
        <f t="shared" ca="1" si="52"/>
        <v>#N/A</v>
      </c>
      <c r="L95" s="406" t="e">
        <f t="shared" ca="1" si="52"/>
        <v>#N/A</v>
      </c>
      <c r="M95" s="406" t="e">
        <f t="shared" ca="1" si="52"/>
        <v>#N/A</v>
      </c>
      <c r="N95" s="406" t="e">
        <f t="shared" ca="1" si="53"/>
        <v>#N/A</v>
      </c>
      <c r="O95" s="406" t="e">
        <f t="shared" ca="1" si="53"/>
        <v>#N/A</v>
      </c>
      <c r="P95" s="406" t="e">
        <f t="shared" ca="1" si="53"/>
        <v>#N/A</v>
      </c>
      <c r="Q95" s="406" t="e">
        <f t="shared" ca="1" si="53"/>
        <v>#N/A</v>
      </c>
      <c r="R95" s="406" t="e">
        <f t="shared" ca="1" si="53"/>
        <v>#N/A</v>
      </c>
      <c r="S95" s="406" t="e">
        <f t="shared" ca="1" si="53"/>
        <v>#N/A</v>
      </c>
      <c r="T95" s="406" t="e">
        <f t="shared" ca="1" si="53"/>
        <v>#N/A</v>
      </c>
      <c r="U95" s="406" t="e">
        <f t="shared" ca="1" si="53"/>
        <v>#N/A</v>
      </c>
      <c r="V95" s="406" t="e">
        <f t="shared" ca="1" si="53"/>
        <v>#N/A</v>
      </c>
      <c r="W95" s="406" t="e">
        <f t="shared" ca="1" si="53"/>
        <v>#N/A</v>
      </c>
      <c r="X95" s="406" t="e">
        <f t="shared" ca="1" si="54"/>
        <v>#N/A</v>
      </c>
      <c r="Y95" s="406" t="e">
        <f t="shared" ca="1" si="54"/>
        <v>#N/A</v>
      </c>
      <c r="Z95" s="406" t="e">
        <f t="shared" ca="1" si="54"/>
        <v>#N/A</v>
      </c>
      <c r="AA95" s="406" t="e">
        <f t="shared" ca="1" si="54"/>
        <v>#N/A</v>
      </c>
      <c r="AB95" s="406" t="e">
        <f t="shared" ca="1" si="54"/>
        <v>#N/A</v>
      </c>
      <c r="AC95" s="406" t="e">
        <f t="shared" ca="1" si="54"/>
        <v>#N/A</v>
      </c>
      <c r="AD95" s="406" t="e">
        <f t="shared" ca="1" si="54"/>
        <v>#N/A</v>
      </c>
      <c r="AE95" s="406" t="e">
        <f t="shared" ca="1" si="54"/>
        <v>#N/A</v>
      </c>
      <c r="AF95" s="406" t="e">
        <f t="shared" ca="1" si="54"/>
        <v>#N/A</v>
      </c>
      <c r="AG95" s="406" t="e">
        <f t="shared" ca="1" si="54"/>
        <v>#N/A</v>
      </c>
      <c r="AH95" s="406" t="e">
        <f t="shared" ca="1" si="55"/>
        <v>#N/A</v>
      </c>
      <c r="AI95" s="406" t="e">
        <f t="shared" ca="1" si="55"/>
        <v>#N/A</v>
      </c>
      <c r="AJ95" s="406" t="e">
        <f t="shared" ca="1" si="55"/>
        <v>#N/A</v>
      </c>
      <c r="AK95" s="406" t="e">
        <f t="shared" ca="1" si="55"/>
        <v>#N/A</v>
      </c>
      <c r="AL95" s="406" t="e">
        <f t="shared" ca="1" si="55"/>
        <v>#N/A</v>
      </c>
      <c r="AM95" s="406" t="e">
        <f t="shared" ca="1" si="55"/>
        <v>#N/A</v>
      </c>
      <c r="AN95" s="406" t="e">
        <f t="shared" ca="1" si="55"/>
        <v>#N/A</v>
      </c>
      <c r="AO95" s="406" t="e">
        <f t="shared" ca="1" si="55"/>
        <v>#N/A</v>
      </c>
      <c r="AP95" s="406" t="e">
        <f t="shared" ca="1" si="55"/>
        <v>#N/A</v>
      </c>
      <c r="AQ95" s="406" t="e">
        <f t="shared" ca="1" si="55"/>
        <v>#N/A</v>
      </c>
      <c r="AR95" s="406" t="e">
        <f t="shared" ca="1" si="56"/>
        <v>#N/A</v>
      </c>
      <c r="AS95" s="406" t="e">
        <f t="shared" ca="1" si="56"/>
        <v>#N/A</v>
      </c>
      <c r="AT95" s="406" t="e">
        <f t="shared" ca="1" si="56"/>
        <v>#N/A</v>
      </c>
      <c r="AU95" s="406" t="e">
        <f t="shared" ca="1" si="56"/>
        <v>#N/A</v>
      </c>
      <c r="AV95" s="406" t="e">
        <f t="shared" ca="1" si="56"/>
        <v>#N/A</v>
      </c>
      <c r="AW95" s="406" t="e">
        <f t="shared" ca="1" si="56"/>
        <v>#N/A</v>
      </c>
      <c r="AX95" s="406" t="e">
        <f t="shared" ca="1" si="56"/>
        <v>#N/A</v>
      </c>
      <c r="AY95" s="406" t="e">
        <f t="shared" ca="1" si="56"/>
        <v>#N/A</v>
      </c>
      <c r="AZ95" s="406" t="e">
        <f t="shared" ca="1" si="56"/>
        <v>#N/A</v>
      </c>
      <c r="BA95" s="406" t="e">
        <f t="shared" ca="1" si="56"/>
        <v>#N/A</v>
      </c>
      <c r="BB95" s="412" t="s">
        <v>1166</v>
      </c>
      <c r="BC95" s="407" t="str">
        <f t="shared" ca="1" si="40"/>
        <v/>
      </c>
      <c r="BD95" s="410"/>
      <c r="BE95" s="410"/>
    </row>
    <row r="96" spans="3:57" x14ac:dyDescent="0.25">
      <c r="C96" s="406">
        <f t="shared" si="41"/>
        <v>94</v>
      </c>
      <c r="D96" s="406" t="e">
        <f t="shared" ca="1" si="52"/>
        <v>#N/A</v>
      </c>
      <c r="E96" s="406" t="e">
        <f t="shared" ca="1" si="52"/>
        <v>#N/A</v>
      </c>
      <c r="F96" s="406" t="e">
        <f t="shared" ca="1" si="52"/>
        <v>#N/A</v>
      </c>
      <c r="G96" s="406" t="e">
        <f t="shared" ca="1" si="52"/>
        <v>#N/A</v>
      </c>
      <c r="H96" s="406" t="e">
        <f t="shared" ca="1" si="52"/>
        <v>#N/A</v>
      </c>
      <c r="I96" s="406" t="e">
        <f t="shared" ca="1" si="52"/>
        <v>#N/A</v>
      </c>
      <c r="J96" s="406" t="e">
        <f t="shared" ca="1" si="52"/>
        <v>#N/A</v>
      </c>
      <c r="K96" s="406" t="e">
        <f t="shared" ca="1" si="52"/>
        <v>#N/A</v>
      </c>
      <c r="L96" s="406" t="e">
        <f t="shared" ca="1" si="52"/>
        <v>#N/A</v>
      </c>
      <c r="M96" s="406" t="e">
        <f t="shared" ca="1" si="52"/>
        <v>#N/A</v>
      </c>
      <c r="N96" s="406" t="e">
        <f t="shared" ca="1" si="53"/>
        <v>#N/A</v>
      </c>
      <c r="O96" s="406" t="e">
        <f t="shared" ca="1" si="53"/>
        <v>#N/A</v>
      </c>
      <c r="P96" s="406" t="e">
        <f t="shared" ca="1" si="53"/>
        <v>#N/A</v>
      </c>
      <c r="Q96" s="406" t="e">
        <f t="shared" ca="1" si="53"/>
        <v>#N/A</v>
      </c>
      <c r="R96" s="406" t="e">
        <f t="shared" ca="1" si="53"/>
        <v>#N/A</v>
      </c>
      <c r="S96" s="406" t="e">
        <f t="shared" ca="1" si="53"/>
        <v>#N/A</v>
      </c>
      <c r="T96" s="406" t="e">
        <f t="shared" ca="1" si="53"/>
        <v>#N/A</v>
      </c>
      <c r="U96" s="406" t="e">
        <f t="shared" ca="1" si="53"/>
        <v>#N/A</v>
      </c>
      <c r="V96" s="406" t="e">
        <f t="shared" ca="1" si="53"/>
        <v>#N/A</v>
      </c>
      <c r="W96" s="406" t="e">
        <f t="shared" ca="1" si="53"/>
        <v>#N/A</v>
      </c>
      <c r="X96" s="406" t="e">
        <f t="shared" ca="1" si="54"/>
        <v>#N/A</v>
      </c>
      <c r="Y96" s="406" t="e">
        <f t="shared" ca="1" si="54"/>
        <v>#N/A</v>
      </c>
      <c r="Z96" s="406" t="e">
        <f t="shared" ca="1" si="54"/>
        <v>#N/A</v>
      </c>
      <c r="AA96" s="406" t="e">
        <f t="shared" ca="1" si="54"/>
        <v>#N/A</v>
      </c>
      <c r="AB96" s="406" t="e">
        <f t="shared" ca="1" si="54"/>
        <v>#N/A</v>
      </c>
      <c r="AC96" s="406" t="e">
        <f t="shared" ca="1" si="54"/>
        <v>#N/A</v>
      </c>
      <c r="AD96" s="406" t="e">
        <f t="shared" ca="1" si="54"/>
        <v>#N/A</v>
      </c>
      <c r="AE96" s="406" t="e">
        <f t="shared" ca="1" si="54"/>
        <v>#N/A</v>
      </c>
      <c r="AF96" s="406" t="e">
        <f t="shared" ca="1" si="54"/>
        <v>#N/A</v>
      </c>
      <c r="AG96" s="406" t="e">
        <f t="shared" ca="1" si="54"/>
        <v>#N/A</v>
      </c>
      <c r="AH96" s="406" t="e">
        <f t="shared" ca="1" si="55"/>
        <v>#N/A</v>
      </c>
      <c r="AI96" s="406" t="e">
        <f t="shared" ca="1" si="55"/>
        <v>#N/A</v>
      </c>
      <c r="AJ96" s="406" t="e">
        <f t="shared" ca="1" si="55"/>
        <v>#N/A</v>
      </c>
      <c r="AK96" s="406" t="e">
        <f t="shared" ca="1" si="55"/>
        <v>#N/A</v>
      </c>
      <c r="AL96" s="406" t="e">
        <f t="shared" ca="1" si="55"/>
        <v>#N/A</v>
      </c>
      <c r="AM96" s="406" t="e">
        <f t="shared" ca="1" si="55"/>
        <v>#N/A</v>
      </c>
      <c r="AN96" s="406" t="e">
        <f t="shared" ca="1" si="55"/>
        <v>#N/A</v>
      </c>
      <c r="AO96" s="406" t="e">
        <f t="shared" ca="1" si="55"/>
        <v>#N/A</v>
      </c>
      <c r="AP96" s="406" t="e">
        <f t="shared" ca="1" si="55"/>
        <v>#N/A</v>
      </c>
      <c r="AQ96" s="406" t="e">
        <f t="shared" ca="1" si="55"/>
        <v>#N/A</v>
      </c>
      <c r="AR96" s="406" t="e">
        <f t="shared" ca="1" si="56"/>
        <v>#N/A</v>
      </c>
      <c r="AS96" s="406" t="e">
        <f t="shared" ca="1" si="56"/>
        <v>#N/A</v>
      </c>
      <c r="AT96" s="406" t="e">
        <f t="shared" ca="1" si="56"/>
        <v>#N/A</v>
      </c>
      <c r="AU96" s="406" t="e">
        <f t="shared" ca="1" si="56"/>
        <v>#N/A</v>
      </c>
      <c r="AV96" s="406" t="e">
        <f t="shared" ca="1" si="56"/>
        <v>#N/A</v>
      </c>
      <c r="AW96" s="406" t="e">
        <f t="shared" ca="1" si="56"/>
        <v>#N/A</v>
      </c>
      <c r="AX96" s="406" t="e">
        <f t="shared" ca="1" si="56"/>
        <v>#N/A</v>
      </c>
      <c r="AY96" s="406" t="e">
        <f t="shared" ca="1" si="56"/>
        <v>#N/A</v>
      </c>
      <c r="AZ96" s="406" t="e">
        <f t="shared" ca="1" si="56"/>
        <v>#N/A</v>
      </c>
      <c r="BA96" s="406" t="e">
        <f t="shared" ca="1" si="56"/>
        <v>#N/A</v>
      </c>
      <c r="BB96" s="412" t="s">
        <v>1167</v>
      </c>
      <c r="BC96" s="407" t="str">
        <f t="shared" ca="1" si="40"/>
        <v/>
      </c>
      <c r="BD96" s="410"/>
      <c r="BE96" s="410"/>
    </row>
    <row r="97" spans="3:57" x14ac:dyDescent="0.25">
      <c r="C97" s="406">
        <f t="shared" si="41"/>
        <v>95</v>
      </c>
      <c r="D97" s="406" t="e">
        <f t="shared" ca="1" si="52"/>
        <v>#N/A</v>
      </c>
      <c r="E97" s="406" t="e">
        <f t="shared" ca="1" si="52"/>
        <v>#N/A</v>
      </c>
      <c r="F97" s="406" t="e">
        <f t="shared" ca="1" si="52"/>
        <v>#N/A</v>
      </c>
      <c r="G97" s="406" t="e">
        <f t="shared" ca="1" si="52"/>
        <v>#N/A</v>
      </c>
      <c r="H97" s="406" t="e">
        <f t="shared" ca="1" si="52"/>
        <v>#N/A</v>
      </c>
      <c r="I97" s="406" t="e">
        <f t="shared" ca="1" si="52"/>
        <v>#N/A</v>
      </c>
      <c r="J97" s="406" t="e">
        <f t="shared" ca="1" si="52"/>
        <v>#N/A</v>
      </c>
      <c r="K97" s="406" t="e">
        <f t="shared" ca="1" si="52"/>
        <v>#N/A</v>
      </c>
      <c r="L97" s="406" t="e">
        <f t="shared" ca="1" si="52"/>
        <v>#N/A</v>
      </c>
      <c r="M97" s="406" t="e">
        <f t="shared" ca="1" si="52"/>
        <v>#N/A</v>
      </c>
      <c r="N97" s="406" t="e">
        <f t="shared" ca="1" si="53"/>
        <v>#N/A</v>
      </c>
      <c r="O97" s="406" t="e">
        <f t="shared" ca="1" si="53"/>
        <v>#N/A</v>
      </c>
      <c r="P97" s="406" t="e">
        <f t="shared" ca="1" si="53"/>
        <v>#N/A</v>
      </c>
      <c r="Q97" s="406" t="e">
        <f t="shared" ca="1" si="53"/>
        <v>#N/A</v>
      </c>
      <c r="R97" s="406" t="e">
        <f t="shared" ca="1" si="53"/>
        <v>#N/A</v>
      </c>
      <c r="S97" s="406" t="e">
        <f t="shared" ca="1" si="53"/>
        <v>#N/A</v>
      </c>
      <c r="T97" s="406" t="e">
        <f t="shared" ca="1" si="53"/>
        <v>#N/A</v>
      </c>
      <c r="U97" s="406" t="e">
        <f t="shared" ca="1" si="53"/>
        <v>#N/A</v>
      </c>
      <c r="V97" s="406" t="e">
        <f t="shared" ca="1" si="53"/>
        <v>#N/A</v>
      </c>
      <c r="W97" s="406" t="e">
        <f t="shared" ca="1" si="53"/>
        <v>#N/A</v>
      </c>
      <c r="X97" s="406" t="e">
        <f t="shared" ca="1" si="54"/>
        <v>#N/A</v>
      </c>
      <c r="Y97" s="406" t="e">
        <f t="shared" ca="1" si="54"/>
        <v>#N/A</v>
      </c>
      <c r="Z97" s="406" t="e">
        <f t="shared" ca="1" si="54"/>
        <v>#N/A</v>
      </c>
      <c r="AA97" s="406" t="e">
        <f t="shared" ca="1" si="54"/>
        <v>#N/A</v>
      </c>
      <c r="AB97" s="406" t="e">
        <f t="shared" ca="1" si="54"/>
        <v>#N/A</v>
      </c>
      <c r="AC97" s="406" t="e">
        <f t="shared" ca="1" si="54"/>
        <v>#N/A</v>
      </c>
      <c r="AD97" s="406" t="e">
        <f t="shared" ca="1" si="54"/>
        <v>#N/A</v>
      </c>
      <c r="AE97" s="406" t="e">
        <f t="shared" ca="1" si="54"/>
        <v>#N/A</v>
      </c>
      <c r="AF97" s="406" t="e">
        <f t="shared" ca="1" si="54"/>
        <v>#N/A</v>
      </c>
      <c r="AG97" s="406" t="e">
        <f t="shared" ca="1" si="54"/>
        <v>#N/A</v>
      </c>
      <c r="AH97" s="406" t="e">
        <f t="shared" ca="1" si="55"/>
        <v>#N/A</v>
      </c>
      <c r="AI97" s="406" t="e">
        <f t="shared" ca="1" si="55"/>
        <v>#N/A</v>
      </c>
      <c r="AJ97" s="406" t="e">
        <f t="shared" ca="1" si="55"/>
        <v>#N/A</v>
      </c>
      <c r="AK97" s="406" t="e">
        <f t="shared" ca="1" si="55"/>
        <v>#N/A</v>
      </c>
      <c r="AL97" s="406" t="e">
        <f t="shared" ca="1" si="55"/>
        <v>#N/A</v>
      </c>
      <c r="AM97" s="406" t="e">
        <f t="shared" ca="1" si="55"/>
        <v>#N/A</v>
      </c>
      <c r="AN97" s="406" t="e">
        <f t="shared" ca="1" si="55"/>
        <v>#N/A</v>
      </c>
      <c r="AO97" s="406" t="e">
        <f t="shared" ca="1" si="55"/>
        <v>#N/A</v>
      </c>
      <c r="AP97" s="406" t="e">
        <f t="shared" ca="1" si="55"/>
        <v>#N/A</v>
      </c>
      <c r="AQ97" s="406" t="e">
        <f t="shared" ca="1" si="55"/>
        <v>#N/A</v>
      </c>
      <c r="AR97" s="406" t="e">
        <f t="shared" ca="1" si="56"/>
        <v>#N/A</v>
      </c>
      <c r="AS97" s="406" t="e">
        <f t="shared" ca="1" si="56"/>
        <v>#N/A</v>
      </c>
      <c r="AT97" s="406" t="e">
        <f t="shared" ca="1" si="56"/>
        <v>#N/A</v>
      </c>
      <c r="AU97" s="406" t="e">
        <f t="shared" ca="1" si="56"/>
        <v>#N/A</v>
      </c>
      <c r="AV97" s="406" t="e">
        <f t="shared" ca="1" si="56"/>
        <v>#N/A</v>
      </c>
      <c r="AW97" s="406" t="e">
        <f t="shared" ca="1" si="56"/>
        <v>#N/A</v>
      </c>
      <c r="AX97" s="406" t="e">
        <f t="shared" ca="1" si="56"/>
        <v>#N/A</v>
      </c>
      <c r="AY97" s="406" t="e">
        <f t="shared" ca="1" si="56"/>
        <v>#N/A</v>
      </c>
      <c r="AZ97" s="406" t="e">
        <f t="shared" ca="1" si="56"/>
        <v>#N/A</v>
      </c>
      <c r="BA97" s="406" t="e">
        <f t="shared" ca="1" si="56"/>
        <v>#N/A</v>
      </c>
      <c r="BB97" s="412" t="s">
        <v>1168</v>
      </c>
      <c r="BC97" s="407" t="str">
        <f t="shared" ca="1" si="40"/>
        <v/>
      </c>
      <c r="BD97" s="410"/>
      <c r="BE97" s="410"/>
    </row>
    <row r="98" spans="3:57" x14ac:dyDescent="0.25">
      <c r="C98" s="406">
        <f t="shared" si="41"/>
        <v>96</v>
      </c>
      <c r="D98" s="406" t="e">
        <f t="shared" ca="1" si="52"/>
        <v>#N/A</v>
      </c>
      <c r="E98" s="406" t="e">
        <f t="shared" ca="1" si="52"/>
        <v>#N/A</v>
      </c>
      <c r="F98" s="406" t="e">
        <f t="shared" ca="1" si="52"/>
        <v>#N/A</v>
      </c>
      <c r="G98" s="406" t="e">
        <f t="shared" ca="1" si="52"/>
        <v>#N/A</v>
      </c>
      <c r="H98" s="406" t="e">
        <f t="shared" ca="1" si="52"/>
        <v>#N/A</v>
      </c>
      <c r="I98" s="406" t="e">
        <f t="shared" ca="1" si="52"/>
        <v>#N/A</v>
      </c>
      <c r="J98" s="406" t="e">
        <f t="shared" ca="1" si="52"/>
        <v>#N/A</v>
      </c>
      <c r="K98" s="406" t="e">
        <f t="shared" ca="1" si="52"/>
        <v>#N/A</v>
      </c>
      <c r="L98" s="406" t="e">
        <f t="shared" ca="1" si="52"/>
        <v>#N/A</v>
      </c>
      <c r="M98" s="406" t="e">
        <f t="shared" ca="1" si="52"/>
        <v>#N/A</v>
      </c>
      <c r="N98" s="406" t="e">
        <f t="shared" ca="1" si="53"/>
        <v>#N/A</v>
      </c>
      <c r="O98" s="406" t="e">
        <f t="shared" ca="1" si="53"/>
        <v>#N/A</v>
      </c>
      <c r="P98" s="406" t="e">
        <f t="shared" ca="1" si="53"/>
        <v>#N/A</v>
      </c>
      <c r="Q98" s="406" t="e">
        <f t="shared" ca="1" si="53"/>
        <v>#N/A</v>
      </c>
      <c r="R98" s="406" t="e">
        <f t="shared" ca="1" si="53"/>
        <v>#N/A</v>
      </c>
      <c r="S98" s="406" t="e">
        <f t="shared" ca="1" si="53"/>
        <v>#N/A</v>
      </c>
      <c r="T98" s="406" t="e">
        <f t="shared" ca="1" si="53"/>
        <v>#N/A</v>
      </c>
      <c r="U98" s="406" t="e">
        <f t="shared" ca="1" si="53"/>
        <v>#N/A</v>
      </c>
      <c r="V98" s="406" t="e">
        <f t="shared" ca="1" si="53"/>
        <v>#N/A</v>
      </c>
      <c r="W98" s="406" t="e">
        <f t="shared" ca="1" si="53"/>
        <v>#N/A</v>
      </c>
      <c r="X98" s="406" t="e">
        <f t="shared" ca="1" si="54"/>
        <v>#N/A</v>
      </c>
      <c r="Y98" s="406" t="e">
        <f t="shared" ca="1" si="54"/>
        <v>#N/A</v>
      </c>
      <c r="Z98" s="406" t="e">
        <f t="shared" ca="1" si="54"/>
        <v>#N/A</v>
      </c>
      <c r="AA98" s="406" t="e">
        <f t="shared" ca="1" si="54"/>
        <v>#N/A</v>
      </c>
      <c r="AB98" s="406" t="e">
        <f t="shared" ca="1" si="54"/>
        <v>#N/A</v>
      </c>
      <c r="AC98" s="406" t="e">
        <f t="shared" ca="1" si="54"/>
        <v>#N/A</v>
      </c>
      <c r="AD98" s="406" t="e">
        <f t="shared" ca="1" si="54"/>
        <v>#N/A</v>
      </c>
      <c r="AE98" s="406" t="e">
        <f t="shared" ca="1" si="54"/>
        <v>#N/A</v>
      </c>
      <c r="AF98" s="406" t="e">
        <f t="shared" ca="1" si="54"/>
        <v>#N/A</v>
      </c>
      <c r="AG98" s="406" t="e">
        <f t="shared" ca="1" si="54"/>
        <v>#N/A</v>
      </c>
      <c r="AH98" s="406" t="e">
        <f t="shared" ca="1" si="55"/>
        <v>#N/A</v>
      </c>
      <c r="AI98" s="406" t="e">
        <f t="shared" ca="1" si="55"/>
        <v>#N/A</v>
      </c>
      <c r="AJ98" s="406" t="e">
        <f t="shared" ca="1" si="55"/>
        <v>#N/A</v>
      </c>
      <c r="AK98" s="406" t="e">
        <f t="shared" ca="1" si="55"/>
        <v>#N/A</v>
      </c>
      <c r="AL98" s="406" t="e">
        <f t="shared" ca="1" si="55"/>
        <v>#N/A</v>
      </c>
      <c r="AM98" s="406" t="e">
        <f t="shared" ca="1" si="55"/>
        <v>#N/A</v>
      </c>
      <c r="AN98" s="406" t="e">
        <f t="shared" ca="1" si="55"/>
        <v>#N/A</v>
      </c>
      <c r="AO98" s="406" t="e">
        <f t="shared" ca="1" si="55"/>
        <v>#N/A</v>
      </c>
      <c r="AP98" s="406" t="e">
        <f t="shared" ca="1" si="55"/>
        <v>#N/A</v>
      </c>
      <c r="AQ98" s="406" t="e">
        <f t="shared" ca="1" si="55"/>
        <v>#N/A</v>
      </c>
      <c r="AR98" s="406" t="e">
        <f t="shared" ca="1" si="56"/>
        <v>#N/A</v>
      </c>
      <c r="AS98" s="406" t="e">
        <f t="shared" ca="1" si="56"/>
        <v>#N/A</v>
      </c>
      <c r="AT98" s="406" t="e">
        <f t="shared" ca="1" si="56"/>
        <v>#N/A</v>
      </c>
      <c r="AU98" s="406" t="e">
        <f t="shared" ca="1" si="56"/>
        <v>#N/A</v>
      </c>
      <c r="AV98" s="406" t="e">
        <f t="shared" ca="1" si="56"/>
        <v>#N/A</v>
      </c>
      <c r="AW98" s="406" t="e">
        <f t="shared" ca="1" si="56"/>
        <v>#N/A</v>
      </c>
      <c r="AX98" s="406" t="e">
        <f t="shared" ca="1" si="56"/>
        <v>#N/A</v>
      </c>
      <c r="AY98" s="406" t="e">
        <f t="shared" ca="1" si="56"/>
        <v>#N/A</v>
      </c>
      <c r="AZ98" s="406" t="e">
        <f t="shared" ca="1" si="56"/>
        <v>#N/A</v>
      </c>
      <c r="BA98" s="406" t="e">
        <f t="shared" ca="1" si="56"/>
        <v>#N/A</v>
      </c>
      <c r="BB98" s="412" t="s">
        <v>1169</v>
      </c>
      <c r="BC98" s="407" t="str">
        <f t="shared" ca="1" si="40"/>
        <v/>
      </c>
      <c r="BD98" s="410"/>
      <c r="BE98" s="410"/>
    </row>
    <row r="99" spans="3:57" x14ac:dyDescent="0.25">
      <c r="C99" s="406">
        <f t="shared" si="41"/>
        <v>97</v>
      </c>
      <c r="D99" s="406" t="e">
        <f t="shared" ca="1" si="52"/>
        <v>#N/A</v>
      </c>
      <c r="E99" s="406" t="e">
        <f t="shared" ca="1" si="52"/>
        <v>#N/A</v>
      </c>
      <c r="F99" s="406" t="e">
        <f t="shared" ca="1" si="52"/>
        <v>#N/A</v>
      </c>
      <c r="G99" s="406" t="e">
        <f t="shared" ca="1" si="52"/>
        <v>#N/A</v>
      </c>
      <c r="H99" s="406" t="e">
        <f t="shared" ca="1" si="52"/>
        <v>#N/A</v>
      </c>
      <c r="I99" s="406" t="e">
        <f t="shared" ca="1" si="52"/>
        <v>#N/A</v>
      </c>
      <c r="J99" s="406" t="e">
        <f t="shared" ca="1" si="52"/>
        <v>#N/A</v>
      </c>
      <c r="K99" s="406" t="e">
        <f t="shared" ca="1" si="52"/>
        <v>#N/A</v>
      </c>
      <c r="L99" s="406" t="e">
        <f t="shared" ca="1" si="52"/>
        <v>#N/A</v>
      </c>
      <c r="M99" s="406" t="e">
        <f t="shared" ca="1" si="52"/>
        <v>#N/A</v>
      </c>
      <c r="N99" s="406" t="e">
        <f t="shared" ca="1" si="53"/>
        <v>#N/A</v>
      </c>
      <c r="O99" s="406" t="e">
        <f t="shared" ca="1" si="53"/>
        <v>#N/A</v>
      </c>
      <c r="P99" s="406" t="e">
        <f t="shared" ca="1" si="53"/>
        <v>#N/A</v>
      </c>
      <c r="Q99" s="406" t="e">
        <f t="shared" ca="1" si="53"/>
        <v>#N/A</v>
      </c>
      <c r="R99" s="406" t="e">
        <f t="shared" ca="1" si="53"/>
        <v>#N/A</v>
      </c>
      <c r="S99" s="406" t="e">
        <f t="shared" ca="1" si="53"/>
        <v>#N/A</v>
      </c>
      <c r="T99" s="406" t="e">
        <f t="shared" ca="1" si="53"/>
        <v>#N/A</v>
      </c>
      <c r="U99" s="406" t="e">
        <f t="shared" ca="1" si="53"/>
        <v>#N/A</v>
      </c>
      <c r="V99" s="406" t="e">
        <f t="shared" ca="1" si="53"/>
        <v>#N/A</v>
      </c>
      <c r="W99" s="406" t="e">
        <f t="shared" ca="1" si="53"/>
        <v>#N/A</v>
      </c>
      <c r="X99" s="406" t="e">
        <f t="shared" ca="1" si="54"/>
        <v>#N/A</v>
      </c>
      <c r="Y99" s="406" t="e">
        <f t="shared" ca="1" si="54"/>
        <v>#N/A</v>
      </c>
      <c r="Z99" s="406" t="e">
        <f t="shared" ca="1" si="54"/>
        <v>#N/A</v>
      </c>
      <c r="AA99" s="406" t="e">
        <f t="shared" ca="1" si="54"/>
        <v>#N/A</v>
      </c>
      <c r="AB99" s="406" t="e">
        <f t="shared" ca="1" si="54"/>
        <v>#N/A</v>
      </c>
      <c r="AC99" s="406" t="e">
        <f t="shared" ca="1" si="54"/>
        <v>#N/A</v>
      </c>
      <c r="AD99" s="406" t="e">
        <f t="shared" ca="1" si="54"/>
        <v>#N/A</v>
      </c>
      <c r="AE99" s="406" t="e">
        <f t="shared" ca="1" si="54"/>
        <v>#N/A</v>
      </c>
      <c r="AF99" s="406" t="e">
        <f t="shared" ca="1" si="54"/>
        <v>#N/A</v>
      </c>
      <c r="AG99" s="406" t="e">
        <f t="shared" ca="1" si="54"/>
        <v>#N/A</v>
      </c>
      <c r="AH99" s="406" t="e">
        <f t="shared" ca="1" si="55"/>
        <v>#N/A</v>
      </c>
      <c r="AI99" s="406" t="e">
        <f t="shared" ca="1" si="55"/>
        <v>#N/A</v>
      </c>
      <c r="AJ99" s="406" t="e">
        <f t="shared" ca="1" si="55"/>
        <v>#N/A</v>
      </c>
      <c r="AK99" s="406" t="e">
        <f t="shared" ca="1" si="55"/>
        <v>#N/A</v>
      </c>
      <c r="AL99" s="406" t="e">
        <f t="shared" ca="1" si="55"/>
        <v>#N/A</v>
      </c>
      <c r="AM99" s="406" t="e">
        <f t="shared" ca="1" si="55"/>
        <v>#N/A</v>
      </c>
      <c r="AN99" s="406" t="e">
        <f t="shared" ca="1" si="55"/>
        <v>#N/A</v>
      </c>
      <c r="AO99" s="406" t="e">
        <f t="shared" ca="1" si="55"/>
        <v>#N/A</v>
      </c>
      <c r="AP99" s="406" t="e">
        <f t="shared" ca="1" si="55"/>
        <v>#N/A</v>
      </c>
      <c r="AQ99" s="406" t="e">
        <f t="shared" ca="1" si="55"/>
        <v>#N/A</v>
      </c>
      <c r="AR99" s="406" t="e">
        <f t="shared" ca="1" si="56"/>
        <v>#N/A</v>
      </c>
      <c r="AS99" s="406" t="e">
        <f t="shared" ca="1" si="56"/>
        <v>#N/A</v>
      </c>
      <c r="AT99" s="406" t="e">
        <f t="shared" ca="1" si="56"/>
        <v>#N/A</v>
      </c>
      <c r="AU99" s="406" t="e">
        <f t="shared" ca="1" si="56"/>
        <v>#N/A</v>
      </c>
      <c r="AV99" s="406" t="e">
        <f t="shared" ca="1" si="56"/>
        <v>#N/A</v>
      </c>
      <c r="AW99" s="406" t="e">
        <f t="shared" ca="1" si="56"/>
        <v>#N/A</v>
      </c>
      <c r="AX99" s="406" t="e">
        <f t="shared" ca="1" si="56"/>
        <v>#N/A</v>
      </c>
      <c r="AY99" s="406" t="e">
        <f t="shared" ca="1" si="56"/>
        <v>#N/A</v>
      </c>
      <c r="AZ99" s="406" t="e">
        <f t="shared" ca="1" si="56"/>
        <v>#N/A</v>
      </c>
      <c r="BA99" s="406" t="e">
        <f t="shared" ca="1" si="56"/>
        <v>#N/A</v>
      </c>
      <c r="BB99" s="412" t="s">
        <v>1170</v>
      </c>
      <c r="BC99" s="407" t="str">
        <f t="shared" ca="1" si="40"/>
        <v/>
      </c>
      <c r="BD99" s="410"/>
      <c r="BE99" s="410"/>
    </row>
    <row r="100" spans="3:57" x14ac:dyDescent="0.25">
      <c r="C100" s="406">
        <f t="shared" si="41"/>
        <v>98</v>
      </c>
      <c r="D100" s="406" t="e">
        <f t="shared" ca="1" si="52"/>
        <v>#N/A</v>
      </c>
      <c r="E100" s="406" t="e">
        <f t="shared" ca="1" si="52"/>
        <v>#N/A</v>
      </c>
      <c r="F100" s="406" t="e">
        <f t="shared" ca="1" si="52"/>
        <v>#N/A</v>
      </c>
      <c r="G100" s="406" t="e">
        <f t="shared" ca="1" si="52"/>
        <v>#N/A</v>
      </c>
      <c r="H100" s="406" t="e">
        <f t="shared" ca="1" si="52"/>
        <v>#N/A</v>
      </c>
      <c r="I100" s="406" t="e">
        <f t="shared" ca="1" si="52"/>
        <v>#N/A</v>
      </c>
      <c r="J100" s="406" t="e">
        <f t="shared" ca="1" si="52"/>
        <v>#N/A</v>
      </c>
      <c r="K100" s="406" t="e">
        <f t="shared" ca="1" si="52"/>
        <v>#N/A</v>
      </c>
      <c r="L100" s="406" t="e">
        <f t="shared" ca="1" si="52"/>
        <v>#N/A</v>
      </c>
      <c r="M100" s="406" t="e">
        <f t="shared" ca="1" si="52"/>
        <v>#N/A</v>
      </c>
      <c r="N100" s="406" t="e">
        <f t="shared" ca="1" si="53"/>
        <v>#N/A</v>
      </c>
      <c r="O100" s="406" t="e">
        <f t="shared" ca="1" si="53"/>
        <v>#N/A</v>
      </c>
      <c r="P100" s="406" t="e">
        <f t="shared" ca="1" si="53"/>
        <v>#N/A</v>
      </c>
      <c r="Q100" s="406" t="e">
        <f t="shared" ca="1" si="53"/>
        <v>#N/A</v>
      </c>
      <c r="R100" s="406" t="e">
        <f t="shared" ca="1" si="53"/>
        <v>#N/A</v>
      </c>
      <c r="S100" s="406" t="e">
        <f t="shared" ca="1" si="53"/>
        <v>#N/A</v>
      </c>
      <c r="T100" s="406" t="e">
        <f t="shared" ca="1" si="53"/>
        <v>#N/A</v>
      </c>
      <c r="U100" s="406" t="e">
        <f t="shared" ca="1" si="53"/>
        <v>#N/A</v>
      </c>
      <c r="V100" s="406" t="e">
        <f t="shared" ca="1" si="53"/>
        <v>#N/A</v>
      </c>
      <c r="W100" s="406" t="e">
        <f t="shared" ca="1" si="53"/>
        <v>#N/A</v>
      </c>
      <c r="X100" s="406" t="e">
        <f t="shared" ca="1" si="54"/>
        <v>#N/A</v>
      </c>
      <c r="Y100" s="406" t="e">
        <f t="shared" ca="1" si="54"/>
        <v>#N/A</v>
      </c>
      <c r="Z100" s="406" t="e">
        <f t="shared" ca="1" si="54"/>
        <v>#N/A</v>
      </c>
      <c r="AA100" s="406" t="e">
        <f t="shared" ca="1" si="54"/>
        <v>#N/A</v>
      </c>
      <c r="AB100" s="406" t="e">
        <f t="shared" ca="1" si="54"/>
        <v>#N/A</v>
      </c>
      <c r="AC100" s="406" t="e">
        <f t="shared" ca="1" si="54"/>
        <v>#N/A</v>
      </c>
      <c r="AD100" s="406" t="e">
        <f t="shared" ca="1" si="54"/>
        <v>#N/A</v>
      </c>
      <c r="AE100" s="406" t="e">
        <f t="shared" ca="1" si="54"/>
        <v>#N/A</v>
      </c>
      <c r="AF100" s="406" t="e">
        <f t="shared" ca="1" si="54"/>
        <v>#N/A</v>
      </c>
      <c r="AG100" s="406" t="e">
        <f t="shared" ca="1" si="54"/>
        <v>#N/A</v>
      </c>
      <c r="AH100" s="406" t="e">
        <f t="shared" ca="1" si="55"/>
        <v>#N/A</v>
      </c>
      <c r="AI100" s="406" t="e">
        <f t="shared" ca="1" si="55"/>
        <v>#N/A</v>
      </c>
      <c r="AJ100" s="406" t="e">
        <f t="shared" ca="1" si="55"/>
        <v>#N/A</v>
      </c>
      <c r="AK100" s="406" t="e">
        <f t="shared" ca="1" si="55"/>
        <v>#N/A</v>
      </c>
      <c r="AL100" s="406" t="e">
        <f t="shared" ca="1" si="55"/>
        <v>#N/A</v>
      </c>
      <c r="AM100" s="406" t="e">
        <f t="shared" ca="1" si="55"/>
        <v>#N/A</v>
      </c>
      <c r="AN100" s="406" t="e">
        <f t="shared" ca="1" si="55"/>
        <v>#N/A</v>
      </c>
      <c r="AO100" s="406" t="e">
        <f t="shared" ca="1" si="55"/>
        <v>#N/A</v>
      </c>
      <c r="AP100" s="406" t="e">
        <f t="shared" ca="1" si="55"/>
        <v>#N/A</v>
      </c>
      <c r="AQ100" s="406" t="e">
        <f t="shared" ca="1" si="55"/>
        <v>#N/A</v>
      </c>
      <c r="AR100" s="406" t="e">
        <f t="shared" ca="1" si="56"/>
        <v>#N/A</v>
      </c>
      <c r="AS100" s="406" t="e">
        <f t="shared" ca="1" si="56"/>
        <v>#N/A</v>
      </c>
      <c r="AT100" s="406" t="e">
        <f t="shared" ca="1" si="56"/>
        <v>#N/A</v>
      </c>
      <c r="AU100" s="406" t="e">
        <f t="shared" ca="1" si="56"/>
        <v>#N/A</v>
      </c>
      <c r="AV100" s="406" t="e">
        <f t="shared" ca="1" si="56"/>
        <v>#N/A</v>
      </c>
      <c r="AW100" s="406" t="e">
        <f t="shared" ca="1" si="56"/>
        <v>#N/A</v>
      </c>
      <c r="AX100" s="406" t="e">
        <f t="shared" ca="1" si="56"/>
        <v>#N/A</v>
      </c>
      <c r="AY100" s="406" t="e">
        <f t="shared" ca="1" si="56"/>
        <v>#N/A</v>
      </c>
      <c r="AZ100" s="406" t="e">
        <f t="shared" ca="1" si="56"/>
        <v>#N/A</v>
      </c>
      <c r="BA100" s="406" t="e">
        <f t="shared" ca="1" si="56"/>
        <v>#N/A</v>
      </c>
      <c r="BB100" s="412" t="s">
        <v>1171</v>
      </c>
      <c r="BC100" s="407" t="str">
        <f t="shared" ca="1" si="40"/>
        <v/>
      </c>
      <c r="BD100" s="410"/>
      <c r="BE100" s="410"/>
    </row>
    <row r="101" spans="3:57" x14ac:dyDescent="0.25">
      <c r="C101" s="406">
        <f t="shared" si="41"/>
        <v>99</v>
      </c>
      <c r="D101" s="406" t="e">
        <f t="shared" ca="1" si="52"/>
        <v>#N/A</v>
      </c>
      <c r="E101" s="406" t="e">
        <f t="shared" ca="1" si="52"/>
        <v>#N/A</v>
      </c>
      <c r="F101" s="406" t="e">
        <f t="shared" ca="1" si="52"/>
        <v>#N/A</v>
      </c>
      <c r="G101" s="406" t="e">
        <f t="shared" ca="1" si="52"/>
        <v>#N/A</v>
      </c>
      <c r="H101" s="406" t="e">
        <f t="shared" ca="1" si="52"/>
        <v>#N/A</v>
      </c>
      <c r="I101" s="406" t="e">
        <f t="shared" ca="1" si="52"/>
        <v>#N/A</v>
      </c>
      <c r="J101" s="406" t="e">
        <f t="shared" ca="1" si="52"/>
        <v>#N/A</v>
      </c>
      <c r="K101" s="406" t="e">
        <f t="shared" ca="1" si="52"/>
        <v>#N/A</v>
      </c>
      <c r="L101" s="406" t="e">
        <f t="shared" ca="1" si="52"/>
        <v>#N/A</v>
      </c>
      <c r="M101" s="406" t="e">
        <f t="shared" ca="1" si="52"/>
        <v>#N/A</v>
      </c>
      <c r="N101" s="406" t="e">
        <f t="shared" ca="1" si="53"/>
        <v>#N/A</v>
      </c>
      <c r="O101" s="406" t="e">
        <f t="shared" ca="1" si="53"/>
        <v>#N/A</v>
      </c>
      <c r="P101" s="406" t="e">
        <f t="shared" ca="1" si="53"/>
        <v>#N/A</v>
      </c>
      <c r="Q101" s="406" t="e">
        <f t="shared" ca="1" si="53"/>
        <v>#N/A</v>
      </c>
      <c r="R101" s="406" t="e">
        <f t="shared" ca="1" si="53"/>
        <v>#N/A</v>
      </c>
      <c r="S101" s="406" t="e">
        <f t="shared" ca="1" si="53"/>
        <v>#N/A</v>
      </c>
      <c r="T101" s="406" t="e">
        <f t="shared" ca="1" si="53"/>
        <v>#N/A</v>
      </c>
      <c r="U101" s="406" t="e">
        <f t="shared" ca="1" si="53"/>
        <v>#N/A</v>
      </c>
      <c r="V101" s="406" t="e">
        <f t="shared" ca="1" si="53"/>
        <v>#N/A</v>
      </c>
      <c r="W101" s="406" t="e">
        <f t="shared" ca="1" si="53"/>
        <v>#N/A</v>
      </c>
      <c r="X101" s="406" t="e">
        <f t="shared" ca="1" si="54"/>
        <v>#N/A</v>
      </c>
      <c r="Y101" s="406" t="e">
        <f t="shared" ca="1" si="54"/>
        <v>#N/A</v>
      </c>
      <c r="Z101" s="406" t="e">
        <f t="shared" ca="1" si="54"/>
        <v>#N/A</v>
      </c>
      <c r="AA101" s="406" t="e">
        <f t="shared" ca="1" si="54"/>
        <v>#N/A</v>
      </c>
      <c r="AB101" s="406" t="e">
        <f t="shared" ca="1" si="54"/>
        <v>#N/A</v>
      </c>
      <c r="AC101" s="406" t="e">
        <f t="shared" ca="1" si="54"/>
        <v>#N/A</v>
      </c>
      <c r="AD101" s="406" t="e">
        <f t="shared" ca="1" si="54"/>
        <v>#N/A</v>
      </c>
      <c r="AE101" s="406" t="e">
        <f t="shared" ca="1" si="54"/>
        <v>#N/A</v>
      </c>
      <c r="AF101" s="406" t="e">
        <f t="shared" ca="1" si="54"/>
        <v>#N/A</v>
      </c>
      <c r="AG101" s="406" t="e">
        <f t="shared" ca="1" si="54"/>
        <v>#N/A</v>
      </c>
      <c r="AH101" s="406" t="e">
        <f t="shared" ca="1" si="55"/>
        <v>#N/A</v>
      </c>
      <c r="AI101" s="406" t="e">
        <f t="shared" ca="1" si="55"/>
        <v>#N/A</v>
      </c>
      <c r="AJ101" s="406" t="e">
        <f t="shared" ca="1" si="55"/>
        <v>#N/A</v>
      </c>
      <c r="AK101" s="406" t="e">
        <f t="shared" ca="1" si="55"/>
        <v>#N/A</v>
      </c>
      <c r="AL101" s="406" t="e">
        <f t="shared" ca="1" si="55"/>
        <v>#N/A</v>
      </c>
      <c r="AM101" s="406" t="e">
        <f t="shared" ca="1" si="55"/>
        <v>#N/A</v>
      </c>
      <c r="AN101" s="406" t="e">
        <f t="shared" ca="1" si="55"/>
        <v>#N/A</v>
      </c>
      <c r="AO101" s="406" t="e">
        <f t="shared" ca="1" si="55"/>
        <v>#N/A</v>
      </c>
      <c r="AP101" s="406" t="e">
        <f t="shared" ca="1" si="55"/>
        <v>#N/A</v>
      </c>
      <c r="AQ101" s="406" t="e">
        <f t="shared" ca="1" si="55"/>
        <v>#N/A</v>
      </c>
      <c r="AR101" s="406" t="e">
        <f t="shared" ca="1" si="56"/>
        <v>#N/A</v>
      </c>
      <c r="AS101" s="406" t="e">
        <f t="shared" ca="1" si="56"/>
        <v>#N/A</v>
      </c>
      <c r="AT101" s="406" t="e">
        <f t="shared" ca="1" si="56"/>
        <v>#N/A</v>
      </c>
      <c r="AU101" s="406" t="e">
        <f t="shared" ca="1" si="56"/>
        <v>#N/A</v>
      </c>
      <c r="AV101" s="406" t="e">
        <f t="shared" ca="1" si="56"/>
        <v>#N/A</v>
      </c>
      <c r="AW101" s="406" t="e">
        <f t="shared" ca="1" si="56"/>
        <v>#N/A</v>
      </c>
      <c r="AX101" s="406" t="e">
        <f t="shared" ca="1" si="56"/>
        <v>#N/A</v>
      </c>
      <c r="AY101" s="406" t="e">
        <f t="shared" ca="1" si="56"/>
        <v>#N/A</v>
      </c>
      <c r="AZ101" s="406" t="e">
        <f t="shared" ca="1" si="56"/>
        <v>#N/A</v>
      </c>
      <c r="BA101" s="406" t="e">
        <f t="shared" ca="1" si="56"/>
        <v>#N/A</v>
      </c>
      <c r="BB101" s="412" t="s">
        <v>1172</v>
      </c>
      <c r="BC101" s="407" t="str">
        <f t="shared" ca="1" si="40"/>
        <v/>
      </c>
      <c r="BD101" s="410"/>
      <c r="BE101" s="410"/>
    </row>
    <row r="102" spans="3:57" x14ac:dyDescent="0.25">
      <c r="C102" s="406">
        <f t="shared" si="41"/>
        <v>100</v>
      </c>
      <c r="D102" s="406" t="e">
        <f t="shared" ref="D102:M111" ca="1" si="57">TRIM(INDIRECT("'" &amp; "TNX RTF" &amp; "'!" &amp; ADDRESS($A$3+$C102,D$1)))</f>
        <v>#N/A</v>
      </c>
      <c r="E102" s="406" t="e">
        <f t="shared" ca="1" si="57"/>
        <v>#N/A</v>
      </c>
      <c r="F102" s="406" t="e">
        <f t="shared" ca="1" si="57"/>
        <v>#N/A</v>
      </c>
      <c r="G102" s="406" t="e">
        <f t="shared" ca="1" si="57"/>
        <v>#N/A</v>
      </c>
      <c r="H102" s="406" t="e">
        <f t="shared" ca="1" si="57"/>
        <v>#N/A</v>
      </c>
      <c r="I102" s="406" t="e">
        <f t="shared" ca="1" si="57"/>
        <v>#N/A</v>
      </c>
      <c r="J102" s="406" t="e">
        <f t="shared" ca="1" si="57"/>
        <v>#N/A</v>
      </c>
      <c r="K102" s="406" t="e">
        <f t="shared" ca="1" si="57"/>
        <v>#N/A</v>
      </c>
      <c r="L102" s="406" t="e">
        <f t="shared" ca="1" si="57"/>
        <v>#N/A</v>
      </c>
      <c r="M102" s="406" t="e">
        <f t="shared" ca="1" si="57"/>
        <v>#N/A</v>
      </c>
      <c r="N102" s="406" t="e">
        <f t="shared" ref="N102:W111" ca="1" si="58">TRIM(INDIRECT("'" &amp; "TNX RTF" &amp; "'!" &amp; ADDRESS($A$3+$C102,N$1)))</f>
        <v>#N/A</v>
      </c>
      <c r="O102" s="406" t="e">
        <f t="shared" ca="1" si="58"/>
        <v>#N/A</v>
      </c>
      <c r="P102" s="406" t="e">
        <f t="shared" ca="1" si="58"/>
        <v>#N/A</v>
      </c>
      <c r="Q102" s="406" t="e">
        <f t="shared" ca="1" si="58"/>
        <v>#N/A</v>
      </c>
      <c r="R102" s="406" t="e">
        <f t="shared" ca="1" si="58"/>
        <v>#N/A</v>
      </c>
      <c r="S102" s="406" t="e">
        <f t="shared" ca="1" si="58"/>
        <v>#N/A</v>
      </c>
      <c r="T102" s="406" t="e">
        <f t="shared" ca="1" si="58"/>
        <v>#N/A</v>
      </c>
      <c r="U102" s="406" t="e">
        <f t="shared" ca="1" si="58"/>
        <v>#N/A</v>
      </c>
      <c r="V102" s="406" t="e">
        <f t="shared" ca="1" si="58"/>
        <v>#N/A</v>
      </c>
      <c r="W102" s="406" t="e">
        <f t="shared" ca="1" si="58"/>
        <v>#N/A</v>
      </c>
      <c r="X102" s="406" t="e">
        <f t="shared" ref="X102:AG111" ca="1" si="59">TRIM(INDIRECT("'" &amp; "TNX RTF" &amp; "'!" &amp; ADDRESS($A$3+$C102,X$1)))</f>
        <v>#N/A</v>
      </c>
      <c r="Y102" s="406" t="e">
        <f t="shared" ca="1" si="59"/>
        <v>#N/A</v>
      </c>
      <c r="Z102" s="406" t="e">
        <f t="shared" ca="1" si="59"/>
        <v>#N/A</v>
      </c>
      <c r="AA102" s="406" t="e">
        <f t="shared" ca="1" si="59"/>
        <v>#N/A</v>
      </c>
      <c r="AB102" s="406" t="e">
        <f t="shared" ca="1" si="59"/>
        <v>#N/A</v>
      </c>
      <c r="AC102" s="406" t="e">
        <f t="shared" ca="1" si="59"/>
        <v>#N/A</v>
      </c>
      <c r="AD102" s="406" t="e">
        <f t="shared" ca="1" si="59"/>
        <v>#N/A</v>
      </c>
      <c r="AE102" s="406" t="e">
        <f t="shared" ca="1" si="59"/>
        <v>#N/A</v>
      </c>
      <c r="AF102" s="406" t="e">
        <f t="shared" ca="1" si="59"/>
        <v>#N/A</v>
      </c>
      <c r="AG102" s="406" t="e">
        <f t="shared" ca="1" si="59"/>
        <v>#N/A</v>
      </c>
      <c r="AH102" s="406" t="e">
        <f t="shared" ref="AH102:AQ111" ca="1" si="60">TRIM(INDIRECT("'" &amp; "TNX RTF" &amp; "'!" &amp; ADDRESS($A$3+$C102,AH$1)))</f>
        <v>#N/A</v>
      </c>
      <c r="AI102" s="406" t="e">
        <f t="shared" ca="1" si="60"/>
        <v>#N/A</v>
      </c>
      <c r="AJ102" s="406" t="e">
        <f t="shared" ca="1" si="60"/>
        <v>#N/A</v>
      </c>
      <c r="AK102" s="406" t="e">
        <f t="shared" ca="1" si="60"/>
        <v>#N/A</v>
      </c>
      <c r="AL102" s="406" t="e">
        <f t="shared" ca="1" si="60"/>
        <v>#N/A</v>
      </c>
      <c r="AM102" s="406" t="e">
        <f t="shared" ca="1" si="60"/>
        <v>#N/A</v>
      </c>
      <c r="AN102" s="406" t="e">
        <f t="shared" ca="1" si="60"/>
        <v>#N/A</v>
      </c>
      <c r="AO102" s="406" t="e">
        <f t="shared" ca="1" si="60"/>
        <v>#N/A</v>
      </c>
      <c r="AP102" s="406" t="e">
        <f t="shared" ca="1" si="60"/>
        <v>#N/A</v>
      </c>
      <c r="AQ102" s="406" t="e">
        <f t="shared" ca="1" si="60"/>
        <v>#N/A</v>
      </c>
      <c r="AR102" s="406" t="e">
        <f t="shared" ref="AR102:BA111" ca="1" si="61">TRIM(INDIRECT("'" &amp; "TNX RTF" &amp; "'!" &amp; ADDRESS($A$3+$C102,AR$1)))</f>
        <v>#N/A</v>
      </c>
      <c r="AS102" s="406" t="e">
        <f t="shared" ca="1" si="61"/>
        <v>#N/A</v>
      </c>
      <c r="AT102" s="406" t="e">
        <f t="shared" ca="1" si="61"/>
        <v>#N/A</v>
      </c>
      <c r="AU102" s="406" t="e">
        <f t="shared" ca="1" si="61"/>
        <v>#N/A</v>
      </c>
      <c r="AV102" s="406" t="e">
        <f t="shared" ca="1" si="61"/>
        <v>#N/A</v>
      </c>
      <c r="AW102" s="406" t="e">
        <f t="shared" ca="1" si="61"/>
        <v>#N/A</v>
      </c>
      <c r="AX102" s="406" t="e">
        <f t="shared" ca="1" si="61"/>
        <v>#N/A</v>
      </c>
      <c r="AY102" s="406" t="e">
        <f t="shared" ca="1" si="61"/>
        <v>#N/A</v>
      </c>
      <c r="AZ102" s="406" t="e">
        <f t="shared" ca="1" si="61"/>
        <v>#N/A</v>
      </c>
      <c r="BA102" s="406" t="e">
        <f t="shared" ca="1" si="61"/>
        <v>#N/A</v>
      </c>
      <c r="BB102" s="412" t="s">
        <v>1173</v>
      </c>
      <c r="BC102" s="407" t="str">
        <f t="shared" ca="1" si="40"/>
        <v/>
      </c>
      <c r="BD102" s="410"/>
      <c r="BE102" s="410"/>
    </row>
    <row r="103" spans="3:57" x14ac:dyDescent="0.25">
      <c r="C103" s="406">
        <f t="shared" si="41"/>
        <v>101</v>
      </c>
      <c r="D103" s="406" t="e">
        <f t="shared" ca="1" si="57"/>
        <v>#N/A</v>
      </c>
      <c r="E103" s="406" t="e">
        <f t="shared" ca="1" si="57"/>
        <v>#N/A</v>
      </c>
      <c r="F103" s="406" t="e">
        <f t="shared" ca="1" si="57"/>
        <v>#N/A</v>
      </c>
      <c r="G103" s="406" t="e">
        <f t="shared" ca="1" si="57"/>
        <v>#N/A</v>
      </c>
      <c r="H103" s="406" t="e">
        <f t="shared" ca="1" si="57"/>
        <v>#N/A</v>
      </c>
      <c r="I103" s="406" t="e">
        <f t="shared" ca="1" si="57"/>
        <v>#N/A</v>
      </c>
      <c r="J103" s="406" t="e">
        <f t="shared" ca="1" si="57"/>
        <v>#N/A</v>
      </c>
      <c r="K103" s="406" t="e">
        <f t="shared" ca="1" si="57"/>
        <v>#N/A</v>
      </c>
      <c r="L103" s="406" t="e">
        <f t="shared" ca="1" si="57"/>
        <v>#N/A</v>
      </c>
      <c r="M103" s="406" t="e">
        <f t="shared" ca="1" si="57"/>
        <v>#N/A</v>
      </c>
      <c r="N103" s="406" t="e">
        <f t="shared" ca="1" si="58"/>
        <v>#N/A</v>
      </c>
      <c r="O103" s="406" t="e">
        <f t="shared" ca="1" si="58"/>
        <v>#N/A</v>
      </c>
      <c r="P103" s="406" t="e">
        <f t="shared" ca="1" si="58"/>
        <v>#N/A</v>
      </c>
      <c r="Q103" s="406" t="e">
        <f t="shared" ca="1" si="58"/>
        <v>#N/A</v>
      </c>
      <c r="R103" s="406" t="e">
        <f t="shared" ca="1" si="58"/>
        <v>#N/A</v>
      </c>
      <c r="S103" s="406" t="e">
        <f t="shared" ca="1" si="58"/>
        <v>#N/A</v>
      </c>
      <c r="T103" s="406" t="e">
        <f t="shared" ca="1" si="58"/>
        <v>#N/A</v>
      </c>
      <c r="U103" s="406" t="e">
        <f t="shared" ca="1" si="58"/>
        <v>#N/A</v>
      </c>
      <c r="V103" s="406" t="e">
        <f t="shared" ca="1" si="58"/>
        <v>#N/A</v>
      </c>
      <c r="W103" s="406" t="e">
        <f t="shared" ca="1" si="58"/>
        <v>#N/A</v>
      </c>
      <c r="X103" s="406" t="e">
        <f t="shared" ca="1" si="59"/>
        <v>#N/A</v>
      </c>
      <c r="Y103" s="406" t="e">
        <f t="shared" ca="1" si="59"/>
        <v>#N/A</v>
      </c>
      <c r="Z103" s="406" t="e">
        <f t="shared" ca="1" si="59"/>
        <v>#N/A</v>
      </c>
      <c r="AA103" s="406" t="e">
        <f t="shared" ca="1" si="59"/>
        <v>#N/A</v>
      </c>
      <c r="AB103" s="406" t="e">
        <f t="shared" ca="1" si="59"/>
        <v>#N/A</v>
      </c>
      <c r="AC103" s="406" t="e">
        <f t="shared" ca="1" si="59"/>
        <v>#N/A</v>
      </c>
      <c r="AD103" s="406" t="e">
        <f t="shared" ca="1" si="59"/>
        <v>#N/A</v>
      </c>
      <c r="AE103" s="406" t="e">
        <f t="shared" ca="1" si="59"/>
        <v>#N/A</v>
      </c>
      <c r="AF103" s="406" t="e">
        <f t="shared" ca="1" si="59"/>
        <v>#N/A</v>
      </c>
      <c r="AG103" s="406" t="e">
        <f t="shared" ca="1" si="59"/>
        <v>#N/A</v>
      </c>
      <c r="AH103" s="406" t="e">
        <f t="shared" ca="1" si="60"/>
        <v>#N/A</v>
      </c>
      <c r="AI103" s="406" t="e">
        <f t="shared" ca="1" si="60"/>
        <v>#N/A</v>
      </c>
      <c r="AJ103" s="406" t="e">
        <f t="shared" ca="1" si="60"/>
        <v>#N/A</v>
      </c>
      <c r="AK103" s="406" t="e">
        <f t="shared" ca="1" si="60"/>
        <v>#N/A</v>
      </c>
      <c r="AL103" s="406" t="e">
        <f t="shared" ca="1" si="60"/>
        <v>#N/A</v>
      </c>
      <c r="AM103" s="406" t="e">
        <f t="shared" ca="1" si="60"/>
        <v>#N/A</v>
      </c>
      <c r="AN103" s="406" t="e">
        <f t="shared" ca="1" si="60"/>
        <v>#N/A</v>
      </c>
      <c r="AO103" s="406" t="e">
        <f t="shared" ca="1" si="60"/>
        <v>#N/A</v>
      </c>
      <c r="AP103" s="406" t="e">
        <f t="shared" ca="1" si="60"/>
        <v>#N/A</v>
      </c>
      <c r="AQ103" s="406" t="e">
        <f t="shared" ca="1" si="60"/>
        <v>#N/A</v>
      </c>
      <c r="AR103" s="406" t="e">
        <f t="shared" ca="1" si="61"/>
        <v>#N/A</v>
      </c>
      <c r="AS103" s="406" t="e">
        <f t="shared" ca="1" si="61"/>
        <v>#N/A</v>
      </c>
      <c r="AT103" s="406" t="e">
        <f t="shared" ca="1" si="61"/>
        <v>#N/A</v>
      </c>
      <c r="AU103" s="406" t="e">
        <f t="shared" ca="1" si="61"/>
        <v>#N/A</v>
      </c>
      <c r="AV103" s="406" t="e">
        <f t="shared" ca="1" si="61"/>
        <v>#N/A</v>
      </c>
      <c r="AW103" s="406" t="e">
        <f t="shared" ca="1" si="61"/>
        <v>#N/A</v>
      </c>
      <c r="AX103" s="406" t="e">
        <f t="shared" ca="1" si="61"/>
        <v>#N/A</v>
      </c>
      <c r="AY103" s="406" t="e">
        <f t="shared" ca="1" si="61"/>
        <v>#N/A</v>
      </c>
      <c r="AZ103" s="406" t="e">
        <f t="shared" ca="1" si="61"/>
        <v>#N/A</v>
      </c>
      <c r="BA103" s="406" t="e">
        <f t="shared" ca="1" si="61"/>
        <v>#N/A</v>
      </c>
      <c r="BB103" s="412" t="s">
        <v>1174</v>
      </c>
      <c r="BC103" s="407" t="str">
        <f t="shared" ca="1" si="40"/>
        <v/>
      </c>
      <c r="BD103" s="410"/>
      <c r="BE103" s="410"/>
    </row>
    <row r="104" spans="3:57" x14ac:dyDescent="0.25">
      <c r="C104" s="406">
        <f t="shared" si="41"/>
        <v>102</v>
      </c>
      <c r="D104" s="406" t="e">
        <f t="shared" ca="1" si="57"/>
        <v>#N/A</v>
      </c>
      <c r="E104" s="406" t="e">
        <f t="shared" ca="1" si="57"/>
        <v>#N/A</v>
      </c>
      <c r="F104" s="406" t="e">
        <f t="shared" ca="1" si="57"/>
        <v>#N/A</v>
      </c>
      <c r="G104" s="406" t="e">
        <f t="shared" ca="1" si="57"/>
        <v>#N/A</v>
      </c>
      <c r="H104" s="406" t="e">
        <f t="shared" ca="1" si="57"/>
        <v>#N/A</v>
      </c>
      <c r="I104" s="406" t="e">
        <f t="shared" ca="1" si="57"/>
        <v>#N/A</v>
      </c>
      <c r="J104" s="406" t="e">
        <f t="shared" ca="1" si="57"/>
        <v>#N/A</v>
      </c>
      <c r="K104" s="406" t="e">
        <f t="shared" ca="1" si="57"/>
        <v>#N/A</v>
      </c>
      <c r="L104" s="406" t="e">
        <f t="shared" ca="1" si="57"/>
        <v>#N/A</v>
      </c>
      <c r="M104" s="406" t="e">
        <f t="shared" ca="1" si="57"/>
        <v>#N/A</v>
      </c>
      <c r="N104" s="406" t="e">
        <f t="shared" ca="1" si="58"/>
        <v>#N/A</v>
      </c>
      <c r="O104" s="406" t="e">
        <f t="shared" ca="1" si="58"/>
        <v>#N/A</v>
      </c>
      <c r="P104" s="406" t="e">
        <f t="shared" ca="1" si="58"/>
        <v>#N/A</v>
      </c>
      <c r="Q104" s="406" t="e">
        <f t="shared" ca="1" si="58"/>
        <v>#N/A</v>
      </c>
      <c r="R104" s="406" t="e">
        <f t="shared" ca="1" si="58"/>
        <v>#N/A</v>
      </c>
      <c r="S104" s="406" t="e">
        <f t="shared" ca="1" si="58"/>
        <v>#N/A</v>
      </c>
      <c r="T104" s="406" t="e">
        <f t="shared" ca="1" si="58"/>
        <v>#N/A</v>
      </c>
      <c r="U104" s="406" t="e">
        <f t="shared" ca="1" si="58"/>
        <v>#N/A</v>
      </c>
      <c r="V104" s="406" t="e">
        <f t="shared" ca="1" si="58"/>
        <v>#N/A</v>
      </c>
      <c r="W104" s="406" t="e">
        <f t="shared" ca="1" si="58"/>
        <v>#N/A</v>
      </c>
      <c r="X104" s="406" t="e">
        <f t="shared" ca="1" si="59"/>
        <v>#N/A</v>
      </c>
      <c r="Y104" s="406" t="e">
        <f t="shared" ca="1" si="59"/>
        <v>#N/A</v>
      </c>
      <c r="Z104" s="406" t="e">
        <f t="shared" ca="1" si="59"/>
        <v>#N/A</v>
      </c>
      <c r="AA104" s="406" t="e">
        <f t="shared" ca="1" si="59"/>
        <v>#N/A</v>
      </c>
      <c r="AB104" s="406" t="e">
        <f t="shared" ca="1" si="59"/>
        <v>#N/A</v>
      </c>
      <c r="AC104" s="406" t="e">
        <f t="shared" ca="1" si="59"/>
        <v>#N/A</v>
      </c>
      <c r="AD104" s="406" t="e">
        <f t="shared" ca="1" si="59"/>
        <v>#N/A</v>
      </c>
      <c r="AE104" s="406" t="e">
        <f t="shared" ca="1" si="59"/>
        <v>#N/A</v>
      </c>
      <c r="AF104" s="406" t="e">
        <f t="shared" ca="1" si="59"/>
        <v>#N/A</v>
      </c>
      <c r="AG104" s="406" t="e">
        <f t="shared" ca="1" si="59"/>
        <v>#N/A</v>
      </c>
      <c r="AH104" s="406" t="e">
        <f t="shared" ca="1" si="60"/>
        <v>#N/A</v>
      </c>
      <c r="AI104" s="406" t="e">
        <f t="shared" ca="1" si="60"/>
        <v>#N/A</v>
      </c>
      <c r="AJ104" s="406" t="e">
        <f t="shared" ca="1" si="60"/>
        <v>#N/A</v>
      </c>
      <c r="AK104" s="406" t="e">
        <f t="shared" ca="1" si="60"/>
        <v>#N/A</v>
      </c>
      <c r="AL104" s="406" t="e">
        <f t="shared" ca="1" si="60"/>
        <v>#N/A</v>
      </c>
      <c r="AM104" s="406" t="e">
        <f t="shared" ca="1" si="60"/>
        <v>#N/A</v>
      </c>
      <c r="AN104" s="406" t="e">
        <f t="shared" ca="1" si="60"/>
        <v>#N/A</v>
      </c>
      <c r="AO104" s="406" t="e">
        <f t="shared" ca="1" si="60"/>
        <v>#N/A</v>
      </c>
      <c r="AP104" s="406" t="e">
        <f t="shared" ca="1" si="60"/>
        <v>#N/A</v>
      </c>
      <c r="AQ104" s="406" t="e">
        <f t="shared" ca="1" si="60"/>
        <v>#N/A</v>
      </c>
      <c r="AR104" s="406" t="e">
        <f t="shared" ca="1" si="61"/>
        <v>#N/A</v>
      </c>
      <c r="AS104" s="406" t="e">
        <f t="shared" ca="1" si="61"/>
        <v>#N/A</v>
      </c>
      <c r="AT104" s="406" t="e">
        <f t="shared" ca="1" si="61"/>
        <v>#N/A</v>
      </c>
      <c r="AU104" s="406" t="e">
        <f t="shared" ca="1" si="61"/>
        <v>#N/A</v>
      </c>
      <c r="AV104" s="406" t="e">
        <f t="shared" ca="1" si="61"/>
        <v>#N/A</v>
      </c>
      <c r="AW104" s="406" t="e">
        <f t="shared" ca="1" si="61"/>
        <v>#N/A</v>
      </c>
      <c r="AX104" s="406" t="e">
        <f t="shared" ca="1" si="61"/>
        <v>#N/A</v>
      </c>
      <c r="AY104" s="406" t="e">
        <f t="shared" ca="1" si="61"/>
        <v>#N/A</v>
      </c>
      <c r="AZ104" s="406" t="e">
        <f t="shared" ca="1" si="61"/>
        <v>#N/A</v>
      </c>
      <c r="BA104" s="406" t="e">
        <f t="shared" ca="1" si="61"/>
        <v>#N/A</v>
      </c>
      <c r="BB104" s="412" t="s">
        <v>1175</v>
      </c>
      <c r="BC104" s="407" t="str">
        <f t="shared" ca="1" si="40"/>
        <v/>
      </c>
      <c r="BD104" s="410"/>
      <c r="BE104" s="410"/>
    </row>
    <row r="105" spans="3:57" x14ac:dyDescent="0.25">
      <c r="C105" s="406">
        <f t="shared" si="41"/>
        <v>103</v>
      </c>
      <c r="D105" s="406" t="e">
        <f t="shared" ca="1" si="57"/>
        <v>#N/A</v>
      </c>
      <c r="E105" s="406" t="e">
        <f t="shared" ca="1" si="57"/>
        <v>#N/A</v>
      </c>
      <c r="F105" s="406" t="e">
        <f t="shared" ca="1" si="57"/>
        <v>#N/A</v>
      </c>
      <c r="G105" s="406" t="e">
        <f t="shared" ca="1" si="57"/>
        <v>#N/A</v>
      </c>
      <c r="H105" s="406" t="e">
        <f t="shared" ca="1" si="57"/>
        <v>#N/A</v>
      </c>
      <c r="I105" s="406" t="e">
        <f t="shared" ca="1" si="57"/>
        <v>#N/A</v>
      </c>
      <c r="J105" s="406" t="e">
        <f t="shared" ca="1" si="57"/>
        <v>#N/A</v>
      </c>
      <c r="K105" s="406" t="e">
        <f t="shared" ca="1" si="57"/>
        <v>#N/A</v>
      </c>
      <c r="L105" s="406" t="e">
        <f t="shared" ca="1" si="57"/>
        <v>#N/A</v>
      </c>
      <c r="M105" s="406" t="e">
        <f t="shared" ca="1" si="57"/>
        <v>#N/A</v>
      </c>
      <c r="N105" s="406" t="e">
        <f t="shared" ca="1" si="58"/>
        <v>#N/A</v>
      </c>
      <c r="O105" s="406" t="e">
        <f t="shared" ca="1" si="58"/>
        <v>#N/A</v>
      </c>
      <c r="P105" s="406" t="e">
        <f t="shared" ca="1" si="58"/>
        <v>#N/A</v>
      </c>
      <c r="Q105" s="406" t="e">
        <f t="shared" ca="1" si="58"/>
        <v>#N/A</v>
      </c>
      <c r="R105" s="406" t="e">
        <f t="shared" ca="1" si="58"/>
        <v>#N/A</v>
      </c>
      <c r="S105" s="406" t="e">
        <f t="shared" ca="1" si="58"/>
        <v>#N/A</v>
      </c>
      <c r="T105" s="406" t="e">
        <f t="shared" ca="1" si="58"/>
        <v>#N/A</v>
      </c>
      <c r="U105" s="406" t="e">
        <f t="shared" ca="1" si="58"/>
        <v>#N/A</v>
      </c>
      <c r="V105" s="406" t="e">
        <f t="shared" ca="1" si="58"/>
        <v>#N/A</v>
      </c>
      <c r="W105" s="406" t="e">
        <f t="shared" ca="1" si="58"/>
        <v>#N/A</v>
      </c>
      <c r="X105" s="406" t="e">
        <f t="shared" ca="1" si="59"/>
        <v>#N/A</v>
      </c>
      <c r="Y105" s="406" t="e">
        <f t="shared" ca="1" si="59"/>
        <v>#N/A</v>
      </c>
      <c r="Z105" s="406" t="e">
        <f t="shared" ca="1" si="59"/>
        <v>#N/A</v>
      </c>
      <c r="AA105" s="406" t="e">
        <f t="shared" ca="1" si="59"/>
        <v>#N/A</v>
      </c>
      <c r="AB105" s="406" t="e">
        <f t="shared" ca="1" si="59"/>
        <v>#N/A</v>
      </c>
      <c r="AC105" s="406" t="e">
        <f t="shared" ca="1" si="59"/>
        <v>#N/A</v>
      </c>
      <c r="AD105" s="406" t="e">
        <f t="shared" ca="1" si="59"/>
        <v>#N/A</v>
      </c>
      <c r="AE105" s="406" t="e">
        <f t="shared" ca="1" si="59"/>
        <v>#N/A</v>
      </c>
      <c r="AF105" s="406" t="e">
        <f t="shared" ca="1" si="59"/>
        <v>#N/A</v>
      </c>
      <c r="AG105" s="406" t="e">
        <f t="shared" ca="1" si="59"/>
        <v>#N/A</v>
      </c>
      <c r="AH105" s="406" t="e">
        <f t="shared" ca="1" si="60"/>
        <v>#N/A</v>
      </c>
      <c r="AI105" s="406" t="e">
        <f t="shared" ca="1" si="60"/>
        <v>#N/A</v>
      </c>
      <c r="AJ105" s="406" t="e">
        <f t="shared" ca="1" si="60"/>
        <v>#N/A</v>
      </c>
      <c r="AK105" s="406" t="e">
        <f t="shared" ca="1" si="60"/>
        <v>#N/A</v>
      </c>
      <c r="AL105" s="406" t="e">
        <f t="shared" ca="1" si="60"/>
        <v>#N/A</v>
      </c>
      <c r="AM105" s="406" t="e">
        <f t="shared" ca="1" si="60"/>
        <v>#N/A</v>
      </c>
      <c r="AN105" s="406" t="e">
        <f t="shared" ca="1" si="60"/>
        <v>#N/A</v>
      </c>
      <c r="AO105" s="406" t="e">
        <f t="shared" ca="1" si="60"/>
        <v>#N/A</v>
      </c>
      <c r="AP105" s="406" t="e">
        <f t="shared" ca="1" si="60"/>
        <v>#N/A</v>
      </c>
      <c r="AQ105" s="406" t="e">
        <f t="shared" ca="1" si="60"/>
        <v>#N/A</v>
      </c>
      <c r="AR105" s="406" t="e">
        <f t="shared" ca="1" si="61"/>
        <v>#N/A</v>
      </c>
      <c r="AS105" s="406" t="e">
        <f t="shared" ca="1" si="61"/>
        <v>#N/A</v>
      </c>
      <c r="AT105" s="406" t="e">
        <f t="shared" ca="1" si="61"/>
        <v>#N/A</v>
      </c>
      <c r="AU105" s="406" t="e">
        <f t="shared" ca="1" si="61"/>
        <v>#N/A</v>
      </c>
      <c r="AV105" s="406" t="e">
        <f t="shared" ca="1" si="61"/>
        <v>#N/A</v>
      </c>
      <c r="AW105" s="406" t="e">
        <f t="shared" ca="1" si="61"/>
        <v>#N/A</v>
      </c>
      <c r="AX105" s="406" t="e">
        <f t="shared" ca="1" si="61"/>
        <v>#N/A</v>
      </c>
      <c r="AY105" s="406" t="e">
        <f t="shared" ca="1" si="61"/>
        <v>#N/A</v>
      </c>
      <c r="AZ105" s="406" t="e">
        <f t="shared" ca="1" si="61"/>
        <v>#N/A</v>
      </c>
      <c r="BA105" s="406" t="e">
        <f t="shared" ca="1" si="61"/>
        <v>#N/A</v>
      </c>
      <c r="BB105" s="412" t="s">
        <v>1176</v>
      </c>
      <c r="BC105" s="407" t="str">
        <f t="shared" ca="1" si="40"/>
        <v/>
      </c>
      <c r="BD105" s="410"/>
      <c r="BE105" s="410"/>
    </row>
    <row r="106" spans="3:57" x14ac:dyDescent="0.25">
      <c r="C106" s="406">
        <f t="shared" si="41"/>
        <v>104</v>
      </c>
      <c r="D106" s="406" t="e">
        <f t="shared" ca="1" si="57"/>
        <v>#N/A</v>
      </c>
      <c r="E106" s="406" t="e">
        <f t="shared" ca="1" si="57"/>
        <v>#N/A</v>
      </c>
      <c r="F106" s="406" t="e">
        <f t="shared" ca="1" si="57"/>
        <v>#N/A</v>
      </c>
      <c r="G106" s="406" t="e">
        <f t="shared" ca="1" si="57"/>
        <v>#N/A</v>
      </c>
      <c r="H106" s="406" t="e">
        <f t="shared" ca="1" si="57"/>
        <v>#N/A</v>
      </c>
      <c r="I106" s="406" t="e">
        <f t="shared" ca="1" si="57"/>
        <v>#N/A</v>
      </c>
      <c r="J106" s="406" t="e">
        <f t="shared" ca="1" si="57"/>
        <v>#N/A</v>
      </c>
      <c r="K106" s="406" t="e">
        <f t="shared" ca="1" si="57"/>
        <v>#N/A</v>
      </c>
      <c r="L106" s="406" t="e">
        <f t="shared" ca="1" si="57"/>
        <v>#N/A</v>
      </c>
      <c r="M106" s="406" t="e">
        <f t="shared" ca="1" si="57"/>
        <v>#N/A</v>
      </c>
      <c r="N106" s="406" t="e">
        <f t="shared" ca="1" si="58"/>
        <v>#N/A</v>
      </c>
      <c r="O106" s="406" t="e">
        <f t="shared" ca="1" si="58"/>
        <v>#N/A</v>
      </c>
      <c r="P106" s="406" t="e">
        <f t="shared" ca="1" si="58"/>
        <v>#N/A</v>
      </c>
      <c r="Q106" s="406" t="e">
        <f t="shared" ca="1" si="58"/>
        <v>#N/A</v>
      </c>
      <c r="R106" s="406" t="e">
        <f t="shared" ca="1" si="58"/>
        <v>#N/A</v>
      </c>
      <c r="S106" s="406" t="e">
        <f t="shared" ca="1" si="58"/>
        <v>#N/A</v>
      </c>
      <c r="T106" s="406" t="e">
        <f t="shared" ca="1" si="58"/>
        <v>#N/A</v>
      </c>
      <c r="U106" s="406" t="e">
        <f t="shared" ca="1" si="58"/>
        <v>#N/A</v>
      </c>
      <c r="V106" s="406" t="e">
        <f t="shared" ca="1" si="58"/>
        <v>#N/A</v>
      </c>
      <c r="W106" s="406" t="e">
        <f t="shared" ca="1" si="58"/>
        <v>#N/A</v>
      </c>
      <c r="X106" s="406" t="e">
        <f t="shared" ca="1" si="59"/>
        <v>#N/A</v>
      </c>
      <c r="Y106" s="406" t="e">
        <f t="shared" ca="1" si="59"/>
        <v>#N/A</v>
      </c>
      <c r="Z106" s="406" t="e">
        <f t="shared" ca="1" si="59"/>
        <v>#N/A</v>
      </c>
      <c r="AA106" s="406" t="e">
        <f t="shared" ca="1" si="59"/>
        <v>#N/A</v>
      </c>
      <c r="AB106" s="406" t="e">
        <f t="shared" ca="1" si="59"/>
        <v>#N/A</v>
      </c>
      <c r="AC106" s="406" t="e">
        <f t="shared" ca="1" si="59"/>
        <v>#N/A</v>
      </c>
      <c r="AD106" s="406" t="e">
        <f t="shared" ca="1" si="59"/>
        <v>#N/A</v>
      </c>
      <c r="AE106" s="406" t="e">
        <f t="shared" ca="1" si="59"/>
        <v>#N/A</v>
      </c>
      <c r="AF106" s="406" t="e">
        <f t="shared" ca="1" si="59"/>
        <v>#N/A</v>
      </c>
      <c r="AG106" s="406" t="e">
        <f t="shared" ca="1" si="59"/>
        <v>#N/A</v>
      </c>
      <c r="AH106" s="406" t="e">
        <f t="shared" ca="1" si="60"/>
        <v>#N/A</v>
      </c>
      <c r="AI106" s="406" t="e">
        <f t="shared" ca="1" si="60"/>
        <v>#N/A</v>
      </c>
      <c r="AJ106" s="406" t="e">
        <f t="shared" ca="1" si="60"/>
        <v>#N/A</v>
      </c>
      <c r="AK106" s="406" t="e">
        <f t="shared" ca="1" si="60"/>
        <v>#N/A</v>
      </c>
      <c r="AL106" s="406" t="e">
        <f t="shared" ca="1" si="60"/>
        <v>#N/A</v>
      </c>
      <c r="AM106" s="406" t="e">
        <f t="shared" ca="1" si="60"/>
        <v>#N/A</v>
      </c>
      <c r="AN106" s="406" t="e">
        <f t="shared" ca="1" si="60"/>
        <v>#N/A</v>
      </c>
      <c r="AO106" s="406" t="e">
        <f t="shared" ca="1" si="60"/>
        <v>#N/A</v>
      </c>
      <c r="AP106" s="406" t="e">
        <f t="shared" ca="1" si="60"/>
        <v>#N/A</v>
      </c>
      <c r="AQ106" s="406" t="e">
        <f t="shared" ca="1" si="60"/>
        <v>#N/A</v>
      </c>
      <c r="AR106" s="406" t="e">
        <f t="shared" ca="1" si="61"/>
        <v>#N/A</v>
      </c>
      <c r="AS106" s="406" t="e">
        <f t="shared" ca="1" si="61"/>
        <v>#N/A</v>
      </c>
      <c r="AT106" s="406" t="e">
        <f t="shared" ca="1" si="61"/>
        <v>#N/A</v>
      </c>
      <c r="AU106" s="406" t="e">
        <f t="shared" ca="1" si="61"/>
        <v>#N/A</v>
      </c>
      <c r="AV106" s="406" t="e">
        <f t="shared" ca="1" si="61"/>
        <v>#N/A</v>
      </c>
      <c r="AW106" s="406" t="e">
        <f t="shared" ca="1" si="61"/>
        <v>#N/A</v>
      </c>
      <c r="AX106" s="406" t="e">
        <f t="shared" ca="1" si="61"/>
        <v>#N/A</v>
      </c>
      <c r="AY106" s="406" t="e">
        <f t="shared" ca="1" si="61"/>
        <v>#N/A</v>
      </c>
      <c r="AZ106" s="406" t="e">
        <f t="shared" ca="1" si="61"/>
        <v>#N/A</v>
      </c>
      <c r="BA106" s="406" t="e">
        <f t="shared" ca="1" si="61"/>
        <v>#N/A</v>
      </c>
      <c r="BB106" s="412" t="s">
        <v>1177</v>
      </c>
      <c r="BC106" s="407" t="str">
        <f t="shared" ca="1" si="40"/>
        <v/>
      </c>
      <c r="BD106" s="410"/>
      <c r="BE106" s="410"/>
    </row>
    <row r="107" spans="3:57" x14ac:dyDescent="0.25">
      <c r="C107" s="406">
        <f t="shared" si="41"/>
        <v>105</v>
      </c>
      <c r="D107" s="406" t="e">
        <f t="shared" ca="1" si="57"/>
        <v>#N/A</v>
      </c>
      <c r="E107" s="406" t="e">
        <f t="shared" ca="1" si="57"/>
        <v>#N/A</v>
      </c>
      <c r="F107" s="406" t="e">
        <f t="shared" ca="1" si="57"/>
        <v>#N/A</v>
      </c>
      <c r="G107" s="406" t="e">
        <f t="shared" ca="1" si="57"/>
        <v>#N/A</v>
      </c>
      <c r="H107" s="406" t="e">
        <f t="shared" ca="1" si="57"/>
        <v>#N/A</v>
      </c>
      <c r="I107" s="406" t="e">
        <f t="shared" ca="1" si="57"/>
        <v>#N/A</v>
      </c>
      <c r="J107" s="406" t="e">
        <f t="shared" ca="1" si="57"/>
        <v>#N/A</v>
      </c>
      <c r="K107" s="406" t="e">
        <f t="shared" ca="1" si="57"/>
        <v>#N/A</v>
      </c>
      <c r="L107" s="406" t="e">
        <f t="shared" ca="1" si="57"/>
        <v>#N/A</v>
      </c>
      <c r="M107" s="406" t="e">
        <f t="shared" ca="1" si="57"/>
        <v>#N/A</v>
      </c>
      <c r="N107" s="406" t="e">
        <f t="shared" ca="1" si="58"/>
        <v>#N/A</v>
      </c>
      <c r="O107" s="406" t="e">
        <f t="shared" ca="1" si="58"/>
        <v>#N/A</v>
      </c>
      <c r="P107" s="406" t="e">
        <f t="shared" ca="1" si="58"/>
        <v>#N/A</v>
      </c>
      <c r="Q107" s="406" t="e">
        <f t="shared" ca="1" si="58"/>
        <v>#N/A</v>
      </c>
      <c r="R107" s="406" t="e">
        <f t="shared" ca="1" si="58"/>
        <v>#N/A</v>
      </c>
      <c r="S107" s="406" t="e">
        <f t="shared" ca="1" si="58"/>
        <v>#N/A</v>
      </c>
      <c r="T107" s="406" t="e">
        <f t="shared" ca="1" si="58"/>
        <v>#N/A</v>
      </c>
      <c r="U107" s="406" t="e">
        <f t="shared" ca="1" si="58"/>
        <v>#N/A</v>
      </c>
      <c r="V107" s="406" t="e">
        <f t="shared" ca="1" si="58"/>
        <v>#N/A</v>
      </c>
      <c r="W107" s="406" t="e">
        <f t="shared" ca="1" si="58"/>
        <v>#N/A</v>
      </c>
      <c r="X107" s="406" t="e">
        <f t="shared" ca="1" si="59"/>
        <v>#N/A</v>
      </c>
      <c r="Y107" s="406" t="e">
        <f t="shared" ca="1" si="59"/>
        <v>#N/A</v>
      </c>
      <c r="Z107" s="406" t="e">
        <f t="shared" ca="1" si="59"/>
        <v>#N/A</v>
      </c>
      <c r="AA107" s="406" t="e">
        <f t="shared" ca="1" si="59"/>
        <v>#N/A</v>
      </c>
      <c r="AB107" s="406" t="e">
        <f t="shared" ca="1" si="59"/>
        <v>#N/A</v>
      </c>
      <c r="AC107" s="406" t="e">
        <f t="shared" ca="1" si="59"/>
        <v>#N/A</v>
      </c>
      <c r="AD107" s="406" t="e">
        <f t="shared" ca="1" si="59"/>
        <v>#N/A</v>
      </c>
      <c r="AE107" s="406" t="e">
        <f t="shared" ca="1" si="59"/>
        <v>#N/A</v>
      </c>
      <c r="AF107" s="406" t="e">
        <f t="shared" ca="1" si="59"/>
        <v>#N/A</v>
      </c>
      <c r="AG107" s="406" t="e">
        <f t="shared" ca="1" si="59"/>
        <v>#N/A</v>
      </c>
      <c r="AH107" s="406" t="e">
        <f t="shared" ca="1" si="60"/>
        <v>#N/A</v>
      </c>
      <c r="AI107" s="406" t="e">
        <f t="shared" ca="1" si="60"/>
        <v>#N/A</v>
      </c>
      <c r="AJ107" s="406" t="e">
        <f t="shared" ca="1" si="60"/>
        <v>#N/A</v>
      </c>
      <c r="AK107" s="406" t="e">
        <f t="shared" ca="1" si="60"/>
        <v>#N/A</v>
      </c>
      <c r="AL107" s="406" t="e">
        <f t="shared" ca="1" si="60"/>
        <v>#N/A</v>
      </c>
      <c r="AM107" s="406" t="e">
        <f t="shared" ca="1" si="60"/>
        <v>#N/A</v>
      </c>
      <c r="AN107" s="406" t="e">
        <f t="shared" ca="1" si="60"/>
        <v>#N/A</v>
      </c>
      <c r="AO107" s="406" t="e">
        <f t="shared" ca="1" si="60"/>
        <v>#N/A</v>
      </c>
      <c r="AP107" s="406" t="e">
        <f t="shared" ca="1" si="60"/>
        <v>#N/A</v>
      </c>
      <c r="AQ107" s="406" t="e">
        <f t="shared" ca="1" si="60"/>
        <v>#N/A</v>
      </c>
      <c r="AR107" s="406" t="e">
        <f t="shared" ca="1" si="61"/>
        <v>#N/A</v>
      </c>
      <c r="AS107" s="406" t="e">
        <f t="shared" ca="1" si="61"/>
        <v>#N/A</v>
      </c>
      <c r="AT107" s="406" t="e">
        <f t="shared" ca="1" si="61"/>
        <v>#N/A</v>
      </c>
      <c r="AU107" s="406" t="e">
        <f t="shared" ca="1" si="61"/>
        <v>#N/A</v>
      </c>
      <c r="AV107" s="406" t="e">
        <f t="shared" ca="1" si="61"/>
        <v>#N/A</v>
      </c>
      <c r="AW107" s="406" t="e">
        <f t="shared" ca="1" si="61"/>
        <v>#N/A</v>
      </c>
      <c r="AX107" s="406" t="e">
        <f t="shared" ca="1" si="61"/>
        <v>#N/A</v>
      </c>
      <c r="AY107" s="406" t="e">
        <f t="shared" ca="1" si="61"/>
        <v>#N/A</v>
      </c>
      <c r="AZ107" s="406" t="e">
        <f t="shared" ca="1" si="61"/>
        <v>#N/A</v>
      </c>
      <c r="BA107" s="406" t="e">
        <f t="shared" ca="1" si="61"/>
        <v>#N/A</v>
      </c>
      <c r="BB107" s="412" t="s">
        <v>1178</v>
      </c>
      <c r="BC107" s="407" t="str">
        <f t="shared" ca="1" si="40"/>
        <v/>
      </c>
      <c r="BD107" s="410"/>
      <c r="BE107" s="410"/>
    </row>
    <row r="108" spans="3:57" x14ac:dyDescent="0.25">
      <c r="C108" s="406">
        <f t="shared" si="41"/>
        <v>106</v>
      </c>
      <c r="D108" s="406" t="e">
        <f t="shared" ca="1" si="57"/>
        <v>#N/A</v>
      </c>
      <c r="E108" s="406" t="e">
        <f t="shared" ca="1" si="57"/>
        <v>#N/A</v>
      </c>
      <c r="F108" s="406" t="e">
        <f t="shared" ca="1" si="57"/>
        <v>#N/A</v>
      </c>
      <c r="G108" s="406" t="e">
        <f t="shared" ca="1" si="57"/>
        <v>#N/A</v>
      </c>
      <c r="H108" s="406" t="e">
        <f t="shared" ca="1" si="57"/>
        <v>#N/A</v>
      </c>
      <c r="I108" s="406" t="e">
        <f t="shared" ca="1" si="57"/>
        <v>#N/A</v>
      </c>
      <c r="J108" s="406" t="e">
        <f t="shared" ca="1" si="57"/>
        <v>#N/A</v>
      </c>
      <c r="K108" s="406" t="e">
        <f t="shared" ca="1" si="57"/>
        <v>#N/A</v>
      </c>
      <c r="L108" s="406" t="e">
        <f t="shared" ca="1" si="57"/>
        <v>#N/A</v>
      </c>
      <c r="M108" s="406" t="e">
        <f t="shared" ca="1" si="57"/>
        <v>#N/A</v>
      </c>
      <c r="N108" s="406" t="e">
        <f t="shared" ca="1" si="58"/>
        <v>#N/A</v>
      </c>
      <c r="O108" s="406" t="e">
        <f t="shared" ca="1" si="58"/>
        <v>#N/A</v>
      </c>
      <c r="P108" s="406" t="e">
        <f t="shared" ca="1" si="58"/>
        <v>#N/A</v>
      </c>
      <c r="Q108" s="406" t="e">
        <f t="shared" ca="1" si="58"/>
        <v>#N/A</v>
      </c>
      <c r="R108" s="406" t="e">
        <f t="shared" ca="1" si="58"/>
        <v>#N/A</v>
      </c>
      <c r="S108" s="406" t="e">
        <f t="shared" ca="1" si="58"/>
        <v>#N/A</v>
      </c>
      <c r="T108" s="406" t="e">
        <f t="shared" ca="1" si="58"/>
        <v>#N/A</v>
      </c>
      <c r="U108" s="406" t="e">
        <f t="shared" ca="1" si="58"/>
        <v>#N/A</v>
      </c>
      <c r="V108" s="406" t="e">
        <f t="shared" ca="1" si="58"/>
        <v>#N/A</v>
      </c>
      <c r="W108" s="406" t="e">
        <f t="shared" ca="1" si="58"/>
        <v>#N/A</v>
      </c>
      <c r="X108" s="406" t="e">
        <f t="shared" ca="1" si="59"/>
        <v>#N/A</v>
      </c>
      <c r="Y108" s="406" t="e">
        <f t="shared" ca="1" si="59"/>
        <v>#N/A</v>
      </c>
      <c r="Z108" s="406" t="e">
        <f t="shared" ca="1" si="59"/>
        <v>#N/A</v>
      </c>
      <c r="AA108" s="406" t="e">
        <f t="shared" ca="1" si="59"/>
        <v>#N/A</v>
      </c>
      <c r="AB108" s="406" t="e">
        <f t="shared" ca="1" si="59"/>
        <v>#N/A</v>
      </c>
      <c r="AC108" s="406" t="e">
        <f t="shared" ca="1" si="59"/>
        <v>#N/A</v>
      </c>
      <c r="AD108" s="406" t="e">
        <f t="shared" ca="1" si="59"/>
        <v>#N/A</v>
      </c>
      <c r="AE108" s="406" t="e">
        <f t="shared" ca="1" si="59"/>
        <v>#N/A</v>
      </c>
      <c r="AF108" s="406" t="e">
        <f t="shared" ca="1" si="59"/>
        <v>#N/A</v>
      </c>
      <c r="AG108" s="406" t="e">
        <f t="shared" ca="1" si="59"/>
        <v>#N/A</v>
      </c>
      <c r="AH108" s="406" t="e">
        <f t="shared" ca="1" si="60"/>
        <v>#N/A</v>
      </c>
      <c r="AI108" s="406" t="e">
        <f t="shared" ca="1" si="60"/>
        <v>#N/A</v>
      </c>
      <c r="AJ108" s="406" t="e">
        <f t="shared" ca="1" si="60"/>
        <v>#N/A</v>
      </c>
      <c r="AK108" s="406" t="e">
        <f t="shared" ca="1" si="60"/>
        <v>#N/A</v>
      </c>
      <c r="AL108" s="406" t="e">
        <f t="shared" ca="1" si="60"/>
        <v>#N/A</v>
      </c>
      <c r="AM108" s="406" t="e">
        <f t="shared" ca="1" si="60"/>
        <v>#N/A</v>
      </c>
      <c r="AN108" s="406" t="e">
        <f t="shared" ca="1" si="60"/>
        <v>#N/A</v>
      </c>
      <c r="AO108" s="406" t="e">
        <f t="shared" ca="1" si="60"/>
        <v>#N/A</v>
      </c>
      <c r="AP108" s="406" t="e">
        <f t="shared" ca="1" si="60"/>
        <v>#N/A</v>
      </c>
      <c r="AQ108" s="406" t="e">
        <f t="shared" ca="1" si="60"/>
        <v>#N/A</v>
      </c>
      <c r="AR108" s="406" t="e">
        <f t="shared" ca="1" si="61"/>
        <v>#N/A</v>
      </c>
      <c r="AS108" s="406" t="e">
        <f t="shared" ca="1" si="61"/>
        <v>#N/A</v>
      </c>
      <c r="AT108" s="406" t="e">
        <f t="shared" ca="1" si="61"/>
        <v>#N/A</v>
      </c>
      <c r="AU108" s="406" t="e">
        <f t="shared" ca="1" si="61"/>
        <v>#N/A</v>
      </c>
      <c r="AV108" s="406" t="e">
        <f t="shared" ca="1" si="61"/>
        <v>#N/A</v>
      </c>
      <c r="AW108" s="406" t="e">
        <f t="shared" ca="1" si="61"/>
        <v>#N/A</v>
      </c>
      <c r="AX108" s="406" t="e">
        <f t="shared" ca="1" si="61"/>
        <v>#N/A</v>
      </c>
      <c r="AY108" s="406" t="e">
        <f t="shared" ca="1" si="61"/>
        <v>#N/A</v>
      </c>
      <c r="AZ108" s="406" t="e">
        <f t="shared" ca="1" si="61"/>
        <v>#N/A</v>
      </c>
      <c r="BA108" s="406" t="e">
        <f t="shared" ca="1" si="61"/>
        <v>#N/A</v>
      </c>
      <c r="BB108" s="412" t="s">
        <v>1179</v>
      </c>
      <c r="BC108" s="407" t="str">
        <f t="shared" ca="1" si="40"/>
        <v/>
      </c>
      <c r="BD108" s="410"/>
      <c r="BE108" s="410"/>
    </row>
    <row r="109" spans="3:57" x14ac:dyDescent="0.25">
      <c r="C109" s="406">
        <f t="shared" si="41"/>
        <v>107</v>
      </c>
      <c r="D109" s="406" t="e">
        <f t="shared" ca="1" si="57"/>
        <v>#N/A</v>
      </c>
      <c r="E109" s="406" t="e">
        <f t="shared" ca="1" si="57"/>
        <v>#N/A</v>
      </c>
      <c r="F109" s="406" t="e">
        <f t="shared" ca="1" si="57"/>
        <v>#N/A</v>
      </c>
      <c r="G109" s="406" t="e">
        <f t="shared" ca="1" si="57"/>
        <v>#N/A</v>
      </c>
      <c r="H109" s="406" t="e">
        <f t="shared" ca="1" si="57"/>
        <v>#N/A</v>
      </c>
      <c r="I109" s="406" t="e">
        <f t="shared" ca="1" si="57"/>
        <v>#N/A</v>
      </c>
      <c r="J109" s="406" t="e">
        <f t="shared" ca="1" si="57"/>
        <v>#N/A</v>
      </c>
      <c r="K109" s="406" t="e">
        <f t="shared" ca="1" si="57"/>
        <v>#N/A</v>
      </c>
      <c r="L109" s="406" t="e">
        <f t="shared" ca="1" si="57"/>
        <v>#N/A</v>
      </c>
      <c r="M109" s="406" t="e">
        <f t="shared" ca="1" si="57"/>
        <v>#N/A</v>
      </c>
      <c r="N109" s="406" t="e">
        <f t="shared" ca="1" si="58"/>
        <v>#N/A</v>
      </c>
      <c r="O109" s="406" t="e">
        <f t="shared" ca="1" si="58"/>
        <v>#N/A</v>
      </c>
      <c r="P109" s="406" t="e">
        <f t="shared" ca="1" si="58"/>
        <v>#N/A</v>
      </c>
      <c r="Q109" s="406" t="e">
        <f t="shared" ca="1" si="58"/>
        <v>#N/A</v>
      </c>
      <c r="R109" s="406" t="e">
        <f t="shared" ca="1" si="58"/>
        <v>#N/A</v>
      </c>
      <c r="S109" s="406" t="e">
        <f t="shared" ca="1" si="58"/>
        <v>#N/A</v>
      </c>
      <c r="T109" s="406" t="e">
        <f t="shared" ca="1" si="58"/>
        <v>#N/A</v>
      </c>
      <c r="U109" s="406" t="e">
        <f t="shared" ca="1" si="58"/>
        <v>#N/A</v>
      </c>
      <c r="V109" s="406" t="e">
        <f t="shared" ca="1" si="58"/>
        <v>#N/A</v>
      </c>
      <c r="W109" s="406" t="e">
        <f t="shared" ca="1" si="58"/>
        <v>#N/A</v>
      </c>
      <c r="X109" s="406" t="e">
        <f t="shared" ca="1" si="59"/>
        <v>#N/A</v>
      </c>
      <c r="Y109" s="406" t="e">
        <f t="shared" ca="1" si="59"/>
        <v>#N/A</v>
      </c>
      <c r="Z109" s="406" t="e">
        <f t="shared" ca="1" si="59"/>
        <v>#N/A</v>
      </c>
      <c r="AA109" s="406" t="e">
        <f t="shared" ca="1" si="59"/>
        <v>#N/A</v>
      </c>
      <c r="AB109" s="406" t="e">
        <f t="shared" ca="1" si="59"/>
        <v>#N/A</v>
      </c>
      <c r="AC109" s="406" t="e">
        <f t="shared" ca="1" si="59"/>
        <v>#N/A</v>
      </c>
      <c r="AD109" s="406" t="e">
        <f t="shared" ca="1" si="59"/>
        <v>#N/A</v>
      </c>
      <c r="AE109" s="406" t="e">
        <f t="shared" ca="1" si="59"/>
        <v>#N/A</v>
      </c>
      <c r="AF109" s="406" t="e">
        <f t="shared" ca="1" si="59"/>
        <v>#N/A</v>
      </c>
      <c r="AG109" s="406" t="e">
        <f t="shared" ca="1" si="59"/>
        <v>#N/A</v>
      </c>
      <c r="AH109" s="406" t="e">
        <f t="shared" ca="1" si="60"/>
        <v>#N/A</v>
      </c>
      <c r="AI109" s="406" t="e">
        <f t="shared" ca="1" si="60"/>
        <v>#N/A</v>
      </c>
      <c r="AJ109" s="406" t="e">
        <f t="shared" ca="1" si="60"/>
        <v>#N/A</v>
      </c>
      <c r="AK109" s="406" t="e">
        <f t="shared" ca="1" si="60"/>
        <v>#N/A</v>
      </c>
      <c r="AL109" s="406" t="e">
        <f t="shared" ca="1" si="60"/>
        <v>#N/A</v>
      </c>
      <c r="AM109" s="406" t="e">
        <f t="shared" ca="1" si="60"/>
        <v>#N/A</v>
      </c>
      <c r="AN109" s="406" t="e">
        <f t="shared" ca="1" si="60"/>
        <v>#N/A</v>
      </c>
      <c r="AO109" s="406" t="e">
        <f t="shared" ca="1" si="60"/>
        <v>#N/A</v>
      </c>
      <c r="AP109" s="406" t="e">
        <f t="shared" ca="1" si="60"/>
        <v>#N/A</v>
      </c>
      <c r="AQ109" s="406" t="e">
        <f t="shared" ca="1" si="60"/>
        <v>#N/A</v>
      </c>
      <c r="AR109" s="406" t="e">
        <f t="shared" ca="1" si="61"/>
        <v>#N/A</v>
      </c>
      <c r="AS109" s="406" t="e">
        <f t="shared" ca="1" si="61"/>
        <v>#N/A</v>
      </c>
      <c r="AT109" s="406" t="e">
        <f t="shared" ca="1" si="61"/>
        <v>#N/A</v>
      </c>
      <c r="AU109" s="406" t="e">
        <f t="shared" ca="1" si="61"/>
        <v>#N/A</v>
      </c>
      <c r="AV109" s="406" t="e">
        <f t="shared" ca="1" si="61"/>
        <v>#N/A</v>
      </c>
      <c r="AW109" s="406" t="e">
        <f t="shared" ca="1" si="61"/>
        <v>#N/A</v>
      </c>
      <c r="AX109" s="406" t="e">
        <f t="shared" ca="1" si="61"/>
        <v>#N/A</v>
      </c>
      <c r="AY109" s="406" t="e">
        <f t="shared" ca="1" si="61"/>
        <v>#N/A</v>
      </c>
      <c r="AZ109" s="406" t="e">
        <f t="shared" ca="1" si="61"/>
        <v>#N/A</v>
      </c>
      <c r="BA109" s="406" t="e">
        <f t="shared" ca="1" si="61"/>
        <v>#N/A</v>
      </c>
      <c r="BB109" s="412" t="s">
        <v>1180</v>
      </c>
      <c r="BC109" s="407" t="str">
        <f t="shared" ca="1" si="40"/>
        <v/>
      </c>
      <c r="BD109" s="410"/>
      <c r="BE109" s="410"/>
    </row>
    <row r="110" spans="3:57" x14ac:dyDescent="0.25">
      <c r="C110" s="406">
        <f t="shared" si="41"/>
        <v>108</v>
      </c>
      <c r="D110" s="406" t="e">
        <f t="shared" ca="1" si="57"/>
        <v>#N/A</v>
      </c>
      <c r="E110" s="406" t="e">
        <f t="shared" ca="1" si="57"/>
        <v>#N/A</v>
      </c>
      <c r="F110" s="406" t="e">
        <f t="shared" ca="1" si="57"/>
        <v>#N/A</v>
      </c>
      <c r="G110" s="406" t="e">
        <f t="shared" ca="1" si="57"/>
        <v>#N/A</v>
      </c>
      <c r="H110" s="406" t="e">
        <f t="shared" ca="1" si="57"/>
        <v>#N/A</v>
      </c>
      <c r="I110" s="406" t="e">
        <f t="shared" ca="1" si="57"/>
        <v>#N/A</v>
      </c>
      <c r="J110" s="406" t="e">
        <f t="shared" ca="1" si="57"/>
        <v>#N/A</v>
      </c>
      <c r="K110" s="406" t="e">
        <f t="shared" ca="1" si="57"/>
        <v>#N/A</v>
      </c>
      <c r="L110" s="406" t="e">
        <f t="shared" ca="1" si="57"/>
        <v>#N/A</v>
      </c>
      <c r="M110" s="406" t="e">
        <f t="shared" ca="1" si="57"/>
        <v>#N/A</v>
      </c>
      <c r="N110" s="406" t="e">
        <f t="shared" ca="1" si="58"/>
        <v>#N/A</v>
      </c>
      <c r="O110" s="406" t="e">
        <f t="shared" ca="1" si="58"/>
        <v>#N/A</v>
      </c>
      <c r="P110" s="406" t="e">
        <f t="shared" ca="1" si="58"/>
        <v>#N/A</v>
      </c>
      <c r="Q110" s="406" t="e">
        <f t="shared" ca="1" si="58"/>
        <v>#N/A</v>
      </c>
      <c r="R110" s="406" t="e">
        <f t="shared" ca="1" si="58"/>
        <v>#N/A</v>
      </c>
      <c r="S110" s="406" t="e">
        <f t="shared" ca="1" si="58"/>
        <v>#N/A</v>
      </c>
      <c r="T110" s="406" t="e">
        <f t="shared" ca="1" si="58"/>
        <v>#N/A</v>
      </c>
      <c r="U110" s="406" t="e">
        <f t="shared" ca="1" si="58"/>
        <v>#N/A</v>
      </c>
      <c r="V110" s="406" t="e">
        <f t="shared" ca="1" si="58"/>
        <v>#N/A</v>
      </c>
      <c r="W110" s="406" t="e">
        <f t="shared" ca="1" si="58"/>
        <v>#N/A</v>
      </c>
      <c r="X110" s="406" t="e">
        <f t="shared" ca="1" si="59"/>
        <v>#N/A</v>
      </c>
      <c r="Y110" s="406" t="e">
        <f t="shared" ca="1" si="59"/>
        <v>#N/A</v>
      </c>
      <c r="Z110" s="406" t="e">
        <f t="shared" ca="1" si="59"/>
        <v>#N/A</v>
      </c>
      <c r="AA110" s="406" t="e">
        <f t="shared" ca="1" si="59"/>
        <v>#N/A</v>
      </c>
      <c r="AB110" s="406" t="e">
        <f t="shared" ca="1" si="59"/>
        <v>#N/A</v>
      </c>
      <c r="AC110" s="406" t="e">
        <f t="shared" ca="1" si="59"/>
        <v>#N/A</v>
      </c>
      <c r="AD110" s="406" t="e">
        <f t="shared" ca="1" si="59"/>
        <v>#N/A</v>
      </c>
      <c r="AE110" s="406" t="e">
        <f t="shared" ca="1" si="59"/>
        <v>#N/A</v>
      </c>
      <c r="AF110" s="406" t="e">
        <f t="shared" ca="1" si="59"/>
        <v>#N/A</v>
      </c>
      <c r="AG110" s="406" t="e">
        <f t="shared" ca="1" si="59"/>
        <v>#N/A</v>
      </c>
      <c r="AH110" s="406" t="e">
        <f t="shared" ca="1" si="60"/>
        <v>#N/A</v>
      </c>
      <c r="AI110" s="406" t="e">
        <f t="shared" ca="1" si="60"/>
        <v>#N/A</v>
      </c>
      <c r="AJ110" s="406" t="e">
        <f t="shared" ca="1" si="60"/>
        <v>#N/A</v>
      </c>
      <c r="AK110" s="406" t="e">
        <f t="shared" ca="1" si="60"/>
        <v>#N/A</v>
      </c>
      <c r="AL110" s="406" t="e">
        <f t="shared" ca="1" si="60"/>
        <v>#N/A</v>
      </c>
      <c r="AM110" s="406" t="e">
        <f t="shared" ca="1" si="60"/>
        <v>#N/A</v>
      </c>
      <c r="AN110" s="406" t="e">
        <f t="shared" ca="1" si="60"/>
        <v>#N/A</v>
      </c>
      <c r="AO110" s="406" t="e">
        <f t="shared" ca="1" si="60"/>
        <v>#N/A</v>
      </c>
      <c r="AP110" s="406" t="e">
        <f t="shared" ca="1" si="60"/>
        <v>#N/A</v>
      </c>
      <c r="AQ110" s="406" t="e">
        <f t="shared" ca="1" si="60"/>
        <v>#N/A</v>
      </c>
      <c r="AR110" s="406" t="e">
        <f t="shared" ca="1" si="61"/>
        <v>#N/A</v>
      </c>
      <c r="AS110" s="406" t="e">
        <f t="shared" ca="1" si="61"/>
        <v>#N/A</v>
      </c>
      <c r="AT110" s="406" t="e">
        <f t="shared" ca="1" si="61"/>
        <v>#N/A</v>
      </c>
      <c r="AU110" s="406" t="e">
        <f t="shared" ca="1" si="61"/>
        <v>#N/A</v>
      </c>
      <c r="AV110" s="406" t="e">
        <f t="shared" ca="1" si="61"/>
        <v>#N/A</v>
      </c>
      <c r="AW110" s="406" t="e">
        <f t="shared" ca="1" si="61"/>
        <v>#N/A</v>
      </c>
      <c r="AX110" s="406" t="e">
        <f t="shared" ca="1" si="61"/>
        <v>#N/A</v>
      </c>
      <c r="AY110" s="406" t="e">
        <f t="shared" ca="1" si="61"/>
        <v>#N/A</v>
      </c>
      <c r="AZ110" s="406" t="e">
        <f t="shared" ca="1" si="61"/>
        <v>#N/A</v>
      </c>
      <c r="BA110" s="406" t="e">
        <f t="shared" ca="1" si="61"/>
        <v>#N/A</v>
      </c>
      <c r="BB110" s="412" t="s">
        <v>1181</v>
      </c>
      <c r="BC110" s="407" t="str">
        <f t="shared" ca="1" si="40"/>
        <v/>
      </c>
      <c r="BD110" s="410"/>
      <c r="BE110" s="410"/>
    </row>
    <row r="111" spans="3:57" x14ac:dyDescent="0.25">
      <c r="C111" s="406">
        <f t="shared" si="41"/>
        <v>109</v>
      </c>
      <c r="D111" s="406" t="e">
        <f t="shared" ca="1" si="57"/>
        <v>#N/A</v>
      </c>
      <c r="E111" s="406" t="e">
        <f t="shared" ca="1" si="57"/>
        <v>#N/A</v>
      </c>
      <c r="F111" s="406" t="e">
        <f t="shared" ca="1" si="57"/>
        <v>#N/A</v>
      </c>
      <c r="G111" s="406" t="e">
        <f t="shared" ca="1" si="57"/>
        <v>#N/A</v>
      </c>
      <c r="H111" s="406" t="e">
        <f t="shared" ca="1" si="57"/>
        <v>#N/A</v>
      </c>
      <c r="I111" s="406" t="e">
        <f t="shared" ca="1" si="57"/>
        <v>#N/A</v>
      </c>
      <c r="J111" s="406" t="e">
        <f t="shared" ca="1" si="57"/>
        <v>#N/A</v>
      </c>
      <c r="K111" s="406" t="e">
        <f t="shared" ca="1" si="57"/>
        <v>#N/A</v>
      </c>
      <c r="L111" s="406" t="e">
        <f t="shared" ca="1" si="57"/>
        <v>#N/A</v>
      </c>
      <c r="M111" s="406" t="e">
        <f t="shared" ca="1" si="57"/>
        <v>#N/A</v>
      </c>
      <c r="N111" s="406" t="e">
        <f t="shared" ca="1" si="58"/>
        <v>#N/A</v>
      </c>
      <c r="O111" s="406" t="e">
        <f t="shared" ca="1" si="58"/>
        <v>#N/A</v>
      </c>
      <c r="P111" s="406" t="e">
        <f t="shared" ca="1" si="58"/>
        <v>#N/A</v>
      </c>
      <c r="Q111" s="406" t="e">
        <f t="shared" ca="1" si="58"/>
        <v>#N/A</v>
      </c>
      <c r="R111" s="406" t="e">
        <f t="shared" ca="1" si="58"/>
        <v>#N/A</v>
      </c>
      <c r="S111" s="406" t="e">
        <f t="shared" ca="1" si="58"/>
        <v>#N/A</v>
      </c>
      <c r="T111" s="406" t="e">
        <f t="shared" ca="1" si="58"/>
        <v>#N/A</v>
      </c>
      <c r="U111" s="406" t="e">
        <f t="shared" ca="1" si="58"/>
        <v>#N/A</v>
      </c>
      <c r="V111" s="406" t="e">
        <f t="shared" ca="1" si="58"/>
        <v>#N/A</v>
      </c>
      <c r="W111" s="406" t="e">
        <f t="shared" ca="1" si="58"/>
        <v>#N/A</v>
      </c>
      <c r="X111" s="406" t="e">
        <f t="shared" ca="1" si="59"/>
        <v>#N/A</v>
      </c>
      <c r="Y111" s="406" t="e">
        <f t="shared" ca="1" si="59"/>
        <v>#N/A</v>
      </c>
      <c r="Z111" s="406" t="e">
        <f t="shared" ca="1" si="59"/>
        <v>#N/A</v>
      </c>
      <c r="AA111" s="406" t="e">
        <f t="shared" ca="1" si="59"/>
        <v>#N/A</v>
      </c>
      <c r="AB111" s="406" t="e">
        <f t="shared" ca="1" si="59"/>
        <v>#N/A</v>
      </c>
      <c r="AC111" s="406" t="e">
        <f t="shared" ca="1" si="59"/>
        <v>#N/A</v>
      </c>
      <c r="AD111" s="406" t="e">
        <f t="shared" ca="1" si="59"/>
        <v>#N/A</v>
      </c>
      <c r="AE111" s="406" t="e">
        <f t="shared" ca="1" si="59"/>
        <v>#N/A</v>
      </c>
      <c r="AF111" s="406" t="e">
        <f t="shared" ca="1" si="59"/>
        <v>#N/A</v>
      </c>
      <c r="AG111" s="406" t="e">
        <f t="shared" ca="1" si="59"/>
        <v>#N/A</v>
      </c>
      <c r="AH111" s="406" t="e">
        <f t="shared" ca="1" si="60"/>
        <v>#N/A</v>
      </c>
      <c r="AI111" s="406" t="e">
        <f t="shared" ca="1" si="60"/>
        <v>#N/A</v>
      </c>
      <c r="AJ111" s="406" t="e">
        <f t="shared" ca="1" si="60"/>
        <v>#N/A</v>
      </c>
      <c r="AK111" s="406" t="e">
        <f t="shared" ca="1" si="60"/>
        <v>#N/A</v>
      </c>
      <c r="AL111" s="406" t="e">
        <f t="shared" ca="1" si="60"/>
        <v>#N/A</v>
      </c>
      <c r="AM111" s="406" t="e">
        <f t="shared" ca="1" si="60"/>
        <v>#N/A</v>
      </c>
      <c r="AN111" s="406" t="e">
        <f t="shared" ca="1" si="60"/>
        <v>#N/A</v>
      </c>
      <c r="AO111" s="406" t="e">
        <f t="shared" ca="1" si="60"/>
        <v>#N/A</v>
      </c>
      <c r="AP111" s="406" t="e">
        <f t="shared" ca="1" si="60"/>
        <v>#N/A</v>
      </c>
      <c r="AQ111" s="406" t="e">
        <f t="shared" ca="1" si="60"/>
        <v>#N/A</v>
      </c>
      <c r="AR111" s="406" t="e">
        <f t="shared" ca="1" si="61"/>
        <v>#N/A</v>
      </c>
      <c r="AS111" s="406" t="e">
        <f t="shared" ca="1" si="61"/>
        <v>#N/A</v>
      </c>
      <c r="AT111" s="406" t="e">
        <f t="shared" ca="1" si="61"/>
        <v>#N/A</v>
      </c>
      <c r="AU111" s="406" t="e">
        <f t="shared" ca="1" si="61"/>
        <v>#N/A</v>
      </c>
      <c r="AV111" s="406" t="e">
        <f t="shared" ca="1" si="61"/>
        <v>#N/A</v>
      </c>
      <c r="AW111" s="406" t="e">
        <f t="shared" ca="1" si="61"/>
        <v>#N/A</v>
      </c>
      <c r="AX111" s="406" t="e">
        <f t="shared" ca="1" si="61"/>
        <v>#N/A</v>
      </c>
      <c r="AY111" s="406" t="e">
        <f t="shared" ca="1" si="61"/>
        <v>#N/A</v>
      </c>
      <c r="AZ111" s="406" t="e">
        <f t="shared" ca="1" si="61"/>
        <v>#N/A</v>
      </c>
      <c r="BA111" s="406" t="e">
        <f t="shared" ca="1" si="61"/>
        <v>#N/A</v>
      </c>
      <c r="BB111" s="412" t="s">
        <v>1182</v>
      </c>
      <c r="BC111" s="407" t="str">
        <f t="shared" ca="1" si="40"/>
        <v/>
      </c>
      <c r="BD111" s="410"/>
      <c r="BE111" s="410"/>
    </row>
    <row r="112" spans="3:57" x14ac:dyDescent="0.25">
      <c r="C112" s="406">
        <f t="shared" si="41"/>
        <v>110</v>
      </c>
      <c r="D112" s="406" t="e">
        <f t="shared" ref="D112:M121" ca="1" si="62">TRIM(INDIRECT("'" &amp; "TNX RTF" &amp; "'!" &amp; ADDRESS($A$3+$C112,D$1)))</f>
        <v>#N/A</v>
      </c>
      <c r="E112" s="406" t="e">
        <f t="shared" ca="1" si="62"/>
        <v>#N/A</v>
      </c>
      <c r="F112" s="406" t="e">
        <f t="shared" ca="1" si="62"/>
        <v>#N/A</v>
      </c>
      <c r="G112" s="406" t="e">
        <f t="shared" ca="1" si="62"/>
        <v>#N/A</v>
      </c>
      <c r="H112" s="406" t="e">
        <f t="shared" ca="1" si="62"/>
        <v>#N/A</v>
      </c>
      <c r="I112" s="406" t="e">
        <f t="shared" ca="1" si="62"/>
        <v>#N/A</v>
      </c>
      <c r="J112" s="406" t="e">
        <f t="shared" ca="1" si="62"/>
        <v>#N/A</v>
      </c>
      <c r="K112" s="406" t="e">
        <f t="shared" ca="1" si="62"/>
        <v>#N/A</v>
      </c>
      <c r="L112" s="406" t="e">
        <f t="shared" ca="1" si="62"/>
        <v>#N/A</v>
      </c>
      <c r="M112" s="406" t="e">
        <f t="shared" ca="1" si="62"/>
        <v>#N/A</v>
      </c>
      <c r="N112" s="406" t="e">
        <f t="shared" ref="N112:W121" ca="1" si="63">TRIM(INDIRECT("'" &amp; "TNX RTF" &amp; "'!" &amp; ADDRESS($A$3+$C112,N$1)))</f>
        <v>#N/A</v>
      </c>
      <c r="O112" s="406" t="e">
        <f t="shared" ca="1" si="63"/>
        <v>#N/A</v>
      </c>
      <c r="P112" s="406" t="e">
        <f t="shared" ca="1" si="63"/>
        <v>#N/A</v>
      </c>
      <c r="Q112" s="406" t="e">
        <f t="shared" ca="1" si="63"/>
        <v>#N/A</v>
      </c>
      <c r="R112" s="406" t="e">
        <f t="shared" ca="1" si="63"/>
        <v>#N/A</v>
      </c>
      <c r="S112" s="406" t="e">
        <f t="shared" ca="1" si="63"/>
        <v>#N/A</v>
      </c>
      <c r="T112" s="406" t="e">
        <f t="shared" ca="1" si="63"/>
        <v>#N/A</v>
      </c>
      <c r="U112" s="406" t="e">
        <f t="shared" ca="1" si="63"/>
        <v>#N/A</v>
      </c>
      <c r="V112" s="406" t="e">
        <f t="shared" ca="1" si="63"/>
        <v>#N/A</v>
      </c>
      <c r="W112" s="406" t="e">
        <f t="shared" ca="1" si="63"/>
        <v>#N/A</v>
      </c>
      <c r="X112" s="406" t="e">
        <f t="shared" ref="X112:AG121" ca="1" si="64">TRIM(INDIRECT("'" &amp; "TNX RTF" &amp; "'!" &amp; ADDRESS($A$3+$C112,X$1)))</f>
        <v>#N/A</v>
      </c>
      <c r="Y112" s="406" t="e">
        <f t="shared" ca="1" si="64"/>
        <v>#N/A</v>
      </c>
      <c r="Z112" s="406" t="e">
        <f t="shared" ca="1" si="64"/>
        <v>#N/A</v>
      </c>
      <c r="AA112" s="406" t="e">
        <f t="shared" ca="1" si="64"/>
        <v>#N/A</v>
      </c>
      <c r="AB112" s="406" t="e">
        <f t="shared" ca="1" si="64"/>
        <v>#N/A</v>
      </c>
      <c r="AC112" s="406" t="e">
        <f t="shared" ca="1" si="64"/>
        <v>#N/A</v>
      </c>
      <c r="AD112" s="406" t="e">
        <f t="shared" ca="1" si="64"/>
        <v>#N/A</v>
      </c>
      <c r="AE112" s="406" t="e">
        <f t="shared" ca="1" si="64"/>
        <v>#N/A</v>
      </c>
      <c r="AF112" s="406" t="e">
        <f t="shared" ca="1" si="64"/>
        <v>#N/A</v>
      </c>
      <c r="AG112" s="406" t="e">
        <f t="shared" ca="1" si="64"/>
        <v>#N/A</v>
      </c>
      <c r="AH112" s="406" t="e">
        <f t="shared" ref="AH112:AQ121" ca="1" si="65">TRIM(INDIRECT("'" &amp; "TNX RTF" &amp; "'!" &amp; ADDRESS($A$3+$C112,AH$1)))</f>
        <v>#N/A</v>
      </c>
      <c r="AI112" s="406" t="e">
        <f t="shared" ca="1" si="65"/>
        <v>#N/A</v>
      </c>
      <c r="AJ112" s="406" t="e">
        <f t="shared" ca="1" si="65"/>
        <v>#N/A</v>
      </c>
      <c r="AK112" s="406" t="e">
        <f t="shared" ca="1" si="65"/>
        <v>#N/A</v>
      </c>
      <c r="AL112" s="406" t="e">
        <f t="shared" ca="1" si="65"/>
        <v>#N/A</v>
      </c>
      <c r="AM112" s="406" t="e">
        <f t="shared" ca="1" si="65"/>
        <v>#N/A</v>
      </c>
      <c r="AN112" s="406" t="e">
        <f t="shared" ca="1" si="65"/>
        <v>#N/A</v>
      </c>
      <c r="AO112" s="406" t="e">
        <f t="shared" ca="1" si="65"/>
        <v>#N/A</v>
      </c>
      <c r="AP112" s="406" t="e">
        <f t="shared" ca="1" si="65"/>
        <v>#N/A</v>
      </c>
      <c r="AQ112" s="406" t="e">
        <f t="shared" ca="1" si="65"/>
        <v>#N/A</v>
      </c>
      <c r="AR112" s="406" t="e">
        <f t="shared" ref="AR112:BA121" ca="1" si="66">TRIM(INDIRECT("'" &amp; "TNX RTF" &amp; "'!" &amp; ADDRESS($A$3+$C112,AR$1)))</f>
        <v>#N/A</v>
      </c>
      <c r="AS112" s="406" t="e">
        <f t="shared" ca="1" si="66"/>
        <v>#N/A</v>
      </c>
      <c r="AT112" s="406" t="e">
        <f t="shared" ca="1" si="66"/>
        <v>#N/A</v>
      </c>
      <c r="AU112" s="406" t="e">
        <f t="shared" ca="1" si="66"/>
        <v>#N/A</v>
      </c>
      <c r="AV112" s="406" t="e">
        <f t="shared" ca="1" si="66"/>
        <v>#N/A</v>
      </c>
      <c r="AW112" s="406" t="e">
        <f t="shared" ca="1" si="66"/>
        <v>#N/A</v>
      </c>
      <c r="AX112" s="406" t="e">
        <f t="shared" ca="1" si="66"/>
        <v>#N/A</v>
      </c>
      <c r="AY112" s="406" t="e">
        <f t="shared" ca="1" si="66"/>
        <v>#N/A</v>
      </c>
      <c r="AZ112" s="406" t="e">
        <f t="shared" ca="1" si="66"/>
        <v>#N/A</v>
      </c>
      <c r="BA112" s="406" t="e">
        <f t="shared" ca="1" si="66"/>
        <v>#N/A</v>
      </c>
      <c r="BB112" s="412" t="s">
        <v>1183</v>
      </c>
      <c r="BC112" s="407" t="str">
        <f t="shared" ca="1" si="40"/>
        <v/>
      </c>
      <c r="BD112" s="410"/>
      <c r="BE112" s="410"/>
    </row>
    <row r="113" spans="3:57" x14ac:dyDescent="0.25">
      <c r="C113" s="406">
        <f t="shared" si="41"/>
        <v>111</v>
      </c>
      <c r="D113" s="406" t="e">
        <f t="shared" ca="1" si="62"/>
        <v>#N/A</v>
      </c>
      <c r="E113" s="406" t="e">
        <f t="shared" ca="1" si="62"/>
        <v>#N/A</v>
      </c>
      <c r="F113" s="406" t="e">
        <f t="shared" ca="1" si="62"/>
        <v>#N/A</v>
      </c>
      <c r="G113" s="406" t="e">
        <f t="shared" ca="1" si="62"/>
        <v>#N/A</v>
      </c>
      <c r="H113" s="406" t="e">
        <f t="shared" ca="1" si="62"/>
        <v>#N/A</v>
      </c>
      <c r="I113" s="406" t="e">
        <f t="shared" ca="1" si="62"/>
        <v>#N/A</v>
      </c>
      <c r="J113" s="406" t="e">
        <f t="shared" ca="1" si="62"/>
        <v>#N/A</v>
      </c>
      <c r="K113" s="406" t="e">
        <f t="shared" ca="1" si="62"/>
        <v>#N/A</v>
      </c>
      <c r="L113" s="406" t="e">
        <f t="shared" ca="1" si="62"/>
        <v>#N/A</v>
      </c>
      <c r="M113" s="406" t="e">
        <f t="shared" ca="1" si="62"/>
        <v>#N/A</v>
      </c>
      <c r="N113" s="406" t="e">
        <f t="shared" ca="1" si="63"/>
        <v>#N/A</v>
      </c>
      <c r="O113" s="406" t="e">
        <f t="shared" ca="1" si="63"/>
        <v>#N/A</v>
      </c>
      <c r="P113" s="406" t="e">
        <f t="shared" ca="1" si="63"/>
        <v>#N/A</v>
      </c>
      <c r="Q113" s="406" t="e">
        <f t="shared" ca="1" si="63"/>
        <v>#N/A</v>
      </c>
      <c r="R113" s="406" t="e">
        <f t="shared" ca="1" si="63"/>
        <v>#N/A</v>
      </c>
      <c r="S113" s="406" t="e">
        <f t="shared" ca="1" si="63"/>
        <v>#N/A</v>
      </c>
      <c r="T113" s="406" t="e">
        <f t="shared" ca="1" si="63"/>
        <v>#N/A</v>
      </c>
      <c r="U113" s="406" t="e">
        <f t="shared" ca="1" si="63"/>
        <v>#N/A</v>
      </c>
      <c r="V113" s="406" t="e">
        <f t="shared" ca="1" si="63"/>
        <v>#N/A</v>
      </c>
      <c r="W113" s="406" t="e">
        <f t="shared" ca="1" si="63"/>
        <v>#N/A</v>
      </c>
      <c r="X113" s="406" t="e">
        <f t="shared" ca="1" si="64"/>
        <v>#N/A</v>
      </c>
      <c r="Y113" s="406" t="e">
        <f t="shared" ca="1" si="64"/>
        <v>#N/A</v>
      </c>
      <c r="Z113" s="406" t="e">
        <f t="shared" ca="1" si="64"/>
        <v>#N/A</v>
      </c>
      <c r="AA113" s="406" t="e">
        <f t="shared" ca="1" si="64"/>
        <v>#N/A</v>
      </c>
      <c r="AB113" s="406" t="e">
        <f t="shared" ca="1" si="64"/>
        <v>#N/A</v>
      </c>
      <c r="AC113" s="406" t="e">
        <f t="shared" ca="1" si="64"/>
        <v>#N/A</v>
      </c>
      <c r="AD113" s="406" t="e">
        <f t="shared" ca="1" si="64"/>
        <v>#N/A</v>
      </c>
      <c r="AE113" s="406" t="e">
        <f t="shared" ca="1" si="64"/>
        <v>#N/A</v>
      </c>
      <c r="AF113" s="406" t="e">
        <f t="shared" ca="1" si="64"/>
        <v>#N/A</v>
      </c>
      <c r="AG113" s="406" t="e">
        <f t="shared" ca="1" si="64"/>
        <v>#N/A</v>
      </c>
      <c r="AH113" s="406" t="e">
        <f t="shared" ca="1" si="65"/>
        <v>#N/A</v>
      </c>
      <c r="AI113" s="406" t="e">
        <f t="shared" ca="1" si="65"/>
        <v>#N/A</v>
      </c>
      <c r="AJ113" s="406" t="e">
        <f t="shared" ca="1" si="65"/>
        <v>#N/A</v>
      </c>
      <c r="AK113" s="406" t="e">
        <f t="shared" ca="1" si="65"/>
        <v>#N/A</v>
      </c>
      <c r="AL113" s="406" t="e">
        <f t="shared" ca="1" si="65"/>
        <v>#N/A</v>
      </c>
      <c r="AM113" s="406" t="e">
        <f t="shared" ca="1" si="65"/>
        <v>#N/A</v>
      </c>
      <c r="AN113" s="406" t="e">
        <f t="shared" ca="1" si="65"/>
        <v>#N/A</v>
      </c>
      <c r="AO113" s="406" t="e">
        <f t="shared" ca="1" si="65"/>
        <v>#N/A</v>
      </c>
      <c r="AP113" s="406" t="e">
        <f t="shared" ca="1" si="65"/>
        <v>#N/A</v>
      </c>
      <c r="AQ113" s="406" t="e">
        <f t="shared" ca="1" si="65"/>
        <v>#N/A</v>
      </c>
      <c r="AR113" s="406" t="e">
        <f t="shared" ca="1" si="66"/>
        <v>#N/A</v>
      </c>
      <c r="AS113" s="406" t="e">
        <f t="shared" ca="1" si="66"/>
        <v>#N/A</v>
      </c>
      <c r="AT113" s="406" t="e">
        <f t="shared" ca="1" si="66"/>
        <v>#N/A</v>
      </c>
      <c r="AU113" s="406" t="e">
        <f t="shared" ca="1" si="66"/>
        <v>#N/A</v>
      </c>
      <c r="AV113" s="406" t="e">
        <f t="shared" ca="1" si="66"/>
        <v>#N/A</v>
      </c>
      <c r="AW113" s="406" t="e">
        <f t="shared" ca="1" si="66"/>
        <v>#N/A</v>
      </c>
      <c r="AX113" s="406" t="e">
        <f t="shared" ca="1" si="66"/>
        <v>#N/A</v>
      </c>
      <c r="AY113" s="406" t="e">
        <f t="shared" ca="1" si="66"/>
        <v>#N/A</v>
      </c>
      <c r="AZ113" s="406" t="e">
        <f t="shared" ca="1" si="66"/>
        <v>#N/A</v>
      </c>
      <c r="BA113" s="406" t="e">
        <f t="shared" ca="1" si="66"/>
        <v>#N/A</v>
      </c>
      <c r="BB113" s="412" t="s">
        <v>1184</v>
      </c>
      <c r="BC113" s="407" t="str">
        <f t="shared" ca="1" si="40"/>
        <v/>
      </c>
      <c r="BD113" s="410"/>
      <c r="BE113" s="410"/>
    </row>
    <row r="114" spans="3:57" x14ac:dyDescent="0.25">
      <c r="C114" s="406">
        <f t="shared" si="41"/>
        <v>112</v>
      </c>
      <c r="D114" s="406" t="e">
        <f t="shared" ca="1" si="62"/>
        <v>#N/A</v>
      </c>
      <c r="E114" s="406" t="e">
        <f t="shared" ca="1" si="62"/>
        <v>#N/A</v>
      </c>
      <c r="F114" s="406" t="e">
        <f t="shared" ca="1" si="62"/>
        <v>#N/A</v>
      </c>
      <c r="G114" s="406" t="e">
        <f t="shared" ca="1" si="62"/>
        <v>#N/A</v>
      </c>
      <c r="H114" s="406" t="e">
        <f t="shared" ca="1" si="62"/>
        <v>#N/A</v>
      </c>
      <c r="I114" s="406" t="e">
        <f t="shared" ca="1" si="62"/>
        <v>#N/A</v>
      </c>
      <c r="J114" s="406" t="e">
        <f t="shared" ca="1" si="62"/>
        <v>#N/A</v>
      </c>
      <c r="K114" s="406" t="e">
        <f t="shared" ca="1" si="62"/>
        <v>#N/A</v>
      </c>
      <c r="L114" s="406" t="e">
        <f t="shared" ca="1" si="62"/>
        <v>#N/A</v>
      </c>
      <c r="M114" s="406" t="e">
        <f t="shared" ca="1" si="62"/>
        <v>#N/A</v>
      </c>
      <c r="N114" s="406" t="e">
        <f t="shared" ca="1" si="63"/>
        <v>#N/A</v>
      </c>
      <c r="O114" s="406" t="e">
        <f t="shared" ca="1" si="63"/>
        <v>#N/A</v>
      </c>
      <c r="P114" s="406" t="e">
        <f t="shared" ca="1" si="63"/>
        <v>#N/A</v>
      </c>
      <c r="Q114" s="406" t="e">
        <f t="shared" ca="1" si="63"/>
        <v>#N/A</v>
      </c>
      <c r="R114" s="406" t="e">
        <f t="shared" ca="1" si="63"/>
        <v>#N/A</v>
      </c>
      <c r="S114" s="406" t="e">
        <f t="shared" ca="1" si="63"/>
        <v>#N/A</v>
      </c>
      <c r="T114" s="406" t="e">
        <f t="shared" ca="1" si="63"/>
        <v>#N/A</v>
      </c>
      <c r="U114" s="406" t="e">
        <f t="shared" ca="1" si="63"/>
        <v>#N/A</v>
      </c>
      <c r="V114" s="406" t="e">
        <f t="shared" ca="1" si="63"/>
        <v>#N/A</v>
      </c>
      <c r="W114" s="406" t="e">
        <f t="shared" ca="1" si="63"/>
        <v>#N/A</v>
      </c>
      <c r="X114" s="406" t="e">
        <f t="shared" ca="1" si="64"/>
        <v>#N/A</v>
      </c>
      <c r="Y114" s="406" t="e">
        <f t="shared" ca="1" si="64"/>
        <v>#N/A</v>
      </c>
      <c r="Z114" s="406" t="e">
        <f t="shared" ca="1" si="64"/>
        <v>#N/A</v>
      </c>
      <c r="AA114" s="406" t="e">
        <f t="shared" ca="1" si="64"/>
        <v>#N/A</v>
      </c>
      <c r="AB114" s="406" t="e">
        <f t="shared" ca="1" si="64"/>
        <v>#N/A</v>
      </c>
      <c r="AC114" s="406" t="e">
        <f t="shared" ca="1" si="64"/>
        <v>#N/A</v>
      </c>
      <c r="AD114" s="406" t="e">
        <f t="shared" ca="1" si="64"/>
        <v>#N/A</v>
      </c>
      <c r="AE114" s="406" t="e">
        <f t="shared" ca="1" si="64"/>
        <v>#N/A</v>
      </c>
      <c r="AF114" s="406" t="e">
        <f t="shared" ca="1" si="64"/>
        <v>#N/A</v>
      </c>
      <c r="AG114" s="406" t="e">
        <f t="shared" ca="1" si="64"/>
        <v>#N/A</v>
      </c>
      <c r="AH114" s="406" t="e">
        <f t="shared" ca="1" si="65"/>
        <v>#N/A</v>
      </c>
      <c r="AI114" s="406" t="e">
        <f t="shared" ca="1" si="65"/>
        <v>#N/A</v>
      </c>
      <c r="AJ114" s="406" t="e">
        <f t="shared" ca="1" si="65"/>
        <v>#N/A</v>
      </c>
      <c r="AK114" s="406" t="e">
        <f t="shared" ca="1" si="65"/>
        <v>#N/A</v>
      </c>
      <c r="AL114" s="406" t="e">
        <f t="shared" ca="1" si="65"/>
        <v>#N/A</v>
      </c>
      <c r="AM114" s="406" t="e">
        <f t="shared" ca="1" si="65"/>
        <v>#N/A</v>
      </c>
      <c r="AN114" s="406" t="e">
        <f t="shared" ca="1" si="65"/>
        <v>#N/A</v>
      </c>
      <c r="AO114" s="406" t="e">
        <f t="shared" ca="1" si="65"/>
        <v>#N/A</v>
      </c>
      <c r="AP114" s="406" t="e">
        <f t="shared" ca="1" si="65"/>
        <v>#N/A</v>
      </c>
      <c r="AQ114" s="406" t="e">
        <f t="shared" ca="1" si="65"/>
        <v>#N/A</v>
      </c>
      <c r="AR114" s="406" t="e">
        <f t="shared" ca="1" si="66"/>
        <v>#N/A</v>
      </c>
      <c r="AS114" s="406" t="e">
        <f t="shared" ca="1" si="66"/>
        <v>#N/A</v>
      </c>
      <c r="AT114" s="406" t="e">
        <f t="shared" ca="1" si="66"/>
        <v>#N/A</v>
      </c>
      <c r="AU114" s="406" t="e">
        <f t="shared" ca="1" si="66"/>
        <v>#N/A</v>
      </c>
      <c r="AV114" s="406" t="e">
        <f t="shared" ca="1" si="66"/>
        <v>#N/A</v>
      </c>
      <c r="AW114" s="406" t="e">
        <f t="shared" ca="1" si="66"/>
        <v>#N/A</v>
      </c>
      <c r="AX114" s="406" t="e">
        <f t="shared" ca="1" si="66"/>
        <v>#N/A</v>
      </c>
      <c r="AY114" s="406" t="e">
        <f t="shared" ca="1" si="66"/>
        <v>#N/A</v>
      </c>
      <c r="AZ114" s="406" t="e">
        <f t="shared" ca="1" si="66"/>
        <v>#N/A</v>
      </c>
      <c r="BA114" s="406" t="e">
        <f t="shared" ca="1" si="66"/>
        <v>#N/A</v>
      </c>
      <c r="BB114" s="412" t="s">
        <v>1185</v>
      </c>
      <c r="BC114" s="407" t="str">
        <f t="shared" ca="1" si="40"/>
        <v/>
      </c>
      <c r="BD114" s="410"/>
      <c r="BE114" s="410"/>
    </row>
    <row r="115" spans="3:57" x14ac:dyDescent="0.25">
      <c r="C115" s="406">
        <f t="shared" si="41"/>
        <v>113</v>
      </c>
      <c r="D115" s="406" t="e">
        <f t="shared" ca="1" si="62"/>
        <v>#N/A</v>
      </c>
      <c r="E115" s="406" t="e">
        <f t="shared" ca="1" si="62"/>
        <v>#N/A</v>
      </c>
      <c r="F115" s="406" t="e">
        <f t="shared" ca="1" si="62"/>
        <v>#N/A</v>
      </c>
      <c r="G115" s="406" t="e">
        <f t="shared" ca="1" si="62"/>
        <v>#N/A</v>
      </c>
      <c r="H115" s="406" t="e">
        <f t="shared" ca="1" si="62"/>
        <v>#N/A</v>
      </c>
      <c r="I115" s="406" t="e">
        <f t="shared" ca="1" si="62"/>
        <v>#N/A</v>
      </c>
      <c r="J115" s="406" t="e">
        <f t="shared" ca="1" si="62"/>
        <v>#N/A</v>
      </c>
      <c r="K115" s="406" t="e">
        <f t="shared" ca="1" si="62"/>
        <v>#N/A</v>
      </c>
      <c r="L115" s="406" t="e">
        <f t="shared" ca="1" si="62"/>
        <v>#N/A</v>
      </c>
      <c r="M115" s="406" t="e">
        <f t="shared" ca="1" si="62"/>
        <v>#N/A</v>
      </c>
      <c r="N115" s="406" t="e">
        <f t="shared" ca="1" si="63"/>
        <v>#N/A</v>
      </c>
      <c r="O115" s="406" t="e">
        <f t="shared" ca="1" si="63"/>
        <v>#N/A</v>
      </c>
      <c r="P115" s="406" t="e">
        <f t="shared" ca="1" si="63"/>
        <v>#N/A</v>
      </c>
      <c r="Q115" s="406" t="e">
        <f t="shared" ca="1" si="63"/>
        <v>#N/A</v>
      </c>
      <c r="R115" s="406" t="e">
        <f t="shared" ca="1" si="63"/>
        <v>#N/A</v>
      </c>
      <c r="S115" s="406" t="e">
        <f t="shared" ca="1" si="63"/>
        <v>#N/A</v>
      </c>
      <c r="T115" s="406" t="e">
        <f t="shared" ca="1" si="63"/>
        <v>#N/A</v>
      </c>
      <c r="U115" s="406" t="e">
        <f t="shared" ca="1" si="63"/>
        <v>#N/A</v>
      </c>
      <c r="V115" s="406" t="e">
        <f t="shared" ca="1" si="63"/>
        <v>#N/A</v>
      </c>
      <c r="W115" s="406" t="e">
        <f t="shared" ca="1" si="63"/>
        <v>#N/A</v>
      </c>
      <c r="X115" s="406" t="e">
        <f t="shared" ca="1" si="64"/>
        <v>#N/A</v>
      </c>
      <c r="Y115" s="406" t="e">
        <f t="shared" ca="1" si="64"/>
        <v>#N/A</v>
      </c>
      <c r="Z115" s="406" t="e">
        <f t="shared" ca="1" si="64"/>
        <v>#N/A</v>
      </c>
      <c r="AA115" s="406" t="e">
        <f t="shared" ca="1" si="64"/>
        <v>#N/A</v>
      </c>
      <c r="AB115" s="406" t="e">
        <f t="shared" ca="1" si="64"/>
        <v>#N/A</v>
      </c>
      <c r="AC115" s="406" t="e">
        <f t="shared" ca="1" si="64"/>
        <v>#N/A</v>
      </c>
      <c r="AD115" s="406" t="e">
        <f t="shared" ca="1" si="64"/>
        <v>#N/A</v>
      </c>
      <c r="AE115" s="406" t="e">
        <f t="shared" ca="1" si="64"/>
        <v>#N/A</v>
      </c>
      <c r="AF115" s="406" t="e">
        <f t="shared" ca="1" si="64"/>
        <v>#N/A</v>
      </c>
      <c r="AG115" s="406" t="e">
        <f t="shared" ca="1" si="64"/>
        <v>#N/A</v>
      </c>
      <c r="AH115" s="406" t="e">
        <f t="shared" ca="1" si="65"/>
        <v>#N/A</v>
      </c>
      <c r="AI115" s="406" t="e">
        <f t="shared" ca="1" si="65"/>
        <v>#N/A</v>
      </c>
      <c r="AJ115" s="406" t="e">
        <f t="shared" ca="1" si="65"/>
        <v>#N/A</v>
      </c>
      <c r="AK115" s="406" t="e">
        <f t="shared" ca="1" si="65"/>
        <v>#N/A</v>
      </c>
      <c r="AL115" s="406" t="e">
        <f t="shared" ca="1" si="65"/>
        <v>#N/A</v>
      </c>
      <c r="AM115" s="406" t="e">
        <f t="shared" ca="1" si="65"/>
        <v>#N/A</v>
      </c>
      <c r="AN115" s="406" t="e">
        <f t="shared" ca="1" si="65"/>
        <v>#N/A</v>
      </c>
      <c r="AO115" s="406" t="e">
        <f t="shared" ca="1" si="65"/>
        <v>#N/A</v>
      </c>
      <c r="AP115" s="406" t="e">
        <f t="shared" ca="1" si="65"/>
        <v>#N/A</v>
      </c>
      <c r="AQ115" s="406" t="e">
        <f t="shared" ca="1" si="65"/>
        <v>#N/A</v>
      </c>
      <c r="AR115" s="406" t="e">
        <f t="shared" ca="1" si="66"/>
        <v>#N/A</v>
      </c>
      <c r="AS115" s="406" t="e">
        <f t="shared" ca="1" si="66"/>
        <v>#N/A</v>
      </c>
      <c r="AT115" s="406" t="e">
        <f t="shared" ca="1" si="66"/>
        <v>#N/A</v>
      </c>
      <c r="AU115" s="406" t="e">
        <f t="shared" ca="1" si="66"/>
        <v>#N/A</v>
      </c>
      <c r="AV115" s="406" t="e">
        <f t="shared" ca="1" si="66"/>
        <v>#N/A</v>
      </c>
      <c r="AW115" s="406" t="e">
        <f t="shared" ca="1" si="66"/>
        <v>#N/A</v>
      </c>
      <c r="AX115" s="406" t="e">
        <f t="shared" ca="1" si="66"/>
        <v>#N/A</v>
      </c>
      <c r="AY115" s="406" t="e">
        <f t="shared" ca="1" si="66"/>
        <v>#N/A</v>
      </c>
      <c r="AZ115" s="406" t="e">
        <f t="shared" ca="1" si="66"/>
        <v>#N/A</v>
      </c>
      <c r="BA115" s="406" t="e">
        <f t="shared" ca="1" si="66"/>
        <v>#N/A</v>
      </c>
      <c r="BB115" s="412" t="s">
        <v>1186</v>
      </c>
      <c r="BC115" s="407" t="str">
        <f t="shared" ca="1" si="40"/>
        <v/>
      </c>
      <c r="BD115" s="410"/>
      <c r="BE115" s="410"/>
    </row>
    <row r="116" spans="3:57" x14ac:dyDescent="0.25">
      <c r="C116" s="406">
        <f t="shared" si="41"/>
        <v>114</v>
      </c>
      <c r="D116" s="406" t="e">
        <f t="shared" ca="1" si="62"/>
        <v>#N/A</v>
      </c>
      <c r="E116" s="406" t="e">
        <f t="shared" ca="1" si="62"/>
        <v>#N/A</v>
      </c>
      <c r="F116" s="406" t="e">
        <f t="shared" ca="1" si="62"/>
        <v>#N/A</v>
      </c>
      <c r="G116" s="406" t="e">
        <f t="shared" ca="1" si="62"/>
        <v>#N/A</v>
      </c>
      <c r="H116" s="406" t="e">
        <f t="shared" ca="1" si="62"/>
        <v>#N/A</v>
      </c>
      <c r="I116" s="406" t="e">
        <f t="shared" ca="1" si="62"/>
        <v>#N/A</v>
      </c>
      <c r="J116" s="406" t="e">
        <f t="shared" ca="1" si="62"/>
        <v>#N/A</v>
      </c>
      <c r="K116" s="406" t="e">
        <f t="shared" ca="1" si="62"/>
        <v>#N/A</v>
      </c>
      <c r="L116" s="406" t="e">
        <f t="shared" ca="1" si="62"/>
        <v>#N/A</v>
      </c>
      <c r="M116" s="406" t="e">
        <f t="shared" ca="1" si="62"/>
        <v>#N/A</v>
      </c>
      <c r="N116" s="406" t="e">
        <f t="shared" ca="1" si="63"/>
        <v>#N/A</v>
      </c>
      <c r="O116" s="406" t="e">
        <f t="shared" ca="1" si="63"/>
        <v>#N/A</v>
      </c>
      <c r="P116" s="406" t="e">
        <f t="shared" ca="1" si="63"/>
        <v>#N/A</v>
      </c>
      <c r="Q116" s="406" t="e">
        <f t="shared" ca="1" si="63"/>
        <v>#N/A</v>
      </c>
      <c r="R116" s="406" t="e">
        <f t="shared" ca="1" si="63"/>
        <v>#N/A</v>
      </c>
      <c r="S116" s="406" t="e">
        <f t="shared" ca="1" si="63"/>
        <v>#N/A</v>
      </c>
      <c r="T116" s="406" t="e">
        <f t="shared" ca="1" si="63"/>
        <v>#N/A</v>
      </c>
      <c r="U116" s="406" t="e">
        <f t="shared" ca="1" si="63"/>
        <v>#N/A</v>
      </c>
      <c r="V116" s="406" t="e">
        <f t="shared" ca="1" si="63"/>
        <v>#N/A</v>
      </c>
      <c r="W116" s="406" t="e">
        <f t="shared" ca="1" si="63"/>
        <v>#N/A</v>
      </c>
      <c r="X116" s="406" t="e">
        <f t="shared" ca="1" si="64"/>
        <v>#N/A</v>
      </c>
      <c r="Y116" s="406" t="e">
        <f t="shared" ca="1" si="64"/>
        <v>#N/A</v>
      </c>
      <c r="Z116" s="406" t="e">
        <f t="shared" ca="1" si="64"/>
        <v>#N/A</v>
      </c>
      <c r="AA116" s="406" t="e">
        <f t="shared" ca="1" si="64"/>
        <v>#N/A</v>
      </c>
      <c r="AB116" s="406" t="e">
        <f t="shared" ca="1" si="64"/>
        <v>#N/A</v>
      </c>
      <c r="AC116" s="406" t="e">
        <f t="shared" ca="1" si="64"/>
        <v>#N/A</v>
      </c>
      <c r="AD116" s="406" t="e">
        <f t="shared" ca="1" si="64"/>
        <v>#N/A</v>
      </c>
      <c r="AE116" s="406" t="e">
        <f t="shared" ca="1" si="64"/>
        <v>#N/A</v>
      </c>
      <c r="AF116" s="406" t="e">
        <f t="shared" ca="1" si="64"/>
        <v>#N/A</v>
      </c>
      <c r="AG116" s="406" t="e">
        <f t="shared" ca="1" si="64"/>
        <v>#N/A</v>
      </c>
      <c r="AH116" s="406" t="e">
        <f t="shared" ca="1" si="65"/>
        <v>#N/A</v>
      </c>
      <c r="AI116" s="406" t="e">
        <f t="shared" ca="1" si="65"/>
        <v>#N/A</v>
      </c>
      <c r="AJ116" s="406" t="e">
        <f t="shared" ca="1" si="65"/>
        <v>#N/A</v>
      </c>
      <c r="AK116" s="406" t="e">
        <f t="shared" ca="1" si="65"/>
        <v>#N/A</v>
      </c>
      <c r="AL116" s="406" t="e">
        <f t="shared" ca="1" si="65"/>
        <v>#N/A</v>
      </c>
      <c r="AM116" s="406" t="e">
        <f t="shared" ca="1" si="65"/>
        <v>#N/A</v>
      </c>
      <c r="AN116" s="406" t="e">
        <f t="shared" ca="1" si="65"/>
        <v>#N/A</v>
      </c>
      <c r="AO116" s="406" t="e">
        <f t="shared" ca="1" si="65"/>
        <v>#N/A</v>
      </c>
      <c r="AP116" s="406" t="e">
        <f t="shared" ca="1" si="65"/>
        <v>#N/A</v>
      </c>
      <c r="AQ116" s="406" t="e">
        <f t="shared" ca="1" si="65"/>
        <v>#N/A</v>
      </c>
      <c r="AR116" s="406" t="e">
        <f t="shared" ca="1" si="66"/>
        <v>#N/A</v>
      </c>
      <c r="AS116" s="406" t="e">
        <f t="shared" ca="1" si="66"/>
        <v>#N/A</v>
      </c>
      <c r="AT116" s="406" t="e">
        <f t="shared" ca="1" si="66"/>
        <v>#N/A</v>
      </c>
      <c r="AU116" s="406" t="e">
        <f t="shared" ca="1" si="66"/>
        <v>#N/A</v>
      </c>
      <c r="AV116" s="406" t="e">
        <f t="shared" ca="1" si="66"/>
        <v>#N/A</v>
      </c>
      <c r="AW116" s="406" t="e">
        <f t="shared" ca="1" si="66"/>
        <v>#N/A</v>
      </c>
      <c r="AX116" s="406" t="e">
        <f t="shared" ca="1" si="66"/>
        <v>#N/A</v>
      </c>
      <c r="AY116" s="406" t="e">
        <f t="shared" ca="1" si="66"/>
        <v>#N/A</v>
      </c>
      <c r="AZ116" s="406" t="e">
        <f t="shared" ca="1" si="66"/>
        <v>#N/A</v>
      </c>
      <c r="BA116" s="406" t="e">
        <f t="shared" ca="1" si="66"/>
        <v>#N/A</v>
      </c>
      <c r="BB116" s="412" t="s">
        <v>1187</v>
      </c>
      <c r="BC116" s="407" t="str">
        <f t="shared" ca="1" si="40"/>
        <v/>
      </c>
      <c r="BD116" s="410"/>
      <c r="BE116" s="410"/>
    </row>
    <row r="117" spans="3:57" x14ac:dyDescent="0.25">
      <c r="C117" s="406">
        <f t="shared" si="41"/>
        <v>115</v>
      </c>
      <c r="D117" s="406" t="e">
        <f t="shared" ca="1" si="62"/>
        <v>#N/A</v>
      </c>
      <c r="E117" s="406" t="e">
        <f t="shared" ca="1" si="62"/>
        <v>#N/A</v>
      </c>
      <c r="F117" s="406" t="e">
        <f t="shared" ca="1" si="62"/>
        <v>#N/A</v>
      </c>
      <c r="G117" s="406" t="e">
        <f t="shared" ca="1" si="62"/>
        <v>#N/A</v>
      </c>
      <c r="H117" s="406" t="e">
        <f t="shared" ca="1" si="62"/>
        <v>#N/A</v>
      </c>
      <c r="I117" s="406" t="e">
        <f t="shared" ca="1" si="62"/>
        <v>#N/A</v>
      </c>
      <c r="J117" s="406" t="e">
        <f t="shared" ca="1" si="62"/>
        <v>#N/A</v>
      </c>
      <c r="K117" s="406" t="e">
        <f t="shared" ca="1" si="62"/>
        <v>#N/A</v>
      </c>
      <c r="L117" s="406" t="e">
        <f t="shared" ca="1" si="62"/>
        <v>#N/A</v>
      </c>
      <c r="M117" s="406" t="e">
        <f t="shared" ca="1" si="62"/>
        <v>#N/A</v>
      </c>
      <c r="N117" s="406" t="e">
        <f t="shared" ca="1" si="63"/>
        <v>#N/A</v>
      </c>
      <c r="O117" s="406" t="e">
        <f t="shared" ca="1" si="63"/>
        <v>#N/A</v>
      </c>
      <c r="P117" s="406" t="e">
        <f t="shared" ca="1" si="63"/>
        <v>#N/A</v>
      </c>
      <c r="Q117" s="406" t="e">
        <f t="shared" ca="1" si="63"/>
        <v>#N/A</v>
      </c>
      <c r="R117" s="406" t="e">
        <f t="shared" ca="1" si="63"/>
        <v>#N/A</v>
      </c>
      <c r="S117" s="406" t="e">
        <f t="shared" ca="1" si="63"/>
        <v>#N/A</v>
      </c>
      <c r="T117" s="406" t="e">
        <f t="shared" ca="1" si="63"/>
        <v>#N/A</v>
      </c>
      <c r="U117" s="406" t="e">
        <f t="shared" ca="1" si="63"/>
        <v>#N/A</v>
      </c>
      <c r="V117" s="406" t="e">
        <f t="shared" ca="1" si="63"/>
        <v>#N/A</v>
      </c>
      <c r="W117" s="406" t="e">
        <f t="shared" ca="1" si="63"/>
        <v>#N/A</v>
      </c>
      <c r="X117" s="406" t="e">
        <f t="shared" ca="1" si="64"/>
        <v>#N/A</v>
      </c>
      <c r="Y117" s="406" t="e">
        <f t="shared" ca="1" si="64"/>
        <v>#N/A</v>
      </c>
      <c r="Z117" s="406" t="e">
        <f t="shared" ca="1" si="64"/>
        <v>#N/A</v>
      </c>
      <c r="AA117" s="406" t="e">
        <f t="shared" ca="1" si="64"/>
        <v>#N/A</v>
      </c>
      <c r="AB117" s="406" t="e">
        <f t="shared" ca="1" si="64"/>
        <v>#N/A</v>
      </c>
      <c r="AC117" s="406" t="e">
        <f t="shared" ca="1" si="64"/>
        <v>#N/A</v>
      </c>
      <c r="AD117" s="406" t="e">
        <f t="shared" ca="1" si="64"/>
        <v>#N/A</v>
      </c>
      <c r="AE117" s="406" t="e">
        <f t="shared" ca="1" si="64"/>
        <v>#N/A</v>
      </c>
      <c r="AF117" s="406" t="e">
        <f t="shared" ca="1" si="64"/>
        <v>#N/A</v>
      </c>
      <c r="AG117" s="406" t="e">
        <f t="shared" ca="1" si="64"/>
        <v>#N/A</v>
      </c>
      <c r="AH117" s="406" t="e">
        <f t="shared" ca="1" si="65"/>
        <v>#N/A</v>
      </c>
      <c r="AI117" s="406" t="e">
        <f t="shared" ca="1" si="65"/>
        <v>#N/A</v>
      </c>
      <c r="AJ117" s="406" t="e">
        <f t="shared" ca="1" si="65"/>
        <v>#N/A</v>
      </c>
      <c r="AK117" s="406" t="e">
        <f t="shared" ca="1" si="65"/>
        <v>#N/A</v>
      </c>
      <c r="AL117" s="406" t="e">
        <f t="shared" ca="1" si="65"/>
        <v>#N/A</v>
      </c>
      <c r="AM117" s="406" t="e">
        <f t="shared" ca="1" si="65"/>
        <v>#N/A</v>
      </c>
      <c r="AN117" s="406" t="e">
        <f t="shared" ca="1" si="65"/>
        <v>#N/A</v>
      </c>
      <c r="AO117" s="406" t="e">
        <f t="shared" ca="1" si="65"/>
        <v>#N/A</v>
      </c>
      <c r="AP117" s="406" t="e">
        <f t="shared" ca="1" si="65"/>
        <v>#N/A</v>
      </c>
      <c r="AQ117" s="406" t="e">
        <f t="shared" ca="1" si="65"/>
        <v>#N/A</v>
      </c>
      <c r="AR117" s="406" t="e">
        <f t="shared" ca="1" si="66"/>
        <v>#N/A</v>
      </c>
      <c r="AS117" s="406" t="e">
        <f t="shared" ca="1" si="66"/>
        <v>#N/A</v>
      </c>
      <c r="AT117" s="406" t="e">
        <f t="shared" ca="1" si="66"/>
        <v>#N/A</v>
      </c>
      <c r="AU117" s="406" t="e">
        <f t="shared" ca="1" si="66"/>
        <v>#N/A</v>
      </c>
      <c r="AV117" s="406" t="e">
        <f t="shared" ca="1" si="66"/>
        <v>#N/A</v>
      </c>
      <c r="AW117" s="406" t="e">
        <f t="shared" ca="1" si="66"/>
        <v>#N/A</v>
      </c>
      <c r="AX117" s="406" t="e">
        <f t="shared" ca="1" si="66"/>
        <v>#N/A</v>
      </c>
      <c r="AY117" s="406" t="e">
        <f t="shared" ca="1" si="66"/>
        <v>#N/A</v>
      </c>
      <c r="AZ117" s="406" t="e">
        <f t="shared" ca="1" si="66"/>
        <v>#N/A</v>
      </c>
      <c r="BA117" s="406" t="e">
        <f t="shared" ca="1" si="66"/>
        <v>#N/A</v>
      </c>
      <c r="BB117" s="412" t="s">
        <v>1188</v>
      </c>
      <c r="BC117" s="407" t="str">
        <f t="shared" ca="1" si="40"/>
        <v/>
      </c>
      <c r="BD117" s="410"/>
      <c r="BE117" s="410"/>
    </row>
    <row r="118" spans="3:57" x14ac:dyDescent="0.25">
      <c r="C118" s="406">
        <f t="shared" si="41"/>
        <v>116</v>
      </c>
      <c r="D118" s="406" t="e">
        <f t="shared" ca="1" si="62"/>
        <v>#N/A</v>
      </c>
      <c r="E118" s="406" t="e">
        <f t="shared" ca="1" si="62"/>
        <v>#N/A</v>
      </c>
      <c r="F118" s="406" t="e">
        <f t="shared" ca="1" si="62"/>
        <v>#N/A</v>
      </c>
      <c r="G118" s="406" t="e">
        <f t="shared" ca="1" si="62"/>
        <v>#N/A</v>
      </c>
      <c r="H118" s="406" t="e">
        <f t="shared" ca="1" si="62"/>
        <v>#N/A</v>
      </c>
      <c r="I118" s="406" t="e">
        <f t="shared" ca="1" si="62"/>
        <v>#N/A</v>
      </c>
      <c r="J118" s="406" t="e">
        <f t="shared" ca="1" si="62"/>
        <v>#N/A</v>
      </c>
      <c r="K118" s="406" t="e">
        <f t="shared" ca="1" si="62"/>
        <v>#N/A</v>
      </c>
      <c r="L118" s="406" t="e">
        <f t="shared" ca="1" si="62"/>
        <v>#N/A</v>
      </c>
      <c r="M118" s="406" t="e">
        <f t="shared" ca="1" si="62"/>
        <v>#N/A</v>
      </c>
      <c r="N118" s="406" t="e">
        <f t="shared" ca="1" si="63"/>
        <v>#N/A</v>
      </c>
      <c r="O118" s="406" t="e">
        <f t="shared" ca="1" si="63"/>
        <v>#N/A</v>
      </c>
      <c r="P118" s="406" t="e">
        <f t="shared" ca="1" si="63"/>
        <v>#N/A</v>
      </c>
      <c r="Q118" s="406" t="e">
        <f t="shared" ca="1" si="63"/>
        <v>#N/A</v>
      </c>
      <c r="R118" s="406" t="e">
        <f t="shared" ca="1" si="63"/>
        <v>#N/A</v>
      </c>
      <c r="S118" s="406" t="e">
        <f t="shared" ca="1" si="63"/>
        <v>#N/A</v>
      </c>
      <c r="T118" s="406" t="e">
        <f t="shared" ca="1" si="63"/>
        <v>#N/A</v>
      </c>
      <c r="U118" s="406" t="e">
        <f t="shared" ca="1" si="63"/>
        <v>#N/A</v>
      </c>
      <c r="V118" s="406" t="e">
        <f t="shared" ca="1" si="63"/>
        <v>#N/A</v>
      </c>
      <c r="W118" s="406" t="e">
        <f t="shared" ca="1" si="63"/>
        <v>#N/A</v>
      </c>
      <c r="X118" s="406" t="e">
        <f t="shared" ca="1" si="64"/>
        <v>#N/A</v>
      </c>
      <c r="Y118" s="406" t="e">
        <f t="shared" ca="1" si="64"/>
        <v>#N/A</v>
      </c>
      <c r="Z118" s="406" t="e">
        <f t="shared" ca="1" si="64"/>
        <v>#N/A</v>
      </c>
      <c r="AA118" s="406" t="e">
        <f t="shared" ca="1" si="64"/>
        <v>#N/A</v>
      </c>
      <c r="AB118" s="406" t="e">
        <f t="shared" ca="1" si="64"/>
        <v>#N/A</v>
      </c>
      <c r="AC118" s="406" t="e">
        <f t="shared" ca="1" si="64"/>
        <v>#N/A</v>
      </c>
      <c r="AD118" s="406" t="e">
        <f t="shared" ca="1" si="64"/>
        <v>#N/A</v>
      </c>
      <c r="AE118" s="406" t="e">
        <f t="shared" ca="1" si="64"/>
        <v>#N/A</v>
      </c>
      <c r="AF118" s="406" t="e">
        <f t="shared" ca="1" si="64"/>
        <v>#N/A</v>
      </c>
      <c r="AG118" s="406" t="e">
        <f t="shared" ca="1" si="64"/>
        <v>#N/A</v>
      </c>
      <c r="AH118" s="406" t="e">
        <f t="shared" ca="1" si="65"/>
        <v>#N/A</v>
      </c>
      <c r="AI118" s="406" t="e">
        <f t="shared" ca="1" si="65"/>
        <v>#N/A</v>
      </c>
      <c r="AJ118" s="406" t="e">
        <f t="shared" ca="1" si="65"/>
        <v>#N/A</v>
      </c>
      <c r="AK118" s="406" t="e">
        <f t="shared" ca="1" si="65"/>
        <v>#N/A</v>
      </c>
      <c r="AL118" s="406" t="e">
        <f t="shared" ca="1" si="65"/>
        <v>#N/A</v>
      </c>
      <c r="AM118" s="406" t="e">
        <f t="shared" ca="1" si="65"/>
        <v>#N/A</v>
      </c>
      <c r="AN118" s="406" t="e">
        <f t="shared" ca="1" si="65"/>
        <v>#N/A</v>
      </c>
      <c r="AO118" s="406" t="e">
        <f t="shared" ca="1" si="65"/>
        <v>#N/A</v>
      </c>
      <c r="AP118" s="406" t="e">
        <f t="shared" ca="1" si="65"/>
        <v>#N/A</v>
      </c>
      <c r="AQ118" s="406" t="e">
        <f t="shared" ca="1" si="65"/>
        <v>#N/A</v>
      </c>
      <c r="AR118" s="406" t="e">
        <f t="shared" ca="1" si="66"/>
        <v>#N/A</v>
      </c>
      <c r="AS118" s="406" t="e">
        <f t="shared" ca="1" si="66"/>
        <v>#N/A</v>
      </c>
      <c r="AT118" s="406" t="e">
        <f t="shared" ca="1" si="66"/>
        <v>#N/A</v>
      </c>
      <c r="AU118" s="406" t="e">
        <f t="shared" ca="1" si="66"/>
        <v>#N/A</v>
      </c>
      <c r="AV118" s="406" t="e">
        <f t="shared" ca="1" si="66"/>
        <v>#N/A</v>
      </c>
      <c r="AW118" s="406" t="e">
        <f t="shared" ca="1" si="66"/>
        <v>#N/A</v>
      </c>
      <c r="AX118" s="406" t="e">
        <f t="shared" ca="1" si="66"/>
        <v>#N/A</v>
      </c>
      <c r="AY118" s="406" t="e">
        <f t="shared" ca="1" si="66"/>
        <v>#N/A</v>
      </c>
      <c r="AZ118" s="406" t="e">
        <f t="shared" ca="1" si="66"/>
        <v>#N/A</v>
      </c>
      <c r="BA118" s="406" t="e">
        <f t="shared" ca="1" si="66"/>
        <v>#N/A</v>
      </c>
      <c r="BB118" s="412" t="s">
        <v>1189</v>
      </c>
      <c r="BC118" s="407" t="str">
        <f t="shared" ca="1" si="40"/>
        <v/>
      </c>
      <c r="BD118" s="410"/>
      <c r="BE118" s="410"/>
    </row>
    <row r="119" spans="3:57" x14ac:dyDescent="0.25">
      <c r="C119" s="406">
        <f t="shared" si="41"/>
        <v>117</v>
      </c>
      <c r="D119" s="406" t="e">
        <f t="shared" ca="1" si="62"/>
        <v>#N/A</v>
      </c>
      <c r="E119" s="406" t="e">
        <f t="shared" ca="1" si="62"/>
        <v>#N/A</v>
      </c>
      <c r="F119" s="406" t="e">
        <f t="shared" ca="1" si="62"/>
        <v>#N/A</v>
      </c>
      <c r="G119" s="406" t="e">
        <f t="shared" ca="1" si="62"/>
        <v>#N/A</v>
      </c>
      <c r="H119" s="406" t="e">
        <f t="shared" ca="1" si="62"/>
        <v>#N/A</v>
      </c>
      <c r="I119" s="406" t="e">
        <f t="shared" ca="1" si="62"/>
        <v>#N/A</v>
      </c>
      <c r="J119" s="406" t="e">
        <f t="shared" ca="1" si="62"/>
        <v>#N/A</v>
      </c>
      <c r="K119" s="406" t="e">
        <f t="shared" ca="1" si="62"/>
        <v>#N/A</v>
      </c>
      <c r="L119" s="406" t="e">
        <f t="shared" ca="1" si="62"/>
        <v>#N/A</v>
      </c>
      <c r="M119" s="406" t="e">
        <f t="shared" ca="1" si="62"/>
        <v>#N/A</v>
      </c>
      <c r="N119" s="406" t="e">
        <f t="shared" ca="1" si="63"/>
        <v>#N/A</v>
      </c>
      <c r="O119" s="406" t="e">
        <f t="shared" ca="1" si="63"/>
        <v>#N/A</v>
      </c>
      <c r="P119" s="406" t="e">
        <f t="shared" ca="1" si="63"/>
        <v>#N/A</v>
      </c>
      <c r="Q119" s="406" t="e">
        <f t="shared" ca="1" si="63"/>
        <v>#N/A</v>
      </c>
      <c r="R119" s="406" t="e">
        <f t="shared" ca="1" si="63"/>
        <v>#N/A</v>
      </c>
      <c r="S119" s="406" t="e">
        <f t="shared" ca="1" si="63"/>
        <v>#N/A</v>
      </c>
      <c r="T119" s="406" t="e">
        <f t="shared" ca="1" si="63"/>
        <v>#N/A</v>
      </c>
      <c r="U119" s="406" t="e">
        <f t="shared" ca="1" si="63"/>
        <v>#N/A</v>
      </c>
      <c r="V119" s="406" t="e">
        <f t="shared" ca="1" si="63"/>
        <v>#N/A</v>
      </c>
      <c r="W119" s="406" t="e">
        <f t="shared" ca="1" si="63"/>
        <v>#N/A</v>
      </c>
      <c r="X119" s="406" t="e">
        <f t="shared" ca="1" si="64"/>
        <v>#N/A</v>
      </c>
      <c r="Y119" s="406" t="e">
        <f t="shared" ca="1" si="64"/>
        <v>#N/A</v>
      </c>
      <c r="Z119" s="406" t="e">
        <f t="shared" ca="1" si="64"/>
        <v>#N/A</v>
      </c>
      <c r="AA119" s="406" t="e">
        <f t="shared" ca="1" si="64"/>
        <v>#N/A</v>
      </c>
      <c r="AB119" s="406" t="e">
        <f t="shared" ca="1" si="64"/>
        <v>#N/A</v>
      </c>
      <c r="AC119" s="406" t="e">
        <f t="shared" ca="1" si="64"/>
        <v>#N/A</v>
      </c>
      <c r="AD119" s="406" t="e">
        <f t="shared" ca="1" si="64"/>
        <v>#N/A</v>
      </c>
      <c r="AE119" s="406" t="e">
        <f t="shared" ca="1" si="64"/>
        <v>#N/A</v>
      </c>
      <c r="AF119" s="406" t="e">
        <f t="shared" ca="1" si="64"/>
        <v>#N/A</v>
      </c>
      <c r="AG119" s="406" t="e">
        <f t="shared" ca="1" si="64"/>
        <v>#N/A</v>
      </c>
      <c r="AH119" s="406" t="e">
        <f t="shared" ca="1" si="65"/>
        <v>#N/A</v>
      </c>
      <c r="AI119" s="406" t="e">
        <f t="shared" ca="1" si="65"/>
        <v>#N/A</v>
      </c>
      <c r="AJ119" s="406" t="e">
        <f t="shared" ca="1" si="65"/>
        <v>#N/A</v>
      </c>
      <c r="AK119" s="406" t="e">
        <f t="shared" ca="1" si="65"/>
        <v>#N/A</v>
      </c>
      <c r="AL119" s="406" t="e">
        <f t="shared" ca="1" si="65"/>
        <v>#N/A</v>
      </c>
      <c r="AM119" s="406" t="e">
        <f t="shared" ca="1" si="65"/>
        <v>#N/A</v>
      </c>
      <c r="AN119" s="406" t="e">
        <f t="shared" ca="1" si="65"/>
        <v>#N/A</v>
      </c>
      <c r="AO119" s="406" t="e">
        <f t="shared" ca="1" si="65"/>
        <v>#N/A</v>
      </c>
      <c r="AP119" s="406" t="e">
        <f t="shared" ca="1" si="65"/>
        <v>#N/A</v>
      </c>
      <c r="AQ119" s="406" t="e">
        <f t="shared" ca="1" si="65"/>
        <v>#N/A</v>
      </c>
      <c r="AR119" s="406" t="e">
        <f t="shared" ca="1" si="66"/>
        <v>#N/A</v>
      </c>
      <c r="AS119" s="406" t="e">
        <f t="shared" ca="1" si="66"/>
        <v>#N/A</v>
      </c>
      <c r="AT119" s="406" t="e">
        <f t="shared" ca="1" si="66"/>
        <v>#N/A</v>
      </c>
      <c r="AU119" s="406" t="e">
        <f t="shared" ca="1" si="66"/>
        <v>#N/A</v>
      </c>
      <c r="AV119" s="406" t="e">
        <f t="shared" ca="1" si="66"/>
        <v>#N/A</v>
      </c>
      <c r="AW119" s="406" t="e">
        <f t="shared" ca="1" si="66"/>
        <v>#N/A</v>
      </c>
      <c r="AX119" s="406" t="e">
        <f t="shared" ca="1" si="66"/>
        <v>#N/A</v>
      </c>
      <c r="AY119" s="406" t="e">
        <f t="shared" ca="1" si="66"/>
        <v>#N/A</v>
      </c>
      <c r="AZ119" s="406" t="e">
        <f t="shared" ca="1" si="66"/>
        <v>#N/A</v>
      </c>
      <c r="BA119" s="406" t="e">
        <f t="shared" ca="1" si="66"/>
        <v>#N/A</v>
      </c>
      <c r="BB119" s="412" t="s">
        <v>1190</v>
      </c>
      <c r="BC119" s="407" t="str">
        <f t="shared" ca="1" si="40"/>
        <v/>
      </c>
      <c r="BD119" s="410"/>
      <c r="BE119" s="410"/>
    </row>
    <row r="120" spans="3:57" x14ac:dyDescent="0.25">
      <c r="C120" s="406">
        <f t="shared" si="41"/>
        <v>118</v>
      </c>
      <c r="D120" s="406" t="e">
        <f t="shared" ca="1" si="62"/>
        <v>#N/A</v>
      </c>
      <c r="E120" s="406" t="e">
        <f t="shared" ca="1" si="62"/>
        <v>#N/A</v>
      </c>
      <c r="F120" s="406" t="e">
        <f t="shared" ca="1" si="62"/>
        <v>#N/A</v>
      </c>
      <c r="G120" s="406" t="e">
        <f t="shared" ca="1" si="62"/>
        <v>#N/A</v>
      </c>
      <c r="H120" s="406" t="e">
        <f t="shared" ca="1" si="62"/>
        <v>#N/A</v>
      </c>
      <c r="I120" s="406" t="e">
        <f t="shared" ca="1" si="62"/>
        <v>#N/A</v>
      </c>
      <c r="J120" s="406" t="e">
        <f t="shared" ca="1" si="62"/>
        <v>#N/A</v>
      </c>
      <c r="K120" s="406" t="e">
        <f t="shared" ca="1" si="62"/>
        <v>#N/A</v>
      </c>
      <c r="L120" s="406" t="e">
        <f t="shared" ca="1" si="62"/>
        <v>#N/A</v>
      </c>
      <c r="M120" s="406" t="e">
        <f t="shared" ca="1" si="62"/>
        <v>#N/A</v>
      </c>
      <c r="N120" s="406" t="e">
        <f t="shared" ca="1" si="63"/>
        <v>#N/A</v>
      </c>
      <c r="O120" s="406" t="e">
        <f t="shared" ca="1" si="63"/>
        <v>#N/A</v>
      </c>
      <c r="P120" s="406" t="e">
        <f t="shared" ca="1" si="63"/>
        <v>#N/A</v>
      </c>
      <c r="Q120" s="406" t="e">
        <f t="shared" ca="1" si="63"/>
        <v>#N/A</v>
      </c>
      <c r="R120" s="406" t="e">
        <f t="shared" ca="1" si="63"/>
        <v>#N/A</v>
      </c>
      <c r="S120" s="406" t="e">
        <f t="shared" ca="1" si="63"/>
        <v>#N/A</v>
      </c>
      <c r="T120" s="406" t="e">
        <f t="shared" ca="1" si="63"/>
        <v>#N/A</v>
      </c>
      <c r="U120" s="406" t="e">
        <f t="shared" ca="1" si="63"/>
        <v>#N/A</v>
      </c>
      <c r="V120" s="406" t="e">
        <f t="shared" ca="1" si="63"/>
        <v>#N/A</v>
      </c>
      <c r="W120" s="406" t="e">
        <f t="shared" ca="1" si="63"/>
        <v>#N/A</v>
      </c>
      <c r="X120" s="406" t="e">
        <f t="shared" ca="1" si="64"/>
        <v>#N/A</v>
      </c>
      <c r="Y120" s="406" t="e">
        <f t="shared" ca="1" si="64"/>
        <v>#N/A</v>
      </c>
      <c r="Z120" s="406" t="e">
        <f t="shared" ca="1" si="64"/>
        <v>#N/A</v>
      </c>
      <c r="AA120" s="406" t="e">
        <f t="shared" ca="1" si="64"/>
        <v>#N/A</v>
      </c>
      <c r="AB120" s="406" t="e">
        <f t="shared" ca="1" si="64"/>
        <v>#N/A</v>
      </c>
      <c r="AC120" s="406" t="e">
        <f t="shared" ca="1" si="64"/>
        <v>#N/A</v>
      </c>
      <c r="AD120" s="406" t="e">
        <f t="shared" ca="1" si="64"/>
        <v>#N/A</v>
      </c>
      <c r="AE120" s="406" t="e">
        <f t="shared" ca="1" si="64"/>
        <v>#N/A</v>
      </c>
      <c r="AF120" s="406" t="e">
        <f t="shared" ca="1" si="64"/>
        <v>#N/A</v>
      </c>
      <c r="AG120" s="406" t="e">
        <f t="shared" ca="1" si="64"/>
        <v>#N/A</v>
      </c>
      <c r="AH120" s="406" t="e">
        <f t="shared" ca="1" si="65"/>
        <v>#N/A</v>
      </c>
      <c r="AI120" s="406" t="e">
        <f t="shared" ca="1" si="65"/>
        <v>#N/A</v>
      </c>
      <c r="AJ120" s="406" t="e">
        <f t="shared" ca="1" si="65"/>
        <v>#N/A</v>
      </c>
      <c r="AK120" s="406" t="e">
        <f t="shared" ca="1" si="65"/>
        <v>#N/A</v>
      </c>
      <c r="AL120" s="406" t="e">
        <f t="shared" ca="1" si="65"/>
        <v>#N/A</v>
      </c>
      <c r="AM120" s="406" t="e">
        <f t="shared" ca="1" si="65"/>
        <v>#N/A</v>
      </c>
      <c r="AN120" s="406" t="e">
        <f t="shared" ca="1" si="65"/>
        <v>#N/A</v>
      </c>
      <c r="AO120" s="406" t="e">
        <f t="shared" ca="1" si="65"/>
        <v>#N/A</v>
      </c>
      <c r="AP120" s="406" t="e">
        <f t="shared" ca="1" si="65"/>
        <v>#N/A</v>
      </c>
      <c r="AQ120" s="406" t="e">
        <f t="shared" ca="1" si="65"/>
        <v>#N/A</v>
      </c>
      <c r="AR120" s="406" t="e">
        <f t="shared" ca="1" si="66"/>
        <v>#N/A</v>
      </c>
      <c r="AS120" s="406" t="e">
        <f t="shared" ca="1" si="66"/>
        <v>#N/A</v>
      </c>
      <c r="AT120" s="406" t="e">
        <f t="shared" ca="1" si="66"/>
        <v>#N/A</v>
      </c>
      <c r="AU120" s="406" t="e">
        <f t="shared" ca="1" si="66"/>
        <v>#N/A</v>
      </c>
      <c r="AV120" s="406" t="e">
        <f t="shared" ca="1" si="66"/>
        <v>#N/A</v>
      </c>
      <c r="AW120" s="406" t="e">
        <f t="shared" ca="1" si="66"/>
        <v>#N/A</v>
      </c>
      <c r="AX120" s="406" t="e">
        <f t="shared" ca="1" si="66"/>
        <v>#N/A</v>
      </c>
      <c r="AY120" s="406" t="e">
        <f t="shared" ca="1" si="66"/>
        <v>#N/A</v>
      </c>
      <c r="AZ120" s="406" t="e">
        <f t="shared" ca="1" si="66"/>
        <v>#N/A</v>
      </c>
      <c r="BA120" s="406" t="e">
        <f t="shared" ca="1" si="66"/>
        <v>#N/A</v>
      </c>
      <c r="BB120" s="412" t="s">
        <v>1191</v>
      </c>
      <c r="BC120" s="407" t="str">
        <f t="shared" ca="1" si="40"/>
        <v/>
      </c>
      <c r="BD120" s="410"/>
      <c r="BE120" s="410"/>
    </row>
    <row r="121" spans="3:57" x14ac:dyDescent="0.25">
      <c r="C121" s="406">
        <f t="shared" si="41"/>
        <v>119</v>
      </c>
      <c r="D121" s="406" t="e">
        <f t="shared" ca="1" si="62"/>
        <v>#N/A</v>
      </c>
      <c r="E121" s="406" t="e">
        <f t="shared" ca="1" si="62"/>
        <v>#N/A</v>
      </c>
      <c r="F121" s="406" t="e">
        <f t="shared" ca="1" si="62"/>
        <v>#N/A</v>
      </c>
      <c r="G121" s="406" t="e">
        <f t="shared" ca="1" si="62"/>
        <v>#N/A</v>
      </c>
      <c r="H121" s="406" t="e">
        <f t="shared" ca="1" si="62"/>
        <v>#N/A</v>
      </c>
      <c r="I121" s="406" t="e">
        <f t="shared" ca="1" si="62"/>
        <v>#N/A</v>
      </c>
      <c r="J121" s="406" t="e">
        <f t="shared" ca="1" si="62"/>
        <v>#N/A</v>
      </c>
      <c r="K121" s="406" t="e">
        <f t="shared" ca="1" si="62"/>
        <v>#N/A</v>
      </c>
      <c r="L121" s="406" t="e">
        <f t="shared" ca="1" si="62"/>
        <v>#N/A</v>
      </c>
      <c r="M121" s="406" t="e">
        <f t="shared" ca="1" si="62"/>
        <v>#N/A</v>
      </c>
      <c r="N121" s="406" t="e">
        <f t="shared" ca="1" si="63"/>
        <v>#N/A</v>
      </c>
      <c r="O121" s="406" t="e">
        <f t="shared" ca="1" si="63"/>
        <v>#N/A</v>
      </c>
      <c r="P121" s="406" t="e">
        <f t="shared" ca="1" si="63"/>
        <v>#N/A</v>
      </c>
      <c r="Q121" s="406" t="e">
        <f t="shared" ca="1" si="63"/>
        <v>#N/A</v>
      </c>
      <c r="R121" s="406" t="e">
        <f t="shared" ca="1" si="63"/>
        <v>#N/A</v>
      </c>
      <c r="S121" s="406" t="e">
        <f t="shared" ca="1" si="63"/>
        <v>#N/A</v>
      </c>
      <c r="T121" s="406" t="e">
        <f t="shared" ca="1" si="63"/>
        <v>#N/A</v>
      </c>
      <c r="U121" s="406" t="e">
        <f t="shared" ca="1" si="63"/>
        <v>#N/A</v>
      </c>
      <c r="V121" s="406" t="e">
        <f t="shared" ca="1" si="63"/>
        <v>#N/A</v>
      </c>
      <c r="W121" s="406" t="e">
        <f t="shared" ca="1" si="63"/>
        <v>#N/A</v>
      </c>
      <c r="X121" s="406" t="e">
        <f t="shared" ca="1" si="64"/>
        <v>#N/A</v>
      </c>
      <c r="Y121" s="406" t="e">
        <f t="shared" ca="1" si="64"/>
        <v>#N/A</v>
      </c>
      <c r="Z121" s="406" t="e">
        <f t="shared" ca="1" si="64"/>
        <v>#N/A</v>
      </c>
      <c r="AA121" s="406" t="e">
        <f t="shared" ca="1" si="64"/>
        <v>#N/A</v>
      </c>
      <c r="AB121" s="406" t="e">
        <f t="shared" ca="1" si="64"/>
        <v>#N/A</v>
      </c>
      <c r="AC121" s="406" t="e">
        <f t="shared" ca="1" si="64"/>
        <v>#N/A</v>
      </c>
      <c r="AD121" s="406" t="e">
        <f t="shared" ca="1" si="64"/>
        <v>#N/A</v>
      </c>
      <c r="AE121" s="406" t="e">
        <f t="shared" ca="1" si="64"/>
        <v>#N/A</v>
      </c>
      <c r="AF121" s="406" t="e">
        <f t="shared" ca="1" si="64"/>
        <v>#N/A</v>
      </c>
      <c r="AG121" s="406" t="e">
        <f t="shared" ca="1" si="64"/>
        <v>#N/A</v>
      </c>
      <c r="AH121" s="406" t="e">
        <f t="shared" ca="1" si="65"/>
        <v>#N/A</v>
      </c>
      <c r="AI121" s="406" t="e">
        <f t="shared" ca="1" si="65"/>
        <v>#N/A</v>
      </c>
      <c r="AJ121" s="406" t="e">
        <f t="shared" ca="1" si="65"/>
        <v>#N/A</v>
      </c>
      <c r="AK121" s="406" t="e">
        <f t="shared" ca="1" si="65"/>
        <v>#N/A</v>
      </c>
      <c r="AL121" s="406" t="e">
        <f t="shared" ca="1" si="65"/>
        <v>#N/A</v>
      </c>
      <c r="AM121" s="406" t="e">
        <f t="shared" ca="1" si="65"/>
        <v>#N/A</v>
      </c>
      <c r="AN121" s="406" t="e">
        <f t="shared" ca="1" si="65"/>
        <v>#N/A</v>
      </c>
      <c r="AO121" s="406" t="e">
        <f t="shared" ca="1" si="65"/>
        <v>#N/A</v>
      </c>
      <c r="AP121" s="406" t="e">
        <f t="shared" ca="1" si="65"/>
        <v>#N/A</v>
      </c>
      <c r="AQ121" s="406" t="e">
        <f t="shared" ca="1" si="65"/>
        <v>#N/A</v>
      </c>
      <c r="AR121" s="406" t="e">
        <f t="shared" ca="1" si="66"/>
        <v>#N/A</v>
      </c>
      <c r="AS121" s="406" t="e">
        <f t="shared" ca="1" si="66"/>
        <v>#N/A</v>
      </c>
      <c r="AT121" s="406" t="e">
        <f t="shared" ca="1" si="66"/>
        <v>#N/A</v>
      </c>
      <c r="AU121" s="406" t="e">
        <f t="shared" ca="1" si="66"/>
        <v>#N/A</v>
      </c>
      <c r="AV121" s="406" t="e">
        <f t="shared" ca="1" si="66"/>
        <v>#N/A</v>
      </c>
      <c r="AW121" s="406" t="e">
        <f t="shared" ca="1" si="66"/>
        <v>#N/A</v>
      </c>
      <c r="AX121" s="406" t="e">
        <f t="shared" ca="1" si="66"/>
        <v>#N/A</v>
      </c>
      <c r="AY121" s="406" t="e">
        <f t="shared" ca="1" si="66"/>
        <v>#N/A</v>
      </c>
      <c r="AZ121" s="406" t="e">
        <f t="shared" ca="1" si="66"/>
        <v>#N/A</v>
      </c>
      <c r="BA121" s="406" t="e">
        <f t="shared" ca="1" si="66"/>
        <v>#N/A</v>
      </c>
      <c r="BB121" s="412" t="s">
        <v>1192</v>
      </c>
      <c r="BC121" s="407" t="str">
        <f t="shared" ca="1" si="40"/>
        <v/>
      </c>
      <c r="BD121" s="410"/>
      <c r="BE121" s="410"/>
    </row>
    <row r="122" spans="3:57" x14ac:dyDescent="0.25">
      <c r="C122" s="406">
        <f t="shared" si="41"/>
        <v>120</v>
      </c>
      <c r="D122" s="406" t="e">
        <f t="shared" ref="D122:M131" ca="1" si="67">TRIM(INDIRECT("'" &amp; "TNX RTF" &amp; "'!" &amp; ADDRESS($A$3+$C122,D$1)))</f>
        <v>#N/A</v>
      </c>
      <c r="E122" s="406" t="e">
        <f t="shared" ca="1" si="67"/>
        <v>#N/A</v>
      </c>
      <c r="F122" s="406" t="e">
        <f t="shared" ca="1" si="67"/>
        <v>#N/A</v>
      </c>
      <c r="G122" s="406" t="e">
        <f t="shared" ca="1" si="67"/>
        <v>#N/A</v>
      </c>
      <c r="H122" s="406" t="e">
        <f t="shared" ca="1" si="67"/>
        <v>#N/A</v>
      </c>
      <c r="I122" s="406" t="e">
        <f t="shared" ca="1" si="67"/>
        <v>#N/A</v>
      </c>
      <c r="J122" s="406" t="e">
        <f t="shared" ca="1" si="67"/>
        <v>#N/A</v>
      </c>
      <c r="K122" s="406" t="e">
        <f t="shared" ca="1" si="67"/>
        <v>#N/A</v>
      </c>
      <c r="L122" s="406" t="e">
        <f t="shared" ca="1" si="67"/>
        <v>#N/A</v>
      </c>
      <c r="M122" s="406" t="e">
        <f t="shared" ca="1" si="67"/>
        <v>#N/A</v>
      </c>
      <c r="N122" s="406" t="e">
        <f t="shared" ref="N122:W131" ca="1" si="68">TRIM(INDIRECT("'" &amp; "TNX RTF" &amp; "'!" &amp; ADDRESS($A$3+$C122,N$1)))</f>
        <v>#N/A</v>
      </c>
      <c r="O122" s="406" t="e">
        <f t="shared" ca="1" si="68"/>
        <v>#N/A</v>
      </c>
      <c r="P122" s="406" t="e">
        <f t="shared" ca="1" si="68"/>
        <v>#N/A</v>
      </c>
      <c r="Q122" s="406" t="e">
        <f t="shared" ca="1" si="68"/>
        <v>#N/A</v>
      </c>
      <c r="R122" s="406" t="e">
        <f t="shared" ca="1" si="68"/>
        <v>#N/A</v>
      </c>
      <c r="S122" s="406" t="e">
        <f t="shared" ca="1" si="68"/>
        <v>#N/A</v>
      </c>
      <c r="T122" s="406" t="e">
        <f t="shared" ca="1" si="68"/>
        <v>#N/A</v>
      </c>
      <c r="U122" s="406" t="e">
        <f t="shared" ca="1" si="68"/>
        <v>#N/A</v>
      </c>
      <c r="V122" s="406" t="e">
        <f t="shared" ca="1" si="68"/>
        <v>#N/A</v>
      </c>
      <c r="W122" s="406" t="e">
        <f t="shared" ca="1" si="68"/>
        <v>#N/A</v>
      </c>
      <c r="X122" s="406" t="e">
        <f t="shared" ref="X122:AG131" ca="1" si="69">TRIM(INDIRECT("'" &amp; "TNX RTF" &amp; "'!" &amp; ADDRESS($A$3+$C122,X$1)))</f>
        <v>#N/A</v>
      </c>
      <c r="Y122" s="406" t="e">
        <f t="shared" ca="1" si="69"/>
        <v>#N/A</v>
      </c>
      <c r="Z122" s="406" t="e">
        <f t="shared" ca="1" si="69"/>
        <v>#N/A</v>
      </c>
      <c r="AA122" s="406" t="e">
        <f t="shared" ca="1" si="69"/>
        <v>#N/A</v>
      </c>
      <c r="AB122" s="406" t="e">
        <f t="shared" ca="1" si="69"/>
        <v>#N/A</v>
      </c>
      <c r="AC122" s="406" t="e">
        <f t="shared" ca="1" si="69"/>
        <v>#N/A</v>
      </c>
      <c r="AD122" s="406" t="e">
        <f t="shared" ca="1" si="69"/>
        <v>#N/A</v>
      </c>
      <c r="AE122" s="406" t="e">
        <f t="shared" ca="1" si="69"/>
        <v>#N/A</v>
      </c>
      <c r="AF122" s="406" t="e">
        <f t="shared" ca="1" si="69"/>
        <v>#N/A</v>
      </c>
      <c r="AG122" s="406" t="e">
        <f t="shared" ca="1" si="69"/>
        <v>#N/A</v>
      </c>
      <c r="AH122" s="406" t="e">
        <f t="shared" ref="AH122:AQ131" ca="1" si="70">TRIM(INDIRECT("'" &amp; "TNX RTF" &amp; "'!" &amp; ADDRESS($A$3+$C122,AH$1)))</f>
        <v>#N/A</v>
      </c>
      <c r="AI122" s="406" t="e">
        <f t="shared" ca="1" si="70"/>
        <v>#N/A</v>
      </c>
      <c r="AJ122" s="406" t="e">
        <f t="shared" ca="1" si="70"/>
        <v>#N/A</v>
      </c>
      <c r="AK122" s="406" t="e">
        <f t="shared" ca="1" si="70"/>
        <v>#N/A</v>
      </c>
      <c r="AL122" s="406" t="e">
        <f t="shared" ca="1" si="70"/>
        <v>#N/A</v>
      </c>
      <c r="AM122" s="406" t="e">
        <f t="shared" ca="1" si="70"/>
        <v>#N/A</v>
      </c>
      <c r="AN122" s="406" t="e">
        <f t="shared" ca="1" si="70"/>
        <v>#N/A</v>
      </c>
      <c r="AO122" s="406" t="e">
        <f t="shared" ca="1" si="70"/>
        <v>#N/A</v>
      </c>
      <c r="AP122" s="406" t="e">
        <f t="shared" ca="1" si="70"/>
        <v>#N/A</v>
      </c>
      <c r="AQ122" s="406" t="e">
        <f t="shared" ca="1" si="70"/>
        <v>#N/A</v>
      </c>
      <c r="AR122" s="406" t="e">
        <f t="shared" ref="AR122:BA131" ca="1" si="71">TRIM(INDIRECT("'" &amp; "TNX RTF" &amp; "'!" &amp; ADDRESS($A$3+$C122,AR$1)))</f>
        <v>#N/A</v>
      </c>
      <c r="AS122" s="406" t="e">
        <f t="shared" ca="1" si="71"/>
        <v>#N/A</v>
      </c>
      <c r="AT122" s="406" t="e">
        <f t="shared" ca="1" si="71"/>
        <v>#N/A</v>
      </c>
      <c r="AU122" s="406" t="e">
        <f t="shared" ca="1" si="71"/>
        <v>#N/A</v>
      </c>
      <c r="AV122" s="406" t="e">
        <f t="shared" ca="1" si="71"/>
        <v>#N/A</v>
      </c>
      <c r="AW122" s="406" t="e">
        <f t="shared" ca="1" si="71"/>
        <v>#N/A</v>
      </c>
      <c r="AX122" s="406" t="e">
        <f t="shared" ca="1" si="71"/>
        <v>#N/A</v>
      </c>
      <c r="AY122" s="406" t="e">
        <f t="shared" ca="1" si="71"/>
        <v>#N/A</v>
      </c>
      <c r="AZ122" s="406" t="e">
        <f t="shared" ca="1" si="71"/>
        <v>#N/A</v>
      </c>
      <c r="BA122" s="406" t="e">
        <f t="shared" ca="1" si="71"/>
        <v>#N/A</v>
      </c>
      <c r="BB122" s="412" t="s">
        <v>1193</v>
      </c>
      <c r="BC122" s="407" t="str">
        <f t="shared" ca="1" si="40"/>
        <v/>
      </c>
      <c r="BD122" s="410"/>
      <c r="BE122" s="410"/>
    </row>
    <row r="123" spans="3:57" x14ac:dyDescent="0.25">
      <c r="C123" s="406">
        <f t="shared" si="41"/>
        <v>121</v>
      </c>
      <c r="D123" s="406" t="e">
        <f t="shared" ca="1" si="67"/>
        <v>#N/A</v>
      </c>
      <c r="E123" s="406" t="e">
        <f t="shared" ca="1" si="67"/>
        <v>#N/A</v>
      </c>
      <c r="F123" s="406" t="e">
        <f t="shared" ca="1" si="67"/>
        <v>#N/A</v>
      </c>
      <c r="G123" s="406" t="e">
        <f t="shared" ca="1" si="67"/>
        <v>#N/A</v>
      </c>
      <c r="H123" s="406" t="e">
        <f t="shared" ca="1" si="67"/>
        <v>#N/A</v>
      </c>
      <c r="I123" s="406" t="e">
        <f t="shared" ca="1" si="67"/>
        <v>#N/A</v>
      </c>
      <c r="J123" s="406" t="e">
        <f t="shared" ca="1" si="67"/>
        <v>#N/A</v>
      </c>
      <c r="K123" s="406" t="e">
        <f t="shared" ca="1" si="67"/>
        <v>#N/A</v>
      </c>
      <c r="L123" s="406" t="e">
        <f t="shared" ca="1" si="67"/>
        <v>#N/A</v>
      </c>
      <c r="M123" s="406" t="e">
        <f t="shared" ca="1" si="67"/>
        <v>#N/A</v>
      </c>
      <c r="N123" s="406" t="e">
        <f t="shared" ca="1" si="68"/>
        <v>#N/A</v>
      </c>
      <c r="O123" s="406" t="e">
        <f t="shared" ca="1" si="68"/>
        <v>#N/A</v>
      </c>
      <c r="P123" s="406" t="e">
        <f t="shared" ca="1" si="68"/>
        <v>#N/A</v>
      </c>
      <c r="Q123" s="406" t="e">
        <f t="shared" ca="1" si="68"/>
        <v>#N/A</v>
      </c>
      <c r="R123" s="406" t="e">
        <f t="shared" ca="1" si="68"/>
        <v>#N/A</v>
      </c>
      <c r="S123" s="406" t="e">
        <f t="shared" ca="1" si="68"/>
        <v>#N/A</v>
      </c>
      <c r="T123" s="406" t="e">
        <f t="shared" ca="1" si="68"/>
        <v>#N/A</v>
      </c>
      <c r="U123" s="406" t="e">
        <f t="shared" ca="1" si="68"/>
        <v>#N/A</v>
      </c>
      <c r="V123" s="406" t="e">
        <f t="shared" ca="1" si="68"/>
        <v>#N/A</v>
      </c>
      <c r="W123" s="406" t="e">
        <f t="shared" ca="1" si="68"/>
        <v>#N/A</v>
      </c>
      <c r="X123" s="406" t="e">
        <f t="shared" ca="1" si="69"/>
        <v>#N/A</v>
      </c>
      <c r="Y123" s="406" t="e">
        <f t="shared" ca="1" si="69"/>
        <v>#N/A</v>
      </c>
      <c r="Z123" s="406" t="e">
        <f t="shared" ca="1" si="69"/>
        <v>#N/A</v>
      </c>
      <c r="AA123" s="406" t="e">
        <f t="shared" ca="1" si="69"/>
        <v>#N/A</v>
      </c>
      <c r="AB123" s="406" t="e">
        <f t="shared" ca="1" si="69"/>
        <v>#N/A</v>
      </c>
      <c r="AC123" s="406" t="e">
        <f t="shared" ca="1" si="69"/>
        <v>#N/A</v>
      </c>
      <c r="AD123" s="406" t="e">
        <f t="shared" ca="1" si="69"/>
        <v>#N/A</v>
      </c>
      <c r="AE123" s="406" t="e">
        <f t="shared" ca="1" si="69"/>
        <v>#N/A</v>
      </c>
      <c r="AF123" s="406" t="e">
        <f t="shared" ca="1" si="69"/>
        <v>#N/A</v>
      </c>
      <c r="AG123" s="406" t="e">
        <f t="shared" ca="1" si="69"/>
        <v>#N/A</v>
      </c>
      <c r="AH123" s="406" t="e">
        <f t="shared" ca="1" si="70"/>
        <v>#N/A</v>
      </c>
      <c r="AI123" s="406" t="e">
        <f t="shared" ca="1" si="70"/>
        <v>#N/A</v>
      </c>
      <c r="AJ123" s="406" t="e">
        <f t="shared" ca="1" si="70"/>
        <v>#N/A</v>
      </c>
      <c r="AK123" s="406" t="e">
        <f t="shared" ca="1" si="70"/>
        <v>#N/A</v>
      </c>
      <c r="AL123" s="406" t="e">
        <f t="shared" ca="1" si="70"/>
        <v>#N/A</v>
      </c>
      <c r="AM123" s="406" t="e">
        <f t="shared" ca="1" si="70"/>
        <v>#N/A</v>
      </c>
      <c r="AN123" s="406" t="e">
        <f t="shared" ca="1" si="70"/>
        <v>#N/A</v>
      </c>
      <c r="AO123" s="406" t="e">
        <f t="shared" ca="1" si="70"/>
        <v>#N/A</v>
      </c>
      <c r="AP123" s="406" t="e">
        <f t="shared" ca="1" si="70"/>
        <v>#N/A</v>
      </c>
      <c r="AQ123" s="406" t="e">
        <f t="shared" ca="1" si="70"/>
        <v>#N/A</v>
      </c>
      <c r="AR123" s="406" t="e">
        <f t="shared" ca="1" si="71"/>
        <v>#N/A</v>
      </c>
      <c r="AS123" s="406" t="e">
        <f t="shared" ca="1" si="71"/>
        <v>#N/A</v>
      </c>
      <c r="AT123" s="406" t="e">
        <f t="shared" ca="1" si="71"/>
        <v>#N/A</v>
      </c>
      <c r="AU123" s="406" t="e">
        <f t="shared" ca="1" si="71"/>
        <v>#N/A</v>
      </c>
      <c r="AV123" s="406" t="e">
        <f t="shared" ca="1" si="71"/>
        <v>#N/A</v>
      </c>
      <c r="AW123" s="406" t="e">
        <f t="shared" ca="1" si="71"/>
        <v>#N/A</v>
      </c>
      <c r="AX123" s="406" t="e">
        <f t="shared" ca="1" si="71"/>
        <v>#N/A</v>
      </c>
      <c r="AY123" s="406" t="e">
        <f t="shared" ca="1" si="71"/>
        <v>#N/A</v>
      </c>
      <c r="AZ123" s="406" t="e">
        <f t="shared" ca="1" si="71"/>
        <v>#N/A</v>
      </c>
      <c r="BA123" s="406" t="e">
        <f t="shared" ca="1" si="71"/>
        <v>#N/A</v>
      </c>
      <c r="BB123" s="412" t="s">
        <v>1194</v>
      </c>
      <c r="BC123" s="407" t="str">
        <f t="shared" ca="1" si="40"/>
        <v/>
      </c>
      <c r="BD123" s="410"/>
      <c r="BE123" s="410"/>
    </row>
    <row r="124" spans="3:57" x14ac:dyDescent="0.25">
      <c r="C124" s="406">
        <f t="shared" si="41"/>
        <v>122</v>
      </c>
      <c r="D124" s="406" t="e">
        <f t="shared" ca="1" si="67"/>
        <v>#N/A</v>
      </c>
      <c r="E124" s="406" t="e">
        <f t="shared" ca="1" si="67"/>
        <v>#N/A</v>
      </c>
      <c r="F124" s="406" t="e">
        <f t="shared" ca="1" si="67"/>
        <v>#N/A</v>
      </c>
      <c r="G124" s="406" t="e">
        <f t="shared" ca="1" si="67"/>
        <v>#N/A</v>
      </c>
      <c r="H124" s="406" t="e">
        <f t="shared" ca="1" si="67"/>
        <v>#N/A</v>
      </c>
      <c r="I124" s="406" t="e">
        <f t="shared" ca="1" si="67"/>
        <v>#N/A</v>
      </c>
      <c r="J124" s="406" t="e">
        <f t="shared" ca="1" si="67"/>
        <v>#N/A</v>
      </c>
      <c r="K124" s="406" t="e">
        <f t="shared" ca="1" si="67"/>
        <v>#N/A</v>
      </c>
      <c r="L124" s="406" t="e">
        <f t="shared" ca="1" si="67"/>
        <v>#N/A</v>
      </c>
      <c r="M124" s="406" t="e">
        <f t="shared" ca="1" si="67"/>
        <v>#N/A</v>
      </c>
      <c r="N124" s="406" t="e">
        <f t="shared" ca="1" si="68"/>
        <v>#N/A</v>
      </c>
      <c r="O124" s="406" t="e">
        <f t="shared" ca="1" si="68"/>
        <v>#N/A</v>
      </c>
      <c r="P124" s="406" t="e">
        <f t="shared" ca="1" si="68"/>
        <v>#N/A</v>
      </c>
      <c r="Q124" s="406" t="e">
        <f t="shared" ca="1" si="68"/>
        <v>#N/A</v>
      </c>
      <c r="R124" s="406" t="e">
        <f t="shared" ca="1" si="68"/>
        <v>#N/A</v>
      </c>
      <c r="S124" s="406" t="e">
        <f t="shared" ca="1" si="68"/>
        <v>#N/A</v>
      </c>
      <c r="T124" s="406" t="e">
        <f t="shared" ca="1" si="68"/>
        <v>#N/A</v>
      </c>
      <c r="U124" s="406" t="e">
        <f t="shared" ca="1" si="68"/>
        <v>#N/A</v>
      </c>
      <c r="V124" s="406" t="e">
        <f t="shared" ca="1" si="68"/>
        <v>#N/A</v>
      </c>
      <c r="W124" s="406" t="e">
        <f t="shared" ca="1" si="68"/>
        <v>#N/A</v>
      </c>
      <c r="X124" s="406" t="e">
        <f t="shared" ca="1" si="69"/>
        <v>#N/A</v>
      </c>
      <c r="Y124" s="406" t="e">
        <f t="shared" ca="1" si="69"/>
        <v>#N/A</v>
      </c>
      <c r="Z124" s="406" t="e">
        <f t="shared" ca="1" si="69"/>
        <v>#N/A</v>
      </c>
      <c r="AA124" s="406" t="e">
        <f t="shared" ca="1" si="69"/>
        <v>#N/A</v>
      </c>
      <c r="AB124" s="406" t="e">
        <f t="shared" ca="1" si="69"/>
        <v>#N/A</v>
      </c>
      <c r="AC124" s="406" t="e">
        <f t="shared" ca="1" si="69"/>
        <v>#N/A</v>
      </c>
      <c r="AD124" s="406" t="e">
        <f t="shared" ca="1" si="69"/>
        <v>#N/A</v>
      </c>
      <c r="AE124" s="406" t="e">
        <f t="shared" ca="1" si="69"/>
        <v>#N/A</v>
      </c>
      <c r="AF124" s="406" t="e">
        <f t="shared" ca="1" si="69"/>
        <v>#N/A</v>
      </c>
      <c r="AG124" s="406" t="e">
        <f t="shared" ca="1" si="69"/>
        <v>#N/A</v>
      </c>
      <c r="AH124" s="406" t="e">
        <f t="shared" ca="1" si="70"/>
        <v>#N/A</v>
      </c>
      <c r="AI124" s="406" t="e">
        <f t="shared" ca="1" si="70"/>
        <v>#N/A</v>
      </c>
      <c r="AJ124" s="406" t="e">
        <f t="shared" ca="1" si="70"/>
        <v>#N/A</v>
      </c>
      <c r="AK124" s="406" t="e">
        <f t="shared" ca="1" si="70"/>
        <v>#N/A</v>
      </c>
      <c r="AL124" s="406" t="e">
        <f t="shared" ca="1" si="70"/>
        <v>#N/A</v>
      </c>
      <c r="AM124" s="406" t="e">
        <f t="shared" ca="1" si="70"/>
        <v>#N/A</v>
      </c>
      <c r="AN124" s="406" t="e">
        <f t="shared" ca="1" si="70"/>
        <v>#N/A</v>
      </c>
      <c r="AO124" s="406" t="e">
        <f t="shared" ca="1" si="70"/>
        <v>#N/A</v>
      </c>
      <c r="AP124" s="406" t="e">
        <f t="shared" ca="1" si="70"/>
        <v>#N/A</v>
      </c>
      <c r="AQ124" s="406" t="e">
        <f t="shared" ca="1" si="70"/>
        <v>#N/A</v>
      </c>
      <c r="AR124" s="406" t="e">
        <f t="shared" ca="1" si="71"/>
        <v>#N/A</v>
      </c>
      <c r="AS124" s="406" t="e">
        <f t="shared" ca="1" si="71"/>
        <v>#N/A</v>
      </c>
      <c r="AT124" s="406" t="e">
        <f t="shared" ca="1" si="71"/>
        <v>#N/A</v>
      </c>
      <c r="AU124" s="406" t="e">
        <f t="shared" ca="1" si="71"/>
        <v>#N/A</v>
      </c>
      <c r="AV124" s="406" t="e">
        <f t="shared" ca="1" si="71"/>
        <v>#N/A</v>
      </c>
      <c r="AW124" s="406" t="e">
        <f t="shared" ca="1" si="71"/>
        <v>#N/A</v>
      </c>
      <c r="AX124" s="406" t="e">
        <f t="shared" ca="1" si="71"/>
        <v>#N/A</v>
      </c>
      <c r="AY124" s="406" t="e">
        <f t="shared" ca="1" si="71"/>
        <v>#N/A</v>
      </c>
      <c r="AZ124" s="406" t="e">
        <f t="shared" ca="1" si="71"/>
        <v>#N/A</v>
      </c>
      <c r="BA124" s="406" t="e">
        <f t="shared" ca="1" si="71"/>
        <v>#N/A</v>
      </c>
      <c r="BB124" s="412" t="s">
        <v>1195</v>
      </c>
      <c r="BC124" s="407" t="str">
        <f t="shared" ca="1" si="40"/>
        <v/>
      </c>
      <c r="BD124" s="410"/>
      <c r="BE124" s="410"/>
    </row>
    <row r="125" spans="3:57" x14ac:dyDescent="0.25">
      <c r="C125" s="406">
        <f t="shared" si="41"/>
        <v>123</v>
      </c>
      <c r="D125" s="406" t="e">
        <f t="shared" ca="1" si="67"/>
        <v>#N/A</v>
      </c>
      <c r="E125" s="406" t="e">
        <f t="shared" ca="1" si="67"/>
        <v>#N/A</v>
      </c>
      <c r="F125" s="406" t="e">
        <f t="shared" ca="1" si="67"/>
        <v>#N/A</v>
      </c>
      <c r="G125" s="406" t="e">
        <f t="shared" ca="1" si="67"/>
        <v>#N/A</v>
      </c>
      <c r="H125" s="406" t="e">
        <f t="shared" ca="1" si="67"/>
        <v>#N/A</v>
      </c>
      <c r="I125" s="406" t="e">
        <f t="shared" ca="1" si="67"/>
        <v>#N/A</v>
      </c>
      <c r="J125" s="406" t="e">
        <f t="shared" ca="1" si="67"/>
        <v>#N/A</v>
      </c>
      <c r="K125" s="406" t="e">
        <f t="shared" ca="1" si="67"/>
        <v>#N/A</v>
      </c>
      <c r="L125" s="406" t="e">
        <f t="shared" ca="1" si="67"/>
        <v>#N/A</v>
      </c>
      <c r="M125" s="406" t="e">
        <f t="shared" ca="1" si="67"/>
        <v>#N/A</v>
      </c>
      <c r="N125" s="406" t="e">
        <f t="shared" ca="1" si="68"/>
        <v>#N/A</v>
      </c>
      <c r="O125" s="406" t="e">
        <f t="shared" ca="1" si="68"/>
        <v>#N/A</v>
      </c>
      <c r="P125" s="406" t="e">
        <f t="shared" ca="1" si="68"/>
        <v>#N/A</v>
      </c>
      <c r="Q125" s="406" t="e">
        <f t="shared" ca="1" si="68"/>
        <v>#N/A</v>
      </c>
      <c r="R125" s="406" t="e">
        <f t="shared" ca="1" si="68"/>
        <v>#N/A</v>
      </c>
      <c r="S125" s="406" t="e">
        <f t="shared" ca="1" si="68"/>
        <v>#N/A</v>
      </c>
      <c r="T125" s="406" t="e">
        <f t="shared" ca="1" si="68"/>
        <v>#N/A</v>
      </c>
      <c r="U125" s="406" t="e">
        <f t="shared" ca="1" si="68"/>
        <v>#N/A</v>
      </c>
      <c r="V125" s="406" t="e">
        <f t="shared" ca="1" si="68"/>
        <v>#N/A</v>
      </c>
      <c r="W125" s="406" t="e">
        <f t="shared" ca="1" si="68"/>
        <v>#N/A</v>
      </c>
      <c r="X125" s="406" t="e">
        <f t="shared" ca="1" si="69"/>
        <v>#N/A</v>
      </c>
      <c r="Y125" s="406" t="e">
        <f t="shared" ca="1" si="69"/>
        <v>#N/A</v>
      </c>
      <c r="Z125" s="406" t="e">
        <f t="shared" ca="1" si="69"/>
        <v>#N/A</v>
      </c>
      <c r="AA125" s="406" t="e">
        <f t="shared" ca="1" si="69"/>
        <v>#N/A</v>
      </c>
      <c r="AB125" s="406" t="e">
        <f t="shared" ca="1" si="69"/>
        <v>#N/A</v>
      </c>
      <c r="AC125" s="406" t="e">
        <f t="shared" ca="1" si="69"/>
        <v>#N/A</v>
      </c>
      <c r="AD125" s="406" t="e">
        <f t="shared" ca="1" si="69"/>
        <v>#N/A</v>
      </c>
      <c r="AE125" s="406" t="e">
        <f t="shared" ca="1" si="69"/>
        <v>#N/A</v>
      </c>
      <c r="AF125" s="406" t="e">
        <f t="shared" ca="1" si="69"/>
        <v>#N/A</v>
      </c>
      <c r="AG125" s="406" t="e">
        <f t="shared" ca="1" si="69"/>
        <v>#N/A</v>
      </c>
      <c r="AH125" s="406" t="e">
        <f t="shared" ca="1" si="70"/>
        <v>#N/A</v>
      </c>
      <c r="AI125" s="406" t="e">
        <f t="shared" ca="1" si="70"/>
        <v>#N/A</v>
      </c>
      <c r="AJ125" s="406" t="e">
        <f t="shared" ca="1" si="70"/>
        <v>#N/A</v>
      </c>
      <c r="AK125" s="406" t="e">
        <f t="shared" ca="1" si="70"/>
        <v>#N/A</v>
      </c>
      <c r="AL125" s="406" t="e">
        <f t="shared" ca="1" si="70"/>
        <v>#N/A</v>
      </c>
      <c r="AM125" s="406" t="e">
        <f t="shared" ca="1" si="70"/>
        <v>#N/A</v>
      </c>
      <c r="AN125" s="406" t="e">
        <f t="shared" ca="1" si="70"/>
        <v>#N/A</v>
      </c>
      <c r="AO125" s="406" t="e">
        <f t="shared" ca="1" si="70"/>
        <v>#N/A</v>
      </c>
      <c r="AP125" s="406" t="e">
        <f t="shared" ca="1" si="70"/>
        <v>#N/A</v>
      </c>
      <c r="AQ125" s="406" t="e">
        <f t="shared" ca="1" si="70"/>
        <v>#N/A</v>
      </c>
      <c r="AR125" s="406" t="e">
        <f t="shared" ca="1" si="71"/>
        <v>#N/A</v>
      </c>
      <c r="AS125" s="406" t="e">
        <f t="shared" ca="1" si="71"/>
        <v>#N/A</v>
      </c>
      <c r="AT125" s="406" t="e">
        <f t="shared" ca="1" si="71"/>
        <v>#N/A</v>
      </c>
      <c r="AU125" s="406" t="e">
        <f t="shared" ca="1" si="71"/>
        <v>#N/A</v>
      </c>
      <c r="AV125" s="406" t="e">
        <f t="shared" ca="1" si="71"/>
        <v>#N/A</v>
      </c>
      <c r="AW125" s="406" t="e">
        <f t="shared" ca="1" si="71"/>
        <v>#N/A</v>
      </c>
      <c r="AX125" s="406" t="e">
        <f t="shared" ca="1" si="71"/>
        <v>#N/A</v>
      </c>
      <c r="AY125" s="406" t="e">
        <f t="shared" ca="1" si="71"/>
        <v>#N/A</v>
      </c>
      <c r="AZ125" s="406" t="e">
        <f t="shared" ca="1" si="71"/>
        <v>#N/A</v>
      </c>
      <c r="BA125" s="406" t="e">
        <f t="shared" ca="1" si="71"/>
        <v>#N/A</v>
      </c>
      <c r="BB125" s="412" t="s">
        <v>1196</v>
      </c>
      <c r="BC125" s="407" t="str">
        <f t="shared" ca="1" si="40"/>
        <v/>
      </c>
      <c r="BD125" s="410"/>
      <c r="BE125" s="410"/>
    </row>
    <row r="126" spans="3:57" x14ac:dyDescent="0.25">
      <c r="C126" s="406">
        <f t="shared" si="41"/>
        <v>124</v>
      </c>
      <c r="D126" s="406" t="e">
        <f t="shared" ca="1" si="67"/>
        <v>#N/A</v>
      </c>
      <c r="E126" s="406" t="e">
        <f t="shared" ca="1" si="67"/>
        <v>#N/A</v>
      </c>
      <c r="F126" s="406" t="e">
        <f t="shared" ca="1" si="67"/>
        <v>#N/A</v>
      </c>
      <c r="G126" s="406" t="e">
        <f t="shared" ca="1" si="67"/>
        <v>#N/A</v>
      </c>
      <c r="H126" s="406" t="e">
        <f t="shared" ca="1" si="67"/>
        <v>#N/A</v>
      </c>
      <c r="I126" s="406" t="e">
        <f t="shared" ca="1" si="67"/>
        <v>#N/A</v>
      </c>
      <c r="J126" s="406" t="e">
        <f t="shared" ca="1" si="67"/>
        <v>#N/A</v>
      </c>
      <c r="K126" s="406" t="e">
        <f t="shared" ca="1" si="67"/>
        <v>#N/A</v>
      </c>
      <c r="L126" s="406" t="e">
        <f t="shared" ca="1" si="67"/>
        <v>#N/A</v>
      </c>
      <c r="M126" s="406" t="e">
        <f t="shared" ca="1" si="67"/>
        <v>#N/A</v>
      </c>
      <c r="N126" s="406" t="e">
        <f t="shared" ca="1" si="68"/>
        <v>#N/A</v>
      </c>
      <c r="O126" s="406" t="e">
        <f t="shared" ca="1" si="68"/>
        <v>#N/A</v>
      </c>
      <c r="P126" s="406" t="e">
        <f t="shared" ca="1" si="68"/>
        <v>#N/A</v>
      </c>
      <c r="Q126" s="406" t="e">
        <f t="shared" ca="1" si="68"/>
        <v>#N/A</v>
      </c>
      <c r="R126" s="406" t="e">
        <f t="shared" ca="1" si="68"/>
        <v>#N/A</v>
      </c>
      <c r="S126" s="406" t="e">
        <f t="shared" ca="1" si="68"/>
        <v>#N/A</v>
      </c>
      <c r="T126" s="406" t="e">
        <f t="shared" ca="1" si="68"/>
        <v>#N/A</v>
      </c>
      <c r="U126" s="406" t="e">
        <f t="shared" ca="1" si="68"/>
        <v>#N/A</v>
      </c>
      <c r="V126" s="406" t="e">
        <f t="shared" ca="1" si="68"/>
        <v>#N/A</v>
      </c>
      <c r="W126" s="406" t="e">
        <f t="shared" ca="1" si="68"/>
        <v>#N/A</v>
      </c>
      <c r="X126" s="406" t="e">
        <f t="shared" ca="1" si="69"/>
        <v>#N/A</v>
      </c>
      <c r="Y126" s="406" t="e">
        <f t="shared" ca="1" si="69"/>
        <v>#N/A</v>
      </c>
      <c r="Z126" s="406" t="e">
        <f t="shared" ca="1" si="69"/>
        <v>#N/A</v>
      </c>
      <c r="AA126" s="406" t="e">
        <f t="shared" ca="1" si="69"/>
        <v>#N/A</v>
      </c>
      <c r="AB126" s="406" t="e">
        <f t="shared" ca="1" si="69"/>
        <v>#N/A</v>
      </c>
      <c r="AC126" s="406" t="e">
        <f t="shared" ca="1" si="69"/>
        <v>#N/A</v>
      </c>
      <c r="AD126" s="406" t="e">
        <f t="shared" ca="1" si="69"/>
        <v>#N/A</v>
      </c>
      <c r="AE126" s="406" t="e">
        <f t="shared" ca="1" si="69"/>
        <v>#N/A</v>
      </c>
      <c r="AF126" s="406" t="e">
        <f t="shared" ca="1" si="69"/>
        <v>#N/A</v>
      </c>
      <c r="AG126" s="406" t="e">
        <f t="shared" ca="1" si="69"/>
        <v>#N/A</v>
      </c>
      <c r="AH126" s="406" t="e">
        <f t="shared" ca="1" si="70"/>
        <v>#N/A</v>
      </c>
      <c r="AI126" s="406" t="e">
        <f t="shared" ca="1" si="70"/>
        <v>#N/A</v>
      </c>
      <c r="AJ126" s="406" t="e">
        <f t="shared" ca="1" si="70"/>
        <v>#N/A</v>
      </c>
      <c r="AK126" s="406" t="e">
        <f t="shared" ca="1" si="70"/>
        <v>#N/A</v>
      </c>
      <c r="AL126" s="406" t="e">
        <f t="shared" ca="1" si="70"/>
        <v>#N/A</v>
      </c>
      <c r="AM126" s="406" t="e">
        <f t="shared" ca="1" si="70"/>
        <v>#N/A</v>
      </c>
      <c r="AN126" s="406" t="e">
        <f t="shared" ca="1" si="70"/>
        <v>#N/A</v>
      </c>
      <c r="AO126" s="406" t="e">
        <f t="shared" ca="1" si="70"/>
        <v>#N/A</v>
      </c>
      <c r="AP126" s="406" t="e">
        <f t="shared" ca="1" si="70"/>
        <v>#N/A</v>
      </c>
      <c r="AQ126" s="406" t="e">
        <f t="shared" ca="1" si="70"/>
        <v>#N/A</v>
      </c>
      <c r="AR126" s="406" t="e">
        <f t="shared" ca="1" si="71"/>
        <v>#N/A</v>
      </c>
      <c r="AS126" s="406" t="e">
        <f t="shared" ca="1" si="71"/>
        <v>#N/A</v>
      </c>
      <c r="AT126" s="406" t="e">
        <f t="shared" ca="1" si="71"/>
        <v>#N/A</v>
      </c>
      <c r="AU126" s="406" t="e">
        <f t="shared" ca="1" si="71"/>
        <v>#N/A</v>
      </c>
      <c r="AV126" s="406" t="e">
        <f t="shared" ca="1" si="71"/>
        <v>#N/A</v>
      </c>
      <c r="AW126" s="406" t="e">
        <f t="shared" ca="1" si="71"/>
        <v>#N/A</v>
      </c>
      <c r="AX126" s="406" t="e">
        <f t="shared" ca="1" si="71"/>
        <v>#N/A</v>
      </c>
      <c r="AY126" s="406" t="e">
        <f t="shared" ca="1" si="71"/>
        <v>#N/A</v>
      </c>
      <c r="AZ126" s="406" t="e">
        <f t="shared" ca="1" si="71"/>
        <v>#N/A</v>
      </c>
      <c r="BA126" s="406" t="e">
        <f t="shared" ca="1" si="71"/>
        <v>#N/A</v>
      </c>
      <c r="BB126" s="412" t="s">
        <v>1197</v>
      </c>
      <c r="BC126" s="407" t="str">
        <f t="shared" ca="1" si="40"/>
        <v/>
      </c>
      <c r="BD126" s="410"/>
      <c r="BE126" s="410"/>
    </row>
    <row r="127" spans="3:57" x14ac:dyDescent="0.25">
      <c r="C127" s="406">
        <f t="shared" si="41"/>
        <v>125</v>
      </c>
      <c r="D127" s="406" t="e">
        <f t="shared" ca="1" si="67"/>
        <v>#N/A</v>
      </c>
      <c r="E127" s="406" t="e">
        <f t="shared" ca="1" si="67"/>
        <v>#N/A</v>
      </c>
      <c r="F127" s="406" t="e">
        <f t="shared" ca="1" si="67"/>
        <v>#N/A</v>
      </c>
      <c r="G127" s="406" t="e">
        <f t="shared" ca="1" si="67"/>
        <v>#N/A</v>
      </c>
      <c r="H127" s="406" t="e">
        <f t="shared" ca="1" si="67"/>
        <v>#N/A</v>
      </c>
      <c r="I127" s="406" t="e">
        <f t="shared" ca="1" si="67"/>
        <v>#N/A</v>
      </c>
      <c r="J127" s="406" t="e">
        <f t="shared" ca="1" si="67"/>
        <v>#N/A</v>
      </c>
      <c r="K127" s="406" t="e">
        <f t="shared" ca="1" si="67"/>
        <v>#N/A</v>
      </c>
      <c r="L127" s="406" t="e">
        <f t="shared" ca="1" si="67"/>
        <v>#N/A</v>
      </c>
      <c r="M127" s="406" t="e">
        <f t="shared" ca="1" si="67"/>
        <v>#N/A</v>
      </c>
      <c r="N127" s="406" t="e">
        <f t="shared" ca="1" si="68"/>
        <v>#N/A</v>
      </c>
      <c r="O127" s="406" t="e">
        <f t="shared" ca="1" si="68"/>
        <v>#N/A</v>
      </c>
      <c r="P127" s="406" t="e">
        <f t="shared" ca="1" si="68"/>
        <v>#N/A</v>
      </c>
      <c r="Q127" s="406" t="e">
        <f t="shared" ca="1" si="68"/>
        <v>#N/A</v>
      </c>
      <c r="R127" s="406" t="e">
        <f t="shared" ca="1" si="68"/>
        <v>#N/A</v>
      </c>
      <c r="S127" s="406" t="e">
        <f t="shared" ca="1" si="68"/>
        <v>#N/A</v>
      </c>
      <c r="T127" s="406" t="e">
        <f t="shared" ca="1" si="68"/>
        <v>#N/A</v>
      </c>
      <c r="U127" s="406" t="e">
        <f t="shared" ca="1" si="68"/>
        <v>#N/A</v>
      </c>
      <c r="V127" s="406" t="e">
        <f t="shared" ca="1" si="68"/>
        <v>#N/A</v>
      </c>
      <c r="W127" s="406" t="e">
        <f t="shared" ca="1" si="68"/>
        <v>#N/A</v>
      </c>
      <c r="X127" s="406" t="e">
        <f t="shared" ca="1" si="69"/>
        <v>#N/A</v>
      </c>
      <c r="Y127" s="406" t="e">
        <f t="shared" ca="1" si="69"/>
        <v>#N/A</v>
      </c>
      <c r="Z127" s="406" t="e">
        <f t="shared" ca="1" si="69"/>
        <v>#N/A</v>
      </c>
      <c r="AA127" s="406" t="e">
        <f t="shared" ca="1" si="69"/>
        <v>#N/A</v>
      </c>
      <c r="AB127" s="406" t="e">
        <f t="shared" ca="1" si="69"/>
        <v>#N/A</v>
      </c>
      <c r="AC127" s="406" t="e">
        <f t="shared" ca="1" si="69"/>
        <v>#N/A</v>
      </c>
      <c r="AD127" s="406" t="e">
        <f t="shared" ca="1" si="69"/>
        <v>#N/A</v>
      </c>
      <c r="AE127" s="406" t="e">
        <f t="shared" ca="1" si="69"/>
        <v>#N/A</v>
      </c>
      <c r="AF127" s="406" t="e">
        <f t="shared" ca="1" si="69"/>
        <v>#N/A</v>
      </c>
      <c r="AG127" s="406" t="e">
        <f t="shared" ca="1" si="69"/>
        <v>#N/A</v>
      </c>
      <c r="AH127" s="406" t="e">
        <f t="shared" ca="1" si="70"/>
        <v>#N/A</v>
      </c>
      <c r="AI127" s="406" t="e">
        <f t="shared" ca="1" si="70"/>
        <v>#N/A</v>
      </c>
      <c r="AJ127" s="406" t="e">
        <f t="shared" ca="1" si="70"/>
        <v>#N/A</v>
      </c>
      <c r="AK127" s="406" t="e">
        <f t="shared" ca="1" si="70"/>
        <v>#N/A</v>
      </c>
      <c r="AL127" s="406" t="e">
        <f t="shared" ca="1" si="70"/>
        <v>#N/A</v>
      </c>
      <c r="AM127" s="406" t="e">
        <f t="shared" ca="1" si="70"/>
        <v>#N/A</v>
      </c>
      <c r="AN127" s="406" t="e">
        <f t="shared" ca="1" si="70"/>
        <v>#N/A</v>
      </c>
      <c r="AO127" s="406" t="e">
        <f t="shared" ca="1" si="70"/>
        <v>#N/A</v>
      </c>
      <c r="AP127" s="406" t="e">
        <f t="shared" ca="1" si="70"/>
        <v>#N/A</v>
      </c>
      <c r="AQ127" s="406" t="e">
        <f t="shared" ca="1" si="70"/>
        <v>#N/A</v>
      </c>
      <c r="AR127" s="406" t="e">
        <f t="shared" ca="1" si="71"/>
        <v>#N/A</v>
      </c>
      <c r="AS127" s="406" t="e">
        <f t="shared" ca="1" si="71"/>
        <v>#N/A</v>
      </c>
      <c r="AT127" s="406" t="e">
        <f t="shared" ca="1" si="71"/>
        <v>#N/A</v>
      </c>
      <c r="AU127" s="406" t="e">
        <f t="shared" ca="1" si="71"/>
        <v>#N/A</v>
      </c>
      <c r="AV127" s="406" t="e">
        <f t="shared" ca="1" si="71"/>
        <v>#N/A</v>
      </c>
      <c r="AW127" s="406" t="e">
        <f t="shared" ca="1" si="71"/>
        <v>#N/A</v>
      </c>
      <c r="AX127" s="406" t="e">
        <f t="shared" ca="1" si="71"/>
        <v>#N/A</v>
      </c>
      <c r="AY127" s="406" t="e">
        <f t="shared" ca="1" si="71"/>
        <v>#N/A</v>
      </c>
      <c r="AZ127" s="406" t="e">
        <f t="shared" ca="1" si="71"/>
        <v>#N/A</v>
      </c>
      <c r="BA127" s="406" t="e">
        <f t="shared" ca="1" si="71"/>
        <v>#N/A</v>
      </c>
      <c r="BB127" s="412" t="s">
        <v>1198</v>
      </c>
      <c r="BC127" s="407" t="str">
        <f t="shared" ca="1" si="40"/>
        <v/>
      </c>
      <c r="BD127" s="410"/>
      <c r="BE127" s="410"/>
    </row>
    <row r="128" spans="3:57" x14ac:dyDescent="0.25">
      <c r="C128" s="406">
        <f t="shared" si="41"/>
        <v>126</v>
      </c>
      <c r="D128" s="406" t="e">
        <f t="shared" ca="1" si="67"/>
        <v>#N/A</v>
      </c>
      <c r="E128" s="406" t="e">
        <f t="shared" ca="1" si="67"/>
        <v>#N/A</v>
      </c>
      <c r="F128" s="406" t="e">
        <f t="shared" ca="1" si="67"/>
        <v>#N/A</v>
      </c>
      <c r="G128" s="406" t="e">
        <f t="shared" ca="1" si="67"/>
        <v>#N/A</v>
      </c>
      <c r="H128" s="406" t="e">
        <f t="shared" ca="1" si="67"/>
        <v>#N/A</v>
      </c>
      <c r="I128" s="406" t="e">
        <f t="shared" ca="1" si="67"/>
        <v>#N/A</v>
      </c>
      <c r="J128" s="406" t="e">
        <f t="shared" ca="1" si="67"/>
        <v>#N/A</v>
      </c>
      <c r="K128" s="406" t="e">
        <f t="shared" ca="1" si="67"/>
        <v>#N/A</v>
      </c>
      <c r="L128" s="406" t="e">
        <f t="shared" ca="1" si="67"/>
        <v>#N/A</v>
      </c>
      <c r="M128" s="406" t="e">
        <f t="shared" ca="1" si="67"/>
        <v>#N/A</v>
      </c>
      <c r="N128" s="406" t="e">
        <f t="shared" ca="1" si="68"/>
        <v>#N/A</v>
      </c>
      <c r="O128" s="406" t="e">
        <f t="shared" ca="1" si="68"/>
        <v>#N/A</v>
      </c>
      <c r="P128" s="406" t="e">
        <f t="shared" ca="1" si="68"/>
        <v>#N/A</v>
      </c>
      <c r="Q128" s="406" t="e">
        <f t="shared" ca="1" si="68"/>
        <v>#N/A</v>
      </c>
      <c r="R128" s="406" t="e">
        <f t="shared" ca="1" si="68"/>
        <v>#N/A</v>
      </c>
      <c r="S128" s="406" t="e">
        <f t="shared" ca="1" si="68"/>
        <v>#N/A</v>
      </c>
      <c r="T128" s="406" t="e">
        <f t="shared" ca="1" si="68"/>
        <v>#N/A</v>
      </c>
      <c r="U128" s="406" t="e">
        <f t="shared" ca="1" si="68"/>
        <v>#N/A</v>
      </c>
      <c r="V128" s="406" t="e">
        <f t="shared" ca="1" si="68"/>
        <v>#N/A</v>
      </c>
      <c r="W128" s="406" t="e">
        <f t="shared" ca="1" si="68"/>
        <v>#N/A</v>
      </c>
      <c r="X128" s="406" t="e">
        <f t="shared" ca="1" si="69"/>
        <v>#N/A</v>
      </c>
      <c r="Y128" s="406" t="e">
        <f t="shared" ca="1" si="69"/>
        <v>#N/A</v>
      </c>
      <c r="Z128" s="406" t="e">
        <f t="shared" ca="1" si="69"/>
        <v>#N/A</v>
      </c>
      <c r="AA128" s="406" t="e">
        <f t="shared" ca="1" si="69"/>
        <v>#N/A</v>
      </c>
      <c r="AB128" s="406" t="e">
        <f t="shared" ca="1" si="69"/>
        <v>#N/A</v>
      </c>
      <c r="AC128" s="406" t="e">
        <f t="shared" ca="1" si="69"/>
        <v>#N/A</v>
      </c>
      <c r="AD128" s="406" t="e">
        <f t="shared" ca="1" si="69"/>
        <v>#N/A</v>
      </c>
      <c r="AE128" s="406" t="e">
        <f t="shared" ca="1" si="69"/>
        <v>#N/A</v>
      </c>
      <c r="AF128" s="406" t="e">
        <f t="shared" ca="1" si="69"/>
        <v>#N/A</v>
      </c>
      <c r="AG128" s="406" t="e">
        <f t="shared" ca="1" si="69"/>
        <v>#N/A</v>
      </c>
      <c r="AH128" s="406" t="e">
        <f t="shared" ca="1" si="70"/>
        <v>#N/A</v>
      </c>
      <c r="AI128" s="406" t="e">
        <f t="shared" ca="1" si="70"/>
        <v>#N/A</v>
      </c>
      <c r="AJ128" s="406" t="e">
        <f t="shared" ca="1" si="70"/>
        <v>#N/A</v>
      </c>
      <c r="AK128" s="406" t="e">
        <f t="shared" ca="1" si="70"/>
        <v>#N/A</v>
      </c>
      <c r="AL128" s="406" t="e">
        <f t="shared" ca="1" si="70"/>
        <v>#N/A</v>
      </c>
      <c r="AM128" s="406" t="e">
        <f t="shared" ca="1" si="70"/>
        <v>#N/A</v>
      </c>
      <c r="AN128" s="406" t="e">
        <f t="shared" ca="1" si="70"/>
        <v>#N/A</v>
      </c>
      <c r="AO128" s="406" t="e">
        <f t="shared" ca="1" si="70"/>
        <v>#N/A</v>
      </c>
      <c r="AP128" s="406" t="e">
        <f t="shared" ca="1" si="70"/>
        <v>#N/A</v>
      </c>
      <c r="AQ128" s="406" t="e">
        <f t="shared" ca="1" si="70"/>
        <v>#N/A</v>
      </c>
      <c r="AR128" s="406" t="e">
        <f t="shared" ca="1" si="71"/>
        <v>#N/A</v>
      </c>
      <c r="AS128" s="406" t="e">
        <f t="shared" ca="1" si="71"/>
        <v>#N/A</v>
      </c>
      <c r="AT128" s="406" t="e">
        <f t="shared" ca="1" si="71"/>
        <v>#N/A</v>
      </c>
      <c r="AU128" s="406" t="e">
        <f t="shared" ca="1" si="71"/>
        <v>#N/A</v>
      </c>
      <c r="AV128" s="406" t="e">
        <f t="shared" ca="1" si="71"/>
        <v>#N/A</v>
      </c>
      <c r="AW128" s="406" t="e">
        <f t="shared" ca="1" si="71"/>
        <v>#N/A</v>
      </c>
      <c r="AX128" s="406" t="e">
        <f t="shared" ca="1" si="71"/>
        <v>#N/A</v>
      </c>
      <c r="AY128" s="406" t="e">
        <f t="shared" ca="1" si="71"/>
        <v>#N/A</v>
      </c>
      <c r="AZ128" s="406" t="e">
        <f t="shared" ca="1" si="71"/>
        <v>#N/A</v>
      </c>
      <c r="BA128" s="406" t="e">
        <f t="shared" ca="1" si="71"/>
        <v>#N/A</v>
      </c>
      <c r="BB128" s="412" t="s">
        <v>1199</v>
      </c>
      <c r="BC128" s="407" t="str">
        <f t="shared" ca="1" si="40"/>
        <v/>
      </c>
      <c r="BD128" s="410"/>
      <c r="BE128" s="410"/>
    </row>
    <row r="129" spans="3:57" x14ac:dyDescent="0.25">
      <c r="C129" s="406">
        <f t="shared" si="41"/>
        <v>127</v>
      </c>
      <c r="D129" s="406" t="e">
        <f t="shared" ca="1" si="67"/>
        <v>#N/A</v>
      </c>
      <c r="E129" s="406" t="e">
        <f t="shared" ca="1" si="67"/>
        <v>#N/A</v>
      </c>
      <c r="F129" s="406" t="e">
        <f t="shared" ca="1" si="67"/>
        <v>#N/A</v>
      </c>
      <c r="G129" s="406" t="e">
        <f t="shared" ca="1" si="67"/>
        <v>#N/A</v>
      </c>
      <c r="H129" s="406" t="e">
        <f t="shared" ca="1" si="67"/>
        <v>#N/A</v>
      </c>
      <c r="I129" s="406" t="e">
        <f t="shared" ca="1" si="67"/>
        <v>#N/A</v>
      </c>
      <c r="J129" s="406" t="e">
        <f t="shared" ca="1" si="67"/>
        <v>#N/A</v>
      </c>
      <c r="K129" s="406" t="e">
        <f t="shared" ca="1" si="67"/>
        <v>#N/A</v>
      </c>
      <c r="L129" s="406" t="e">
        <f t="shared" ca="1" si="67"/>
        <v>#N/A</v>
      </c>
      <c r="M129" s="406" t="e">
        <f t="shared" ca="1" si="67"/>
        <v>#N/A</v>
      </c>
      <c r="N129" s="406" t="e">
        <f t="shared" ca="1" si="68"/>
        <v>#N/A</v>
      </c>
      <c r="O129" s="406" t="e">
        <f t="shared" ca="1" si="68"/>
        <v>#N/A</v>
      </c>
      <c r="P129" s="406" t="e">
        <f t="shared" ca="1" si="68"/>
        <v>#N/A</v>
      </c>
      <c r="Q129" s="406" t="e">
        <f t="shared" ca="1" si="68"/>
        <v>#N/A</v>
      </c>
      <c r="R129" s="406" t="e">
        <f t="shared" ca="1" si="68"/>
        <v>#N/A</v>
      </c>
      <c r="S129" s="406" t="e">
        <f t="shared" ca="1" si="68"/>
        <v>#N/A</v>
      </c>
      <c r="T129" s="406" t="e">
        <f t="shared" ca="1" si="68"/>
        <v>#N/A</v>
      </c>
      <c r="U129" s="406" t="e">
        <f t="shared" ca="1" si="68"/>
        <v>#N/A</v>
      </c>
      <c r="V129" s="406" t="e">
        <f t="shared" ca="1" si="68"/>
        <v>#N/A</v>
      </c>
      <c r="W129" s="406" t="e">
        <f t="shared" ca="1" si="68"/>
        <v>#N/A</v>
      </c>
      <c r="X129" s="406" t="e">
        <f t="shared" ca="1" si="69"/>
        <v>#N/A</v>
      </c>
      <c r="Y129" s="406" t="e">
        <f t="shared" ca="1" si="69"/>
        <v>#N/A</v>
      </c>
      <c r="Z129" s="406" t="e">
        <f t="shared" ca="1" si="69"/>
        <v>#N/A</v>
      </c>
      <c r="AA129" s="406" t="e">
        <f t="shared" ca="1" si="69"/>
        <v>#N/A</v>
      </c>
      <c r="AB129" s="406" t="e">
        <f t="shared" ca="1" si="69"/>
        <v>#N/A</v>
      </c>
      <c r="AC129" s="406" t="e">
        <f t="shared" ca="1" si="69"/>
        <v>#N/A</v>
      </c>
      <c r="AD129" s="406" t="e">
        <f t="shared" ca="1" si="69"/>
        <v>#N/A</v>
      </c>
      <c r="AE129" s="406" t="e">
        <f t="shared" ca="1" si="69"/>
        <v>#N/A</v>
      </c>
      <c r="AF129" s="406" t="e">
        <f t="shared" ca="1" si="69"/>
        <v>#N/A</v>
      </c>
      <c r="AG129" s="406" t="e">
        <f t="shared" ca="1" si="69"/>
        <v>#N/A</v>
      </c>
      <c r="AH129" s="406" t="e">
        <f t="shared" ca="1" si="70"/>
        <v>#N/A</v>
      </c>
      <c r="AI129" s="406" t="e">
        <f t="shared" ca="1" si="70"/>
        <v>#N/A</v>
      </c>
      <c r="AJ129" s="406" t="e">
        <f t="shared" ca="1" si="70"/>
        <v>#N/A</v>
      </c>
      <c r="AK129" s="406" t="e">
        <f t="shared" ca="1" si="70"/>
        <v>#N/A</v>
      </c>
      <c r="AL129" s="406" t="e">
        <f t="shared" ca="1" si="70"/>
        <v>#N/A</v>
      </c>
      <c r="AM129" s="406" t="e">
        <f t="shared" ca="1" si="70"/>
        <v>#N/A</v>
      </c>
      <c r="AN129" s="406" t="e">
        <f t="shared" ca="1" si="70"/>
        <v>#N/A</v>
      </c>
      <c r="AO129" s="406" t="e">
        <f t="shared" ca="1" si="70"/>
        <v>#N/A</v>
      </c>
      <c r="AP129" s="406" t="e">
        <f t="shared" ca="1" si="70"/>
        <v>#N/A</v>
      </c>
      <c r="AQ129" s="406" t="e">
        <f t="shared" ca="1" si="70"/>
        <v>#N/A</v>
      </c>
      <c r="AR129" s="406" t="e">
        <f t="shared" ca="1" si="71"/>
        <v>#N/A</v>
      </c>
      <c r="AS129" s="406" t="e">
        <f t="shared" ca="1" si="71"/>
        <v>#N/A</v>
      </c>
      <c r="AT129" s="406" t="e">
        <f t="shared" ca="1" si="71"/>
        <v>#N/A</v>
      </c>
      <c r="AU129" s="406" t="e">
        <f t="shared" ca="1" si="71"/>
        <v>#N/A</v>
      </c>
      <c r="AV129" s="406" t="e">
        <f t="shared" ca="1" si="71"/>
        <v>#N/A</v>
      </c>
      <c r="AW129" s="406" t="e">
        <f t="shared" ca="1" si="71"/>
        <v>#N/A</v>
      </c>
      <c r="AX129" s="406" t="e">
        <f t="shared" ca="1" si="71"/>
        <v>#N/A</v>
      </c>
      <c r="AY129" s="406" t="e">
        <f t="shared" ca="1" si="71"/>
        <v>#N/A</v>
      </c>
      <c r="AZ129" s="406" t="e">
        <f t="shared" ca="1" si="71"/>
        <v>#N/A</v>
      </c>
      <c r="BA129" s="406" t="e">
        <f t="shared" ca="1" si="71"/>
        <v>#N/A</v>
      </c>
      <c r="BB129" s="412" t="s">
        <v>1200</v>
      </c>
      <c r="BC129" s="407" t="str">
        <f t="shared" ca="1" si="40"/>
        <v/>
      </c>
      <c r="BD129" s="410"/>
      <c r="BE129" s="410"/>
    </row>
    <row r="130" spans="3:57" x14ac:dyDescent="0.25">
      <c r="C130" s="406">
        <f t="shared" si="41"/>
        <v>128</v>
      </c>
      <c r="D130" s="406" t="e">
        <f t="shared" ca="1" si="67"/>
        <v>#N/A</v>
      </c>
      <c r="E130" s="406" t="e">
        <f t="shared" ca="1" si="67"/>
        <v>#N/A</v>
      </c>
      <c r="F130" s="406" t="e">
        <f t="shared" ca="1" si="67"/>
        <v>#N/A</v>
      </c>
      <c r="G130" s="406" t="e">
        <f t="shared" ca="1" si="67"/>
        <v>#N/A</v>
      </c>
      <c r="H130" s="406" t="e">
        <f t="shared" ca="1" si="67"/>
        <v>#N/A</v>
      </c>
      <c r="I130" s="406" t="e">
        <f t="shared" ca="1" si="67"/>
        <v>#N/A</v>
      </c>
      <c r="J130" s="406" t="e">
        <f t="shared" ca="1" si="67"/>
        <v>#N/A</v>
      </c>
      <c r="K130" s="406" t="e">
        <f t="shared" ca="1" si="67"/>
        <v>#N/A</v>
      </c>
      <c r="L130" s="406" t="e">
        <f t="shared" ca="1" si="67"/>
        <v>#N/A</v>
      </c>
      <c r="M130" s="406" t="e">
        <f t="shared" ca="1" si="67"/>
        <v>#N/A</v>
      </c>
      <c r="N130" s="406" t="e">
        <f t="shared" ca="1" si="68"/>
        <v>#N/A</v>
      </c>
      <c r="O130" s="406" t="e">
        <f t="shared" ca="1" si="68"/>
        <v>#N/A</v>
      </c>
      <c r="P130" s="406" t="e">
        <f t="shared" ca="1" si="68"/>
        <v>#N/A</v>
      </c>
      <c r="Q130" s="406" t="e">
        <f t="shared" ca="1" si="68"/>
        <v>#N/A</v>
      </c>
      <c r="R130" s="406" t="e">
        <f t="shared" ca="1" si="68"/>
        <v>#N/A</v>
      </c>
      <c r="S130" s="406" t="e">
        <f t="shared" ca="1" si="68"/>
        <v>#N/A</v>
      </c>
      <c r="T130" s="406" t="e">
        <f t="shared" ca="1" si="68"/>
        <v>#N/A</v>
      </c>
      <c r="U130" s="406" t="e">
        <f t="shared" ca="1" si="68"/>
        <v>#N/A</v>
      </c>
      <c r="V130" s="406" t="e">
        <f t="shared" ca="1" si="68"/>
        <v>#N/A</v>
      </c>
      <c r="W130" s="406" t="e">
        <f t="shared" ca="1" si="68"/>
        <v>#N/A</v>
      </c>
      <c r="X130" s="406" t="e">
        <f t="shared" ca="1" si="69"/>
        <v>#N/A</v>
      </c>
      <c r="Y130" s="406" t="e">
        <f t="shared" ca="1" si="69"/>
        <v>#N/A</v>
      </c>
      <c r="Z130" s="406" t="e">
        <f t="shared" ca="1" si="69"/>
        <v>#N/A</v>
      </c>
      <c r="AA130" s="406" t="e">
        <f t="shared" ca="1" si="69"/>
        <v>#N/A</v>
      </c>
      <c r="AB130" s="406" t="e">
        <f t="shared" ca="1" si="69"/>
        <v>#N/A</v>
      </c>
      <c r="AC130" s="406" t="e">
        <f t="shared" ca="1" si="69"/>
        <v>#N/A</v>
      </c>
      <c r="AD130" s="406" t="e">
        <f t="shared" ca="1" si="69"/>
        <v>#N/A</v>
      </c>
      <c r="AE130" s="406" t="e">
        <f t="shared" ca="1" si="69"/>
        <v>#N/A</v>
      </c>
      <c r="AF130" s="406" t="e">
        <f t="shared" ca="1" si="69"/>
        <v>#N/A</v>
      </c>
      <c r="AG130" s="406" t="e">
        <f t="shared" ca="1" si="69"/>
        <v>#N/A</v>
      </c>
      <c r="AH130" s="406" t="e">
        <f t="shared" ca="1" si="70"/>
        <v>#N/A</v>
      </c>
      <c r="AI130" s="406" t="e">
        <f t="shared" ca="1" si="70"/>
        <v>#N/A</v>
      </c>
      <c r="AJ130" s="406" t="e">
        <f t="shared" ca="1" si="70"/>
        <v>#N/A</v>
      </c>
      <c r="AK130" s="406" t="e">
        <f t="shared" ca="1" si="70"/>
        <v>#N/A</v>
      </c>
      <c r="AL130" s="406" t="e">
        <f t="shared" ca="1" si="70"/>
        <v>#N/A</v>
      </c>
      <c r="AM130" s="406" t="e">
        <f t="shared" ca="1" si="70"/>
        <v>#N/A</v>
      </c>
      <c r="AN130" s="406" t="e">
        <f t="shared" ca="1" si="70"/>
        <v>#N/A</v>
      </c>
      <c r="AO130" s="406" t="e">
        <f t="shared" ca="1" si="70"/>
        <v>#N/A</v>
      </c>
      <c r="AP130" s="406" t="e">
        <f t="shared" ca="1" si="70"/>
        <v>#N/A</v>
      </c>
      <c r="AQ130" s="406" t="e">
        <f t="shared" ca="1" si="70"/>
        <v>#N/A</v>
      </c>
      <c r="AR130" s="406" t="e">
        <f t="shared" ca="1" si="71"/>
        <v>#N/A</v>
      </c>
      <c r="AS130" s="406" t="e">
        <f t="shared" ca="1" si="71"/>
        <v>#N/A</v>
      </c>
      <c r="AT130" s="406" t="e">
        <f t="shared" ca="1" si="71"/>
        <v>#N/A</v>
      </c>
      <c r="AU130" s="406" t="e">
        <f t="shared" ca="1" si="71"/>
        <v>#N/A</v>
      </c>
      <c r="AV130" s="406" t="e">
        <f t="shared" ca="1" si="71"/>
        <v>#N/A</v>
      </c>
      <c r="AW130" s="406" t="e">
        <f t="shared" ca="1" si="71"/>
        <v>#N/A</v>
      </c>
      <c r="AX130" s="406" t="e">
        <f t="shared" ca="1" si="71"/>
        <v>#N/A</v>
      </c>
      <c r="AY130" s="406" t="e">
        <f t="shared" ca="1" si="71"/>
        <v>#N/A</v>
      </c>
      <c r="AZ130" s="406" t="e">
        <f t="shared" ca="1" si="71"/>
        <v>#N/A</v>
      </c>
      <c r="BA130" s="406" t="e">
        <f t="shared" ca="1" si="71"/>
        <v>#N/A</v>
      </c>
      <c r="BB130" s="412" t="s">
        <v>1201</v>
      </c>
      <c r="BC130" s="407" t="str">
        <f t="shared" ref="BC130:BC193" ca="1" si="72">IFERROR(ABS(INDEX($D$2:$BA$502,MATCH($BB130,$D$2:$D$502,0),MATCH(BC$1,INDIRECT(CONCATENATE("D" &amp; $A$6 &amp; ":BA" &amp; $A$6)),0)))*(IF(RTF_unit="K",1,IF(RTF_unit="lb",1/1000,IF(RTF_unit="T",1/2,1)))),"")</f>
        <v/>
      </c>
      <c r="BD130" s="410"/>
      <c r="BE130" s="410"/>
    </row>
    <row r="131" spans="3:57" x14ac:dyDescent="0.25">
      <c r="C131" s="406">
        <f t="shared" si="41"/>
        <v>129</v>
      </c>
      <c r="D131" s="406" t="e">
        <f t="shared" ca="1" si="67"/>
        <v>#N/A</v>
      </c>
      <c r="E131" s="406" t="e">
        <f t="shared" ca="1" si="67"/>
        <v>#N/A</v>
      </c>
      <c r="F131" s="406" t="e">
        <f t="shared" ca="1" si="67"/>
        <v>#N/A</v>
      </c>
      <c r="G131" s="406" t="e">
        <f t="shared" ca="1" si="67"/>
        <v>#N/A</v>
      </c>
      <c r="H131" s="406" t="e">
        <f t="shared" ca="1" si="67"/>
        <v>#N/A</v>
      </c>
      <c r="I131" s="406" t="e">
        <f t="shared" ca="1" si="67"/>
        <v>#N/A</v>
      </c>
      <c r="J131" s="406" t="e">
        <f t="shared" ca="1" si="67"/>
        <v>#N/A</v>
      </c>
      <c r="K131" s="406" t="e">
        <f t="shared" ca="1" si="67"/>
        <v>#N/A</v>
      </c>
      <c r="L131" s="406" t="e">
        <f t="shared" ca="1" si="67"/>
        <v>#N/A</v>
      </c>
      <c r="M131" s="406" t="e">
        <f t="shared" ca="1" si="67"/>
        <v>#N/A</v>
      </c>
      <c r="N131" s="406" t="e">
        <f t="shared" ca="1" si="68"/>
        <v>#N/A</v>
      </c>
      <c r="O131" s="406" t="e">
        <f t="shared" ca="1" si="68"/>
        <v>#N/A</v>
      </c>
      <c r="P131" s="406" t="e">
        <f t="shared" ca="1" si="68"/>
        <v>#N/A</v>
      </c>
      <c r="Q131" s="406" t="e">
        <f t="shared" ca="1" si="68"/>
        <v>#N/A</v>
      </c>
      <c r="R131" s="406" t="e">
        <f t="shared" ca="1" si="68"/>
        <v>#N/A</v>
      </c>
      <c r="S131" s="406" t="e">
        <f t="shared" ca="1" si="68"/>
        <v>#N/A</v>
      </c>
      <c r="T131" s="406" t="e">
        <f t="shared" ca="1" si="68"/>
        <v>#N/A</v>
      </c>
      <c r="U131" s="406" t="e">
        <f t="shared" ca="1" si="68"/>
        <v>#N/A</v>
      </c>
      <c r="V131" s="406" t="e">
        <f t="shared" ca="1" si="68"/>
        <v>#N/A</v>
      </c>
      <c r="W131" s="406" t="e">
        <f t="shared" ca="1" si="68"/>
        <v>#N/A</v>
      </c>
      <c r="X131" s="406" t="e">
        <f t="shared" ca="1" si="69"/>
        <v>#N/A</v>
      </c>
      <c r="Y131" s="406" t="e">
        <f t="shared" ca="1" si="69"/>
        <v>#N/A</v>
      </c>
      <c r="Z131" s="406" t="e">
        <f t="shared" ca="1" si="69"/>
        <v>#N/A</v>
      </c>
      <c r="AA131" s="406" t="e">
        <f t="shared" ca="1" si="69"/>
        <v>#N/A</v>
      </c>
      <c r="AB131" s="406" t="e">
        <f t="shared" ca="1" si="69"/>
        <v>#N/A</v>
      </c>
      <c r="AC131" s="406" t="e">
        <f t="shared" ca="1" si="69"/>
        <v>#N/A</v>
      </c>
      <c r="AD131" s="406" t="e">
        <f t="shared" ca="1" si="69"/>
        <v>#N/A</v>
      </c>
      <c r="AE131" s="406" t="e">
        <f t="shared" ca="1" si="69"/>
        <v>#N/A</v>
      </c>
      <c r="AF131" s="406" t="e">
        <f t="shared" ca="1" si="69"/>
        <v>#N/A</v>
      </c>
      <c r="AG131" s="406" t="e">
        <f t="shared" ca="1" si="69"/>
        <v>#N/A</v>
      </c>
      <c r="AH131" s="406" t="e">
        <f t="shared" ca="1" si="70"/>
        <v>#N/A</v>
      </c>
      <c r="AI131" s="406" t="e">
        <f t="shared" ca="1" si="70"/>
        <v>#N/A</v>
      </c>
      <c r="AJ131" s="406" t="e">
        <f t="shared" ca="1" si="70"/>
        <v>#N/A</v>
      </c>
      <c r="AK131" s="406" t="e">
        <f t="shared" ca="1" si="70"/>
        <v>#N/A</v>
      </c>
      <c r="AL131" s="406" t="e">
        <f t="shared" ca="1" si="70"/>
        <v>#N/A</v>
      </c>
      <c r="AM131" s="406" t="e">
        <f t="shared" ca="1" si="70"/>
        <v>#N/A</v>
      </c>
      <c r="AN131" s="406" t="e">
        <f t="shared" ca="1" si="70"/>
        <v>#N/A</v>
      </c>
      <c r="AO131" s="406" t="e">
        <f t="shared" ca="1" si="70"/>
        <v>#N/A</v>
      </c>
      <c r="AP131" s="406" t="e">
        <f t="shared" ca="1" si="70"/>
        <v>#N/A</v>
      </c>
      <c r="AQ131" s="406" t="e">
        <f t="shared" ca="1" si="70"/>
        <v>#N/A</v>
      </c>
      <c r="AR131" s="406" t="e">
        <f t="shared" ca="1" si="71"/>
        <v>#N/A</v>
      </c>
      <c r="AS131" s="406" t="e">
        <f t="shared" ca="1" si="71"/>
        <v>#N/A</v>
      </c>
      <c r="AT131" s="406" t="e">
        <f t="shared" ca="1" si="71"/>
        <v>#N/A</v>
      </c>
      <c r="AU131" s="406" t="e">
        <f t="shared" ca="1" si="71"/>
        <v>#N/A</v>
      </c>
      <c r="AV131" s="406" t="e">
        <f t="shared" ca="1" si="71"/>
        <v>#N/A</v>
      </c>
      <c r="AW131" s="406" t="e">
        <f t="shared" ca="1" si="71"/>
        <v>#N/A</v>
      </c>
      <c r="AX131" s="406" t="e">
        <f t="shared" ca="1" si="71"/>
        <v>#N/A</v>
      </c>
      <c r="AY131" s="406" t="e">
        <f t="shared" ca="1" si="71"/>
        <v>#N/A</v>
      </c>
      <c r="AZ131" s="406" t="e">
        <f t="shared" ca="1" si="71"/>
        <v>#N/A</v>
      </c>
      <c r="BA131" s="406" t="e">
        <f t="shared" ca="1" si="71"/>
        <v>#N/A</v>
      </c>
      <c r="BB131" s="412" t="s">
        <v>1202</v>
      </c>
      <c r="BC131" s="407" t="str">
        <f t="shared" ca="1" si="72"/>
        <v/>
      </c>
      <c r="BD131" s="410"/>
      <c r="BE131" s="410"/>
    </row>
    <row r="132" spans="3:57" x14ac:dyDescent="0.25">
      <c r="C132" s="406">
        <f t="shared" ref="C132:C195" si="73">C131+1</f>
        <v>130</v>
      </c>
      <c r="D132" s="406" t="e">
        <f t="shared" ref="D132:M141" ca="1" si="74">TRIM(INDIRECT("'" &amp; "TNX RTF" &amp; "'!" &amp; ADDRESS($A$3+$C132,D$1)))</f>
        <v>#N/A</v>
      </c>
      <c r="E132" s="406" t="e">
        <f t="shared" ca="1" si="74"/>
        <v>#N/A</v>
      </c>
      <c r="F132" s="406" t="e">
        <f t="shared" ca="1" si="74"/>
        <v>#N/A</v>
      </c>
      <c r="G132" s="406" t="e">
        <f t="shared" ca="1" si="74"/>
        <v>#N/A</v>
      </c>
      <c r="H132" s="406" t="e">
        <f t="shared" ca="1" si="74"/>
        <v>#N/A</v>
      </c>
      <c r="I132" s="406" t="e">
        <f t="shared" ca="1" si="74"/>
        <v>#N/A</v>
      </c>
      <c r="J132" s="406" t="e">
        <f t="shared" ca="1" si="74"/>
        <v>#N/A</v>
      </c>
      <c r="K132" s="406" t="e">
        <f t="shared" ca="1" si="74"/>
        <v>#N/A</v>
      </c>
      <c r="L132" s="406" t="e">
        <f t="shared" ca="1" si="74"/>
        <v>#N/A</v>
      </c>
      <c r="M132" s="406" t="e">
        <f t="shared" ca="1" si="74"/>
        <v>#N/A</v>
      </c>
      <c r="N132" s="406" t="e">
        <f t="shared" ref="N132:W141" ca="1" si="75">TRIM(INDIRECT("'" &amp; "TNX RTF" &amp; "'!" &amp; ADDRESS($A$3+$C132,N$1)))</f>
        <v>#N/A</v>
      </c>
      <c r="O132" s="406" t="e">
        <f t="shared" ca="1" si="75"/>
        <v>#N/A</v>
      </c>
      <c r="P132" s="406" t="e">
        <f t="shared" ca="1" si="75"/>
        <v>#N/A</v>
      </c>
      <c r="Q132" s="406" t="e">
        <f t="shared" ca="1" si="75"/>
        <v>#N/A</v>
      </c>
      <c r="R132" s="406" t="e">
        <f t="shared" ca="1" si="75"/>
        <v>#N/A</v>
      </c>
      <c r="S132" s="406" t="e">
        <f t="shared" ca="1" si="75"/>
        <v>#N/A</v>
      </c>
      <c r="T132" s="406" t="e">
        <f t="shared" ca="1" si="75"/>
        <v>#N/A</v>
      </c>
      <c r="U132" s="406" t="e">
        <f t="shared" ca="1" si="75"/>
        <v>#N/A</v>
      </c>
      <c r="V132" s="406" t="e">
        <f t="shared" ca="1" si="75"/>
        <v>#N/A</v>
      </c>
      <c r="W132" s="406" t="e">
        <f t="shared" ca="1" si="75"/>
        <v>#N/A</v>
      </c>
      <c r="X132" s="406" t="e">
        <f t="shared" ref="X132:AG141" ca="1" si="76">TRIM(INDIRECT("'" &amp; "TNX RTF" &amp; "'!" &amp; ADDRESS($A$3+$C132,X$1)))</f>
        <v>#N/A</v>
      </c>
      <c r="Y132" s="406" t="e">
        <f t="shared" ca="1" si="76"/>
        <v>#N/A</v>
      </c>
      <c r="Z132" s="406" t="e">
        <f t="shared" ca="1" si="76"/>
        <v>#N/A</v>
      </c>
      <c r="AA132" s="406" t="e">
        <f t="shared" ca="1" si="76"/>
        <v>#N/A</v>
      </c>
      <c r="AB132" s="406" t="e">
        <f t="shared" ca="1" si="76"/>
        <v>#N/A</v>
      </c>
      <c r="AC132" s="406" t="e">
        <f t="shared" ca="1" si="76"/>
        <v>#N/A</v>
      </c>
      <c r="AD132" s="406" t="e">
        <f t="shared" ca="1" si="76"/>
        <v>#N/A</v>
      </c>
      <c r="AE132" s="406" t="e">
        <f t="shared" ca="1" si="76"/>
        <v>#N/A</v>
      </c>
      <c r="AF132" s="406" t="e">
        <f t="shared" ca="1" si="76"/>
        <v>#N/A</v>
      </c>
      <c r="AG132" s="406" t="e">
        <f t="shared" ca="1" si="76"/>
        <v>#N/A</v>
      </c>
      <c r="AH132" s="406" t="e">
        <f t="shared" ref="AH132:AQ141" ca="1" si="77">TRIM(INDIRECT("'" &amp; "TNX RTF" &amp; "'!" &amp; ADDRESS($A$3+$C132,AH$1)))</f>
        <v>#N/A</v>
      </c>
      <c r="AI132" s="406" t="e">
        <f t="shared" ca="1" si="77"/>
        <v>#N/A</v>
      </c>
      <c r="AJ132" s="406" t="e">
        <f t="shared" ca="1" si="77"/>
        <v>#N/A</v>
      </c>
      <c r="AK132" s="406" t="e">
        <f t="shared" ca="1" si="77"/>
        <v>#N/A</v>
      </c>
      <c r="AL132" s="406" t="e">
        <f t="shared" ca="1" si="77"/>
        <v>#N/A</v>
      </c>
      <c r="AM132" s="406" t="e">
        <f t="shared" ca="1" si="77"/>
        <v>#N/A</v>
      </c>
      <c r="AN132" s="406" t="e">
        <f t="shared" ca="1" si="77"/>
        <v>#N/A</v>
      </c>
      <c r="AO132" s="406" t="e">
        <f t="shared" ca="1" si="77"/>
        <v>#N/A</v>
      </c>
      <c r="AP132" s="406" t="e">
        <f t="shared" ca="1" si="77"/>
        <v>#N/A</v>
      </c>
      <c r="AQ132" s="406" t="e">
        <f t="shared" ca="1" si="77"/>
        <v>#N/A</v>
      </c>
      <c r="AR132" s="406" t="e">
        <f t="shared" ref="AR132:BA141" ca="1" si="78">TRIM(INDIRECT("'" &amp; "TNX RTF" &amp; "'!" &amp; ADDRESS($A$3+$C132,AR$1)))</f>
        <v>#N/A</v>
      </c>
      <c r="AS132" s="406" t="e">
        <f t="shared" ca="1" si="78"/>
        <v>#N/A</v>
      </c>
      <c r="AT132" s="406" t="e">
        <f t="shared" ca="1" si="78"/>
        <v>#N/A</v>
      </c>
      <c r="AU132" s="406" t="e">
        <f t="shared" ca="1" si="78"/>
        <v>#N/A</v>
      </c>
      <c r="AV132" s="406" t="e">
        <f t="shared" ca="1" si="78"/>
        <v>#N/A</v>
      </c>
      <c r="AW132" s="406" t="e">
        <f t="shared" ca="1" si="78"/>
        <v>#N/A</v>
      </c>
      <c r="AX132" s="406" t="e">
        <f t="shared" ca="1" si="78"/>
        <v>#N/A</v>
      </c>
      <c r="AY132" s="406" t="e">
        <f t="shared" ca="1" si="78"/>
        <v>#N/A</v>
      </c>
      <c r="AZ132" s="406" t="e">
        <f t="shared" ca="1" si="78"/>
        <v>#N/A</v>
      </c>
      <c r="BA132" s="406" t="e">
        <f t="shared" ca="1" si="78"/>
        <v>#N/A</v>
      </c>
      <c r="BB132" s="412" t="s">
        <v>1203</v>
      </c>
      <c r="BC132" s="407" t="str">
        <f t="shared" ca="1" si="72"/>
        <v/>
      </c>
      <c r="BD132" s="410"/>
      <c r="BE132" s="410"/>
    </row>
    <row r="133" spans="3:57" x14ac:dyDescent="0.25">
      <c r="C133" s="406">
        <f t="shared" si="73"/>
        <v>131</v>
      </c>
      <c r="D133" s="406" t="e">
        <f t="shared" ca="1" si="74"/>
        <v>#N/A</v>
      </c>
      <c r="E133" s="406" t="e">
        <f t="shared" ca="1" si="74"/>
        <v>#N/A</v>
      </c>
      <c r="F133" s="406" t="e">
        <f t="shared" ca="1" si="74"/>
        <v>#N/A</v>
      </c>
      <c r="G133" s="406" t="e">
        <f t="shared" ca="1" si="74"/>
        <v>#N/A</v>
      </c>
      <c r="H133" s="406" t="e">
        <f t="shared" ca="1" si="74"/>
        <v>#N/A</v>
      </c>
      <c r="I133" s="406" t="e">
        <f t="shared" ca="1" si="74"/>
        <v>#N/A</v>
      </c>
      <c r="J133" s="406" t="e">
        <f t="shared" ca="1" si="74"/>
        <v>#N/A</v>
      </c>
      <c r="K133" s="406" t="e">
        <f t="shared" ca="1" si="74"/>
        <v>#N/A</v>
      </c>
      <c r="L133" s="406" t="e">
        <f t="shared" ca="1" si="74"/>
        <v>#N/A</v>
      </c>
      <c r="M133" s="406" t="e">
        <f t="shared" ca="1" si="74"/>
        <v>#N/A</v>
      </c>
      <c r="N133" s="406" t="e">
        <f t="shared" ca="1" si="75"/>
        <v>#N/A</v>
      </c>
      <c r="O133" s="406" t="e">
        <f t="shared" ca="1" si="75"/>
        <v>#N/A</v>
      </c>
      <c r="P133" s="406" t="e">
        <f t="shared" ca="1" si="75"/>
        <v>#N/A</v>
      </c>
      <c r="Q133" s="406" t="e">
        <f t="shared" ca="1" si="75"/>
        <v>#N/A</v>
      </c>
      <c r="R133" s="406" t="e">
        <f t="shared" ca="1" si="75"/>
        <v>#N/A</v>
      </c>
      <c r="S133" s="406" t="e">
        <f t="shared" ca="1" si="75"/>
        <v>#N/A</v>
      </c>
      <c r="T133" s="406" t="e">
        <f t="shared" ca="1" si="75"/>
        <v>#N/A</v>
      </c>
      <c r="U133" s="406" t="e">
        <f t="shared" ca="1" si="75"/>
        <v>#N/A</v>
      </c>
      <c r="V133" s="406" t="e">
        <f t="shared" ca="1" si="75"/>
        <v>#N/A</v>
      </c>
      <c r="W133" s="406" t="e">
        <f t="shared" ca="1" si="75"/>
        <v>#N/A</v>
      </c>
      <c r="X133" s="406" t="e">
        <f t="shared" ca="1" si="76"/>
        <v>#N/A</v>
      </c>
      <c r="Y133" s="406" t="e">
        <f t="shared" ca="1" si="76"/>
        <v>#N/A</v>
      </c>
      <c r="Z133" s="406" t="e">
        <f t="shared" ca="1" si="76"/>
        <v>#N/A</v>
      </c>
      <c r="AA133" s="406" t="e">
        <f t="shared" ca="1" si="76"/>
        <v>#N/A</v>
      </c>
      <c r="AB133" s="406" t="e">
        <f t="shared" ca="1" si="76"/>
        <v>#N/A</v>
      </c>
      <c r="AC133" s="406" t="e">
        <f t="shared" ca="1" si="76"/>
        <v>#N/A</v>
      </c>
      <c r="AD133" s="406" t="e">
        <f t="shared" ca="1" si="76"/>
        <v>#N/A</v>
      </c>
      <c r="AE133" s="406" t="e">
        <f t="shared" ca="1" si="76"/>
        <v>#N/A</v>
      </c>
      <c r="AF133" s="406" t="e">
        <f t="shared" ca="1" si="76"/>
        <v>#N/A</v>
      </c>
      <c r="AG133" s="406" t="e">
        <f t="shared" ca="1" si="76"/>
        <v>#N/A</v>
      </c>
      <c r="AH133" s="406" t="e">
        <f t="shared" ca="1" si="77"/>
        <v>#N/A</v>
      </c>
      <c r="AI133" s="406" t="e">
        <f t="shared" ca="1" si="77"/>
        <v>#N/A</v>
      </c>
      <c r="AJ133" s="406" t="e">
        <f t="shared" ca="1" si="77"/>
        <v>#N/A</v>
      </c>
      <c r="AK133" s="406" t="e">
        <f t="shared" ca="1" si="77"/>
        <v>#N/A</v>
      </c>
      <c r="AL133" s="406" t="e">
        <f t="shared" ca="1" si="77"/>
        <v>#N/A</v>
      </c>
      <c r="AM133" s="406" t="e">
        <f t="shared" ca="1" si="77"/>
        <v>#N/A</v>
      </c>
      <c r="AN133" s="406" t="e">
        <f t="shared" ca="1" si="77"/>
        <v>#N/A</v>
      </c>
      <c r="AO133" s="406" t="e">
        <f t="shared" ca="1" si="77"/>
        <v>#N/A</v>
      </c>
      <c r="AP133" s="406" t="e">
        <f t="shared" ca="1" si="77"/>
        <v>#N/A</v>
      </c>
      <c r="AQ133" s="406" t="e">
        <f t="shared" ca="1" si="77"/>
        <v>#N/A</v>
      </c>
      <c r="AR133" s="406" t="e">
        <f t="shared" ca="1" si="78"/>
        <v>#N/A</v>
      </c>
      <c r="AS133" s="406" t="e">
        <f t="shared" ca="1" si="78"/>
        <v>#N/A</v>
      </c>
      <c r="AT133" s="406" t="e">
        <f t="shared" ca="1" si="78"/>
        <v>#N/A</v>
      </c>
      <c r="AU133" s="406" t="e">
        <f t="shared" ca="1" si="78"/>
        <v>#N/A</v>
      </c>
      <c r="AV133" s="406" t="e">
        <f t="shared" ca="1" si="78"/>
        <v>#N/A</v>
      </c>
      <c r="AW133" s="406" t="e">
        <f t="shared" ca="1" si="78"/>
        <v>#N/A</v>
      </c>
      <c r="AX133" s="406" t="e">
        <f t="shared" ca="1" si="78"/>
        <v>#N/A</v>
      </c>
      <c r="AY133" s="406" t="e">
        <f t="shared" ca="1" si="78"/>
        <v>#N/A</v>
      </c>
      <c r="AZ133" s="406" t="e">
        <f t="shared" ca="1" si="78"/>
        <v>#N/A</v>
      </c>
      <c r="BA133" s="406" t="e">
        <f t="shared" ca="1" si="78"/>
        <v>#N/A</v>
      </c>
      <c r="BB133" s="412" t="s">
        <v>1204</v>
      </c>
      <c r="BC133" s="407" t="str">
        <f t="shared" ca="1" si="72"/>
        <v/>
      </c>
      <c r="BD133" s="410"/>
      <c r="BE133" s="410"/>
    </row>
    <row r="134" spans="3:57" x14ac:dyDescent="0.25">
      <c r="C134" s="406">
        <f t="shared" si="73"/>
        <v>132</v>
      </c>
      <c r="D134" s="406" t="e">
        <f t="shared" ca="1" si="74"/>
        <v>#N/A</v>
      </c>
      <c r="E134" s="406" t="e">
        <f t="shared" ca="1" si="74"/>
        <v>#N/A</v>
      </c>
      <c r="F134" s="406" t="e">
        <f t="shared" ca="1" si="74"/>
        <v>#N/A</v>
      </c>
      <c r="G134" s="406" t="e">
        <f t="shared" ca="1" si="74"/>
        <v>#N/A</v>
      </c>
      <c r="H134" s="406" t="e">
        <f t="shared" ca="1" si="74"/>
        <v>#N/A</v>
      </c>
      <c r="I134" s="406" t="e">
        <f t="shared" ca="1" si="74"/>
        <v>#N/A</v>
      </c>
      <c r="J134" s="406" t="e">
        <f t="shared" ca="1" si="74"/>
        <v>#N/A</v>
      </c>
      <c r="K134" s="406" t="e">
        <f t="shared" ca="1" si="74"/>
        <v>#N/A</v>
      </c>
      <c r="L134" s="406" t="e">
        <f t="shared" ca="1" si="74"/>
        <v>#N/A</v>
      </c>
      <c r="M134" s="406" t="e">
        <f t="shared" ca="1" si="74"/>
        <v>#N/A</v>
      </c>
      <c r="N134" s="406" t="e">
        <f t="shared" ca="1" si="75"/>
        <v>#N/A</v>
      </c>
      <c r="O134" s="406" t="e">
        <f t="shared" ca="1" si="75"/>
        <v>#N/A</v>
      </c>
      <c r="P134" s="406" t="e">
        <f t="shared" ca="1" si="75"/>
        <v>#N/A</v>
      </c>
      <c r="Q134" s="406" t="e">
        <f t="shared" ca="1" si="75"/>
        <v>#N/A</v>
      </c>
      <c r="R134" s="406" t="e">
        <f t="shared" ca="1" si="75"/>
        <v>#N/A</v>
      </c>
      <c r="S134" s="406" t="e">
        <f t="shared" ca="1" si="75"/>
        <v>#N/A</v>
      </c>
      <c r="T134" s="406" t="e">
        <f t="shared" ca="1" si="75"/>
        <v>#N/A</v>
      </c>
      <c r="U134" s="406" t="e">
        <f t="shared" ca="1" si="75"/>
        <v>#N/A</v>
      </c>
      <c r="V134" s="406" t="e">
        <f t="shared" ca="1" si="75"/>
        <v>#N/A</v>
      </c>
      <c r="W134" s="406" t="e">
        <f t="shared" ca="1" si="75"/>
        <v>#N/A</v>
      </c>
      <c r="X134" s="406" t="e">
        <f t="shared" ca="1" si="76"/>
        <v>#N/A</v>
      </c>
      <c r="Y134" s="406" t="e">
        <f t="shared" ca="1" si="76"/>
        <v>#N/A</v>
      </c>
      <c r="Z134" s="406" t="e">
        <f t="shared" ca="1" si="76"/>
        <v>#N/A</v>
      </c>
      <c r="AA134" s="406" t="e">
        <f t="shared" ca="1" si="76"/>
        <v>#N/A</v>
      </c>
      <c r="AB134" s="406" t="e">
        <f t="shared" ca="1" si="76"/>
        <v>#N/A</v>
      </c>
      <c r="AC134" s="406" t="e">
        <f t="shared" ca="1" si="76"/>
        <v>#N/A</v>
      </c>
      <c r="AD134" s="406" t="e">
        <f t="shared" ca="1" si="76"/>
        <v>#N/A</v>
      </c>
      <c r="AE134" s="406" t="e">
        <f t="shared" ca="1" si="76"/>
        <v>#N/A</v>
      </c>
      <c r="AF134" s="406" t="e">
        <f t="shared" ca="1" si="76"/>
        <v>#N/A</v>
      </c>
      <c r="AG134" s="406" t="e">
        <f t="shared" ca="1" si="76"/>
        <v>#N/A</v>
      </c>
      <c r="AH134" s="406" t="e">
        <f t="shared" ca="1" si="77"/>
        <v>#N/A</v>
      </c>
      <c r="AI134" s="406" t="e">
        <f t="shared" ca="1" si="77"/>
        <v>#N/A</v>
      </c>
      <c r="AJ134" s="406" t="e">
        <f t="shared" ca="1" si="77"/>
        <v>#N/A</v>
      </c>
      <c r="AK134" s="406" t="e">
        <f t="shared" ca="1" si="77"/>
        <v>#N/A</v>
      </c>
      <c r="AL134" s="406" t="e">
        <f t="shared" ca="1" si="77"/>
        <v>#N/A</v>
      </c>
      <c r="AM134" s="406" t="e">
        <f t="shared" ca="1" si="77"/>
        <v>#N/A</v>
      </c>
      <c r="AN134" s="406" t="e">
        <f t="shared" ca="1" si="77"/>
        <v>#N/A</v>
      </c>
      <c r="AO134" s="406" t="e">
        <f t="shared" ca="1" si="77"/>
        <v>#N/A</v>
      </c>
      <c r="AP134" s="406" t="e">
        <f t="shared" ca="1" si="77"/>
        <v>#N/A</v>
      </c>
      <c r="AQ134" s="406" t="e">
        <f t="shared" ca="1" si="77"/>
        <v>#N/A</v>
      </c>
      <c r="AR134" s="406" t="e">
        <f t="shared" ca="1" si="78"/>
        <v>#N/A</v>
      </c>
      <c r="AS134" s="406" t="e">
        <f t="shared" ca="1" si="78"/>
        <v>#N/A</v>
      </c>
      <c r="AT134" s="406" t="e">
        <f t="shared" ca="1" si="78"/>
        <v>#N/A</v>
      </c>
      <c r="AU134" s="406" t="e">
        <f t="shared" ca="1" si="78"/>
        <v>#N/A</v>
      </c>
      <c r="AV134" s="406" t="e">
        <f t="shared" ca="1" si="78"/>
        <v>#N/A</v>
      </c>
      <c r="AW134" s="406" t="e">
        <f t="shared" ca="1" si="78"/>
        <v>#N/A</v>
      </c>
      <c r="AX134" s="406" t="e">
        <f t="shared" ca="1" si="78"/>
        <v>#N/A</v>
      </c>
      <c r="AY134" s="406" t="e">
        <f t="shared" ca="1" si="78"/>
        <v>#N/A</v>
      </c>
      <c r="AZ134" s="406" t="e">
        <f t="shared" ca="1" si="78"/>
        <v>#N/A</v>
      </c>
      <c r="BA134" s="406" t="e">
        <f t="shared" ca="1" si="78"/>
        <v>#N/A</v>
      </c>
      <c r="BB134" s="412" t="s">
        <v>1205</v>
      </c>
      <c r="BC134" s="407" t="str">
        <f t="shared" ca="1" si="72"/>
        <v/>
      </c>
      <c r="BD134" s="410"/>
      <c r="BE134" s="410"/>
    </row>
    <row r="135" spans="3:57" x14ac:dyDescent="0.25">
      <c r="C135" s="406">
        <f t="shared" si="73"/>
        <v>133</v>
      </c>
      <c r="D135" s="406" t="e">
        <f t="shared" ca="1" si="74"/>
        <v>#N/A</v>
      </c>
      <c r="E135" s="406" t="e">
        <f t="shared" ca="1" si="74"/>
        <v>#N/A</v>
      </c>
      <c r="F135" s="406" t="e">
        <f t="shared" ca="1" si="74"/>
        <v>#N/A</v>
      </c>
      <c r="G135" s="406" t="e">
        <f t="shared" ca="1" si="74"/>
        <v>#N/A</v>
      </c>
      <c r="H135" s="406" t="e">
        <f t="shared" ca="1" si="74"/>
        <v>#N/A</v>
      </c>
      <c r="I135" s="406" t="e">
        <f t="shared" ca="1" si="74"/>
        <v>#N/A</v>
      </c>
      <c r="J135" s="406" t="e">
        <f t="shared" ca="1" si="74"/>
        <v>#N/A</v>
      </c>
      <c r="K135" s="406" t="e">
        <f t="shared" ca="1" si="74"/>
        <v>#N/A</v>
      </c>
      <c r="L135" s="406" t="e">
        <f t="shared" ca="1" si="74"/>
        <v>#N/A</v>
      </c>
      <c r="M135" s="406" t="e">
        <f t="shared" ca="1" si="74"/>
        <v>#N/A</v>
      </c>
      <c r="N135" s="406" t="e">
        <f t="shared" ca="1" si="75"/>
        <v>#N/A</v>
      </c>
      <c r="O135" s="406" t="e">
        <f t="shared" ca="1" si="75"/>
        <v>#N/A</v>
      </c>
      <c r="P135" s="406" t="e">
        <f t="shared" ca="1" si="75"/>
        <v>#N/A</v>
      </c>
      <c r="Q135" s="406" t="e">
        <f t="shared" ca="1" si="75"/>
        <v>#N/A</v>
      </c>
      <c r="R135" s="406" t="e">
        <f t="shared" ca="1" si="75"/>
        <v>#N/A</v>
      </c>
      <c r="S135" s="406" t="e">
        <f t="shared" ca="1" si="75"/>
        <v>#N/A</v>
      </c>
      <c r="T135" s="406" t="e">
        <f t="shared" ca="1" si="75"/>
        <v>#N/A</v>
      </c>
      <c r="U135" s="406" t="e">
        <f t="shared" ca="1" si="75"/>
        <v>#N/A</v>
      </c>
      <c r="V135" s="406" t="e">
        <f t="shared" ca="1" si="75"/>
        <v>#N/A</v>
      </c>
      <c r="W135" s="406" t="e">
        <f t="shared" ca="1" si="75"/>
        <v>#N/A</v>
      </c>
      <c r="X135" s="406" t="e">
        <f t="shared" ca="1" si="76"/>
        <v>#N/A</v>
      </c>
      <c r="Y135" s="406" t="e">
        <f t="shared" ca="1" si="76"/>
        <v>#N/A</v>
      </c>
      <c r="Z135" s="406" t="e">
        <f t="shared" ca="1" si="76"/>
        <v>#N/A</v>
      </c>
      <c r="AA135" s="406" t="e">
        <f t="shared" ca="1" si="76"/>
        <v>#N/A</v>
      </c>
      <c r="AB135" s="406" t="e">
        <f t="shared" ca="1" si="76"/>
        <v>#N/A</v>
      </c>
      <c r="AC135" s="406" t="e">
        <f t="shared" ca="1" si="76"/>
        <v>#N/A</v>
      </c>
      <c r="AD135" s="406" t="e">
        <f t="shared" ca="1" si="76"/>
        <v>#N/A</v>
      </c>
      <c r="AE135" s="406" t="e">
        <f t="shared" ca="1" si="76"/>
        <v>#N/A</v>
      </c>
      <c r="AF135" s="406" t="e">
        <f t="shared" ca="1" si="76"/>
        <v>#N/A</v>
      </c>
      <c r="AG135" s="406" t="e">
        <f t="shared" ca="1" si="76"/>
        <v>#N/A</v>
      </c>
      <c r="AH135" s="406" t="e">
        <f t="shared" ca="1" si="77"/>
        <v>#N/A</v>
      </c>
      <c r="AI135" s="406" t="e">
        <f t="shared" ca="1" si="77"/>
        <v>#N/A</v>
      </c>
      <c r="AJ135" s="406" t="e">
        <f t="shared" ca="1" si="77"/>
        <v>#N/A</v>
      </c>
      <c r="AK135" s="406" t="e">
        <f t="shared" ca="1" si="77"/>
        <v>#N/A</v>
      </c>
      <c r="AL135" s="406" t="e">
        <f t="shared" ca="1" si="77"/>
        <v>#N/A</v>
      </c>
      <c r="AM135" s="406" t="e">
        <f t="shared" ca="1" si="77"/>
        <v>#N/A</v>
      </c>
      <c r="AN135" s="406" t="e">
        <f t="shared" ca="1" si="77"/>
        <v>#N/A</v>
      </c>
      <c r="AO135" s="406" t="e">
        <f t="shared" ca="1" si="77"/>
        <v>#N/A</v>
      </c>
      <c r="AP135" s="406" t="e">
        <f t="shared" ca="1" si="77"/>
        <v>#N/A</v>
      </c>
      <c r="AQ135" s="406" t="e">
        <f t="shared" ca="1" si="77"/>
        <v>#N/A</v>
      </c>
      <c r="AR135" s="406" t="e">
        <f t="shared" ca="1" si="78"/>
        <v>#N/A</v>
      </c>
      <c r="AS135" s="406" t="e">
        <f t="shared" ca="1" si="78"/>
        <v>#N/A</v>
      </c>
      <c r="AT135" s="406" t="e">
        <f t="shared" ca="1" si="78"/>
        <v>#N/A</v>
      </c>
      <c r="AU135" s="406" t="e">
        <f t="shared" ca="1" si="78"/>
        <v>#N/A</v>
      </c>
      <c r="AV135" s="406" t="e">
        <f t="shared" ca="1" si="78"/>
        <v>#N/A</v>
      </c>
      <c r="AW135" s="406" t="e">
        <f t="shared" ca="1" si="78"/>
        <v>#N/A</v>
      </c>
      <c r="AX135" s="406" t="e">
        <f t="shared" ca="1" si="78"/>
        <v>#N/A</v>
      </c>
      <c r="AY135" s="406" t="e">
        <f t="shared" ca="1" si="78"/>
        <v>#N/A</v>
      </c>
      <c r="AZ135" s="406" t="e">
        <f t="shared" ca="1" si="78"/>
        <v>#N/A</v>
      </c>
      <c r="BA135" s="406" t="e">
        <f t="shared" ca="1" si="78"/>
        <v>#N/A</v>
      </c>
      <c r="BB135" s="412" t="s">
        <v>1206</v>
      </c>
      <c r="BC135" s="407" t="str">
        <f t="shared" ca="1" si="72"/>
        <v/>
      </c>
      <c r="BD135" s="410"/>
      <c r="BE135" s="410"/>
    </row>
    <row r="136" spans="3:57" x14ac:dyDescent="0.25">
      <c r="C136" s="406">
        <f t="shared" si="73"/>
        <v>134</v>
      </c>
      <c r="D136" s="406" t="e">
        <f t="shared" ca="1" si="74"/>
        <v>#N/A</v>
      </c>
      <c r="E136" s="406" t="e">
        <f t="shared" ca="1" si="74"/>
        <v>#N/A</v>
      </c>
      <c r="F136" s="406" t="e">
        <f t="shared" ca="1" si="74"/>
        <v>#N/A</v>
      </c>
      <c r="G136" s="406" t="e">
        <f t="shared" ca="1" si="74"/>
        <v>#N/A</v>
      </c>
      <c r="H136" s="406" t="e">
        <f t="shared" ca="1" si="74"/>
        <v>#N/A</v>
      </c>
      <c r="I136" s="406" t="e">
        <f t="shared" ca="1" si="74"/>
        <v>#N/A</v>
      </c>
      <c r="J136" s="406" t="e">
        <f t="shared" ca="1" si="74"/>
        <v>#N/A</v>
      </c>
      <c r="K136" s="406" t="e">
        <f t="shared" ca="1" si="74"/>
        <v>#N/A</v>
      </c>
      <c r="L136" s="406" t="e">
        <f t="shared" ca="1" si="74"/>
        <v>#N/A</v>
      </c>
      <c r="M136" s="406" t="e">
        <f t="shared" ca="1" si="74"/>
        <v>#N/A</v>
      </c>
      <c r="N136" s="406" t="e">
        <f t="shared" ca="1" si="75"/>
        <v>#N/A</v>
      </c>
      <c r="O136" s="406" t="e">
        <f t="shared" ca="1" si="75"/>
        <v>#N/A</v>
      </c>
      <c r="P136" s="406" t="e">
        <f t="shared" ca="1" si="75"/>
        <v>#N/A</v>
      </c>
      <c r="Q136" s="406" t="e">
        <f t="shared" ca="1" si="75"/>
        <v>#N/A</v>
      </c>
      <c r="R136" s="406" t="e">
        <f t="shared" ca="1" si="75"/>
        <v>#N/A</v>
      </c>
      <c r="S136" s="406" t="e">
        <f t="shared" ca="1" si="75"/>
        <v>#N/A</v>
      </c>
      <c r="T136" s="406" t="e">
        <f t="shared" ca="1" si="75"/>
        <v>#N/A</v>
      </c>
      <c r="U136" s="406" t="e">
        <f t="shared" ca="1" si="75"/>
        <v>#N/A</v>
      </c>
      <c r="V136" s="406" t="e">
        <f t="shared" ca="1" si="75"/>
        <v>#N/A</v>
      </c>
      <c r="W136" s="406" t="e">
        <f t="shared" ca="1" si="75"/>
        <v>#N/A</v>
      </c>
      <c r="X136" s="406" t="e">
        <f t="shared" ca="1" si="76"/>
        <v>#N/A</v>
      </c>
      <c r="Y136" s="406" t="e">
        <f t="shared" ca="1" si="76"/>
        <v>#N/A</v>
      </c>
      <c r="Z136" s="406" t="e">
        <f t="shared" ca="1" si="76"/>
        <v>#N/A</v>
      </c>
      <c r="AA136" s="406" t="e">
        <f t="shared" ca="1" si="76"/>
        <v>#N/A</v>
      </c>
      <c r="AB136" s="406" t="e">
        <f t="shared" ca="1" si="76"/>
        <v>#N/A</v>
      </c>
      <c r="AC136" s="406" t="e">
        <f t="shared" ca="1" si="76"/>
        <v>#N/A</v>
      </c>
      <c r="AD136" s="406" t="e">
        <f t="shared" ca="1" si="76"/>
        <v>#N/A</v>
      </c>
      <c r="AE136" s="406" t="e">
        <f t="shared" ca="1" si="76"/>
        <v>#N/A</v>
      </c>
      <c r="AF136" s="406" t="e">
        <f t="shared" ca="1" si="76"/>
        <v>#N/A</v>
      </c>
      <c r="AG136" s="406" t="e">
        <f t="shared" ca="1" si="76"/>
        <v>#N/A</v>
      </c>
      <c r="AH136" s="406" t="e">
        <f t="shared" ca="1" si="77"/>
        <v>#N/A</v>
      </c>
      <c r="AI136" s="406" t="e">
        <f t="shared" ca="1" si="77"/>
        <v>#N/A</v>
      </c>
      <c r="AJ136" s="406" t="e">
        <f t="shared" ca="1" si="77"/>
        <v>#N/A</v>
      </c>
      <c r="AK136" s="406" t="e">
        <f t="shared" ca="1" si="77"/>
        <v>#N/A</v>
      </c>
      <c r="AL136" s="406" t="e">
        <f t="shared" ca="1" si="77"/>
        <v>#N/A</v>
      </c>
      <c r="AM136" s="406" t="e">
        <f t="shared" ca="1" si="77"/>
        <v>#N/A</v>
      </c>
      <c r="AN136" s="406" t="e">
        <f t="shared" ca="1" si="77"/>
        <v>#N/A</v>
      </c>
      <c r="AO136" s="406" t="e">
        <f t="shared" ca="1" si="77"/>
        <v>#N/A</v>
      </c>
      <c r="AP136" s="406" t="e">
        <f t="shared" ca="1" si="77"/>
        <v>#N/A</v>
      </c>
      <c r="AQ136" s="406" t="e">
        <f t="shared" ca="1" si="77"/>
        <v>#N/A</v>
      </c>
      <c r="AR136" s="406" t="e">
        <f t="shared" ca="1" si="78"/>
        <v>#N/A</v>
      </c>
      <c r="AS136" s="406" t="e">
        <f t="shared" ca="1" si="78"/>
        <v>#N/A</v>
      </c>
      <c r="AT136" s="406" t="e">
        <f t="shared" ca="1" si="78"/>
        <v>#N/A</v>
      </c>
      <c r="AU136" s="406" t="e">
        <f t="shared" ca="1" si="78"/>
        <v>#N/A</v>
      </c>
      <c r="AV136" s="406" t="e">
        <f t="shared" ca="1" si="78"/>
        <v>#N/A</v>
      </c>
      <c r="AW136" s="406" t="e">
        <f t="shared" ca="1" si="78"/>
        <v>#N/A</v>
      </c>
      <c r="AX136" s="406" t="e">
        <f t="shared" ca="1" si="78"/>
        <v>#N/A</v>
      </c>
      <c r="AY136" s="406" t="e">
        <f t="shared" ca="1" si="78"/>
        <v>#N/A</v>
      </c>
      <c r="AZ136" s="406" t="e">
        <f t="shared" ca="1" si="78"/>
        <v>#N/A</v>
      </c>
      <c r="BA136" s="406" t="e">
        <f t="shared" ca="1" si="78"/>
        <v>#N/A</v>
      </c>
      <c r="BB136" s="412" t="s">
        <v>1207</v>
      </c>
      <c r="BC136" s="407" t="str">
        <f t="shared" ca="1" si="72"/>
        <v/>
      </c>
      <c r="BD136" s="410"/>
      <c r="BE136" s="410"/>
    </row>
    <row r="137" spans="3:57" x14ac:dyDescent="0.25">
      <c r="C137" s="406">
        <f t="shared" si="73"/>
        <v>135</v>
      </c>
      <c r="D137" s="406" t="e">
        <f t="shared" ca="1" si="74"/>
        <v>#N/A</v>
      </c>
      <c r="E137" s="406" t="e">
        <f t="shared" ca="1" si="74"/>
        <v>#N/A</v>
      </c>
      <c r="F137" s="406" t="e">
        <f t="shared" ca="1" si="74"/>
        <v>#N/A</v>
      </c>
      <c r="G137" s="406" t="e">
        <f t="shared" ca="1" si="74"/>
        <v>#N/A</v>
      </c>
      <c r="H137" s="406" t="e">
        <f t="shared" ca="1" si="74"/>
        <v>#N/A</v>
      </c>
      <c r="I137" s="406" t="e">
        <f t="shared" ca="1" si="74"/>
        <v>#N/A</v>
      </c>
      <c r="J137" s="406" t="e">
        <f t="shared" ca="1" si="74"/>
        <v>#N/A</v>
      </c>
      <c r="K137" s="406" t="e">
        <f t="shared" ca="1" si="74"/>
        <v>#N/A</v>
      </c>
      <c r="L137" s="406" t="e">
        <f t="shared" ca="1" si="74"/>
        <v>#N/A</v>
      </c>
      <c r="M137" s="406" t="e">
        <f t="shared" ca="1" si="74"/>
        <v>#N/A</v>
      </c>
      <c r="N137" s="406" t="e">
        <f t="shared" ca="1" si="75"/>
        <v>#N/A</v>
      </c>
      <c r="O137" s="406" t="e">
        <f t="shared" ca="1" si="75"/>
        <v>#N/A</v>
      </c>
      <c r="P137" s="406" t="e">
        <f t="shared" ca="1" si="75"/>
        <v>#N/A</v>
      </c>
      <c r="Q137" s="406" t="e">
        <f t="shared" ca="1" si="75"/>
        <v>#N/A</v>
      </c>
      <c r="R137" s="406" t="e">
        <f t="shared" ca="1" si="75"/>
        <v>#N/A</v>
      </c>
      <c r="S137" s="406" t="e">
        <f t="shared" ca="1" si="75"/>
        <v>#N/A</v>
      </c>
      <c r="T137" s="406" t="e">
        <f t="shared" ca="1" si="75"/>
        <v>#N/A</v>
      </c>
      <c r="U137" s="406" t="e">
        <f t="shared" ca="1" si="75"/>
        <v>#N/A</v>
      </c>
      <c r="V137" s="406" t="e">
        <f t="shared" ca="1" si="75"/>
        <v>#N/A</v>
      </c>
      <c r="W137" s="406" t="e">
        <f t="shared" ca="1" si="75"/>
        <v>#N/A</v>
      </c>
      <c r="X137" s="406" t="e">
        <f t="shared" ca="1" si="76"/>
        <v>#N/A</v>
      </c>
      <c r="Y137" s="406" t="e">
        <f t="shared" ca="1" si="76"/>
        <v>#N/A</v>
      </c>
      <c r="Z137" s="406" t="e">
        <f t="shared" ca="1" si="76"/>
        <v>#N/A</v>
      </c>
      <c r="AA137" s="406" t="e">
        <f t="shared" ca="1" si="76"/>
        <v>#N/A</v>
      </c>
      <c r="AB137" s="406" t="e">
        <f t="shared" ca="1" si="76"/>
        <v>#N/A</v>
      </c>
      <c r="AC137" s="406" t="e">
        <f t="shared" ca="1" si="76"/>
        <v>#N/A</v>
      </c>
      <c r="AD137" s="406" t="e">
        <f t="shared" ca="1" si="76"/>
        <v>#N/A</v>
      </c>
      <c r="AE137" s="406" t="e">
        <f t="shared" ca="1" si="76"/>
        <v>#N/A</v>
      </c>
      <c r="AF137" s="406" t="e">
        <f t="shared" ca="1" si="76"/>
        <v>#N/A</v>
      </c>
      <c r="AG137" s="406" t="e">
        <f t="shared" ca="1" si="76"/>
        <v>#N/A</v>
      </c>
      <c r="AH137" s="406" t="e">
        <f t="shared" ca="1" si="77"/>
        <v>#N/A</v>
      </c>
      <c r="AI137" s="406" t="e">
        <f t="shared" ca="1" si="77"/>
        <v>#N/A</v>
      </c>
      <c r="AJ137" s="406" t="e">
        <f t="shared" ca="1" si="77"/>
        <v>#N/A</v>
      </c>
      <c r="AK137" s="406" t="e">
        <f t="shared" ca="1" si="77"/>
        <v>#N/A</v>
      </c>
      <c r="AL137" s="406" t="e">
        <f t="shared" ca="1" si="77"/>
        <v>#N/A</v>
      </c>
      <c r="AM137" s="406" t="e">
        <f t="shared" ca="1" si="77"/>
        <v>#N/A</v>
      </c>
      <c r="AN137" s="406" t="e">
        <f t="shared" ca="1" si="77"/>
        <v>#N/A</v>
      </c>
      <c r="AO137" s="406" t="e">
        <f t="shared" ca="1" si="77"/>
        <v>#N/A</v>
      </c>
      <c r="AP137" s="406" t="e">
        <f t="shared" ca="1" si="77"/>
        <v>#N/A</v>
      </c>
      <c r="AQ137" s="406" t="e">
        <f t="shared" ca="1" si="77"/>
        <v>#N/A</v>
      </c>
      <c r="AR137" s="406" t="e">
        <f t="shared" ca="1" si="78"/>
        <v>#N/A</v>
      </c>
      <c r="AS137" s="406" t="e">
        <f t="shared" ca="1" si="78"/>
        <v>#N/A</v>
      </c>
      <c r="AT137" s="406" t="e">
        <f t="shared" ca="1" si="78"/>
        <v>#N/A</v>
      </c>
      <c r="AU137" s="406" t="e">
        <f t="shared" ca="1" si="78"/>
        <v>#N/A</v>
      </c>
      <c r="AV137" s="406" t="e">
        <f t="shared" ca="1" si="78"/>
        <v>#N/A</v>
      </c>
      <c r="AW137" s="406" t="e">
        <f t="shared" ca="1" si="78"/>
        <v>#N/A</v>
      </c>
      <c r="AX137" s="406" t="e">
        <f t="shared" ca="1" si="78"/>
        <v>#N/A</v>
      </c>
      <c r="AY137" s="406" t="e">
        <f t="shared" ca="1" si="78"/>
        <v>#N/A</v>
      </c>
      <c r="AZ137" s="406" t="e">
        <f t="shared" ca="1" si="78"/>
        <v>#N/A</v>
      </c>
      <c r="BA137" s="406" t="e">
        <f t="shared" ca="1" si="78"/>
        <v>#N/A</v>
      </c>
      <c r="BB137" s="412" t="s">
        <v>1208</v>
      </c>
      <c r="BC137" s="407" t="str">
        <f t="shared" ca="1" si="72"/>
        <v/>
      </c>
      <c r="BD137" s="410"/>
      <c r="BE137" s="410"/>
    </row>
    <row r="138" spans="3:57" x14ac:dyDescent="0.25">
      <c r="C138" s="406">
        <f t="shared" si="73"/>
        <v>136</v>
      </c>
      <c r="D138" s="406" t="e">
        <f t="shared" ca="1" si="74"/>
        <v>#N/A</v>
      </c>
      <c r="E138" s="406" t="e">
        <f t="shared" ca="1" si="74"/>
        <v>#N/A</v>
      </c>
      <c r="F138" s="406" t="e">
        <f t="shared" ca="1" si="74"/>
        <v>#N/A</v>
      </c>
      <c r="G138" s="406" t="e">
        <f t="shared" ca="1" si="74"/>
        <v>#N/A</v>
      </c>
      <c r="H138" s="406" t="e">
        <f t="shared" ca="1" si="74"/>
        <v>#N/A</v>
      </c>
      <c r="I138" s="406" t="e">
        <f t="shared" ca="1" si="74"/>
        <v>#N/A</v>
      </c>
      <c r="J138" s="406" t="e">
        <f t="shared" ca="1" si="74"/>
        <v>#N/A</v>
      </c>
      <c r="K138" s="406" t="e">
        <f t="shared" ca="1" si="74"/>
        <v>#N/A</v>
      </c>
      <c r="L138" s="406" t="e">
        <f t="shared" ca="1" si="74"/>
        <v>#N/A</v>
      </c>
      <c r="M138" s="406" t="e">
        <f t="shared" ca="1" si="74"/>
        <v>#N/A</v>
      </c>
      <c r="N138" s="406" t="e">
        <f t="shared" ca="1" si="75"/>
        <v>#N/A</v>
      </c>
      <c r="O138" s="406" t="e">
        <f t="shared" ca="1" si="75"/>
        <v>#N/A</v>
      </c>
      <c r="P138" s="406" t="e">
        <f t="shared" ca="1" si="75"/>
        <v>#N/A</v>
      </c>
      <c r="Q138" s="406" t="e">
        <f t="shared" ca="1" si="75"/>
        <v>#N/A</v>
      </c>
      <c r="R138" s="406" t="e">
        <f t="shared" ca="1" si="75"/>
        <v>#N/A</v>
      </c>
      <c r="S138" s="406" t="e">
        <f t="shared" ca="1" si="75"/>
        <v>#N/A</v>
      </c>
      <c r="T138" s="406" t="e">
        <f t="shared" ca="1" si="75"/>
        <v>#N/A</v>
      </c>
      <c r="U138" s="406" t="e">
        <f t="shared" ca="1" si="75"/>
        <v>#N/A</v>
      </c>
      <c r="V138" s="406" t="e">
        <f t="shared" ca="1" si="75"/>
        <v>#N/A</v>
      </c>
      <c r="W138" s="406" t="e">
        <f t="shared" ca="1" si="75"/>
        <v>#N/A</v>
      </c>
      <c r="X138" s="406" t="e">
        <f t="shared" ca="1" si="76"/>
        <v>#N/A</v>
      </c>
      <c r="Y138" s="406" t="e">
        <f t="shared" ca="1" si="76"/>
        <v>#N/A</v>
      </c>
      <c r="Z138" s="406" t="e">
        <f t="shared" ca="1" si="76"/>
        <v>#N/A</v>
      </c>
      <c r="AA138" s="406" t="e">
        <f t="shared" ca="1" si="76"/>
        <v>#N/A</v>
      </c>
      <c r="AB138" s="406" t="e">
        <f t="shared" ca="1" si="76"/>
        <v>#N/A</v>
      </c>
      <c r="AC138" s="406" t="e">
        <f t="shared" ca="1" si="76"/>
        <v>#N/A</v>
      </c>
      <c r="AD138" s="406" t="e">
        <f t="shared" ca="1" si="76"/>
        <v>#N/A</v>
      </c>
      <c r="AE138" s="406" t="e">
        <f t="shared" ca="1" si="76"/>
        <v>#N/A</v>
      </c>
      <c r="AF138" s="406" t="e">
        <f t="shared" ca="1" si="76"/>
        <v>#N/A</v>
      </c>
      <c r="AG138" s="406" t="e">
        <f t="shared" ca="1" si="76"/>
        <v>#N/A</v>
      </c>
      <c r="AH138" s="406" t="e">
        <f t="shared" ca="1" si="77"/>
        <v>#N/A</v>
      </c>
      <c r="AI138" s="406" t="e">
        <f t="shared" ca="1" si="77"/>
        <v>#N/A</v>
      </c>
      <c r="AJ138" s="406" t="e">
        <f t="shared" ca="1" si="77"/>
        <v>#N/A</v>
      </c>
      <c r="AK138" s="406" t="e">
        <f t="shared" ca="1" si="77"/>
        <v>#N/A</v>
      </c>
      <c r="AL138" s="406" t="e">
        <f t="shared" ca="1" si="77"/>
        <v>#N/A</v>
      </c>
      <c r="AM138" s="406" t="e">
        <f t="shared" ca="1" si="77"/>
        <v>#N/A</v>
      </c>
      <c r="AN138" s="406" t="e">
        <f t="shared" ca="1" si="77"/>
        <v>#N/A</v>
      </c>
      <c r="AO138" s="406" t="e">
        <f t="shared" ca="1" si="77"/>
        <v>#N/A</v>
      </c>
      <c r="AP138" s="406" t="e">
        <f t="shared" ca="1" si="77"/>
        <v>#N/A</v>
      </c>
      <c r="AQ138" s="406" t="e">
        <f t="shared" ca="1" si="77"/>
        <v>#N/A</v>
      </c>
      <c r="AR138" s="406" t="e">
        <f t="shared" ca="1" si="78"/>
        <v>#N/A</v>
      </c>
      <c r="AS138" s="406" t="e">
        <f t="shared" ca="1" si="78"/>
        <v>#N/A</v>
      </c>
      <c r="AT138" s="406" t="e">
        <f t="shared" ca="1" si="78"/>
        <v>#N/A</v>
      </c>
      <c r="AU138" s="406" t="e">
        <f t="shared" ca="1" si="78"/>
        <v>#N/A</v>
      </c>
      <c r="AV138" s="406" t="e">
        <f t="shared" ca="1" si="78"/>
        <v>#N/A</v>
      </c>
      <c r="AW138" s="406" t="e">
        <f t="shared" ca="1" si="78"/>
        <v>#N/A</v>
      </c>
      <c r="AX138" s="406" t="e">
        <f t="shared" ca="1" si="78"/>
        <v>#N/A</v>
      </c>
      <c r="AY138" s="406" t="e">
        <f t="shared" ca="1" si="78"/>
        <v>#N/A</v>
      </c>
      <c r="AZ138" s="406" t="e">
        <f t="shared" ca="1" si="78"/>
        <v>#N/A</v>
      </c>
      <c r="BA138" s="406" t="e">
        <f t="shared" ca="1" si="78"/>
        <v>#N/A</v>
      </c>
      <c r="BB138" s="412" t="s">
        <v>1209</v>
      </c>
      <c r="BC138" s="407" t="str">
        <f t="shared" ca="1" si="72"/>
        <v/>
      </c>
      <c r="BD138" s="410"/>
      <c r="BE138" s="410"/>
    </row>
    <row r="139" spans="3:57" x14ac:dyDescent="0.25">
      <c r="C139" s="406">
        <f t="shared" si="73"/>
        <v>137</v>
      </c>
      <c r="D139" s="406" t="e">
        <f t="shared" ca="1" si="74"/>
        <v>#N/A</v>
      </c>
      <c r="E139" s="406" t="e">
        <f t="shared" ca="1" si="74"/>
        <v>#N/A</v>
      </c>
      <c r="F139" s="406" t="e">
        <f t="shared" ca="1" si="74"/>
        <v>#N/A</v>
      </c>
      <c r="G139" s="406" t="e">
        <f t="shared" ca="1" si="74"/>
        <v>#N/A</v>
      </c>
      <c r="H139" s="406" t="e">
        <f t="shared" ca="1" si="74"/>
        <v>#N/A</v>
      </c>
      <c r="I139" s="406" t="e">
        <f t="shared" ca="1" si="74"/>
        <v>#N/A</v>
      </c>
      <c r="J139" s="406" t="e">
        <f t="shared" ca="1" si="74"/>
        <v>#N/A</v>
      </c>
      <c r="K139" s="406" t="e">
        <f t="shared" ca="1" si="74"/>
        <v>#N/A</v>
      </c>
      <c r="L139" s="406" t="e">
        <f t="shared" ca="1" si="74"/>
        <v>#N/A</v>
      </c>
      <c r="M139" s="406" t="e">
        <f t="shared" ca="1" si="74"/>
        <v>#N/A</v>
      </c>
      <c r="N139" s="406" t="e">
        <f t="shared" ca="1" si="75"/>
        <v>#N/A</v>
      </c>
      <c r="O139" s="406" t="e">
        <f t="shared" ca="1" si="75"/>
        <v>#N/A</v>
      </c>
      <c r="P139" s="406" t="e">
        <f t="shared" ca="1" si="75"/>
        <v>#N/A</v>
      </c>
      <c r="Q139" s="406" t="e">
        <f t="shared" ca="1" si="75"/>
        <v>#N/A</v>
      </c>
      <c r="R139" s="406" t="e">
        <f t="shared" ca="1" si="75"/>
        <v>#N/A</v>
      </c>
      <c r="S139" s="406" t="e">
        <f t="shared" ca="1" si="75"/>
        <v>#N/A</v>
      </c>
      <c r="T139" s="406" t="e">
        <f t="shared" ca="1" si="75"/>
        <v>#N/A</v>
      </c>
      <c r="U139" s="406" t="e">
        <f t="shared" ca="1" si="75"/>
        <v>#N/A</v>
      </c>
      <c r="V139" s="406" t="e">
        <f t="shared" ca="1" si="75"/>
        <v>#N/A</v>
      </c>
      <c r="W139" s="406" t="e">
        <f t="shared" ca="1" si="75"/>
        <v>#N/A</v>
      </c>
      <c r="X139" s="406" t="e">
        <f t="shared" ca="1" si="76"/>
        <v>#N/A</v>
      </c>
      <c r="Y139" s="406" t="e">
        <f t="shared" ca="1" si="76"/>
        <v>#N/A</v>
      </c>
      <c r="Z139" s="406" t="e">
        <f t="shared" ca="1" si="76"/>
        <v>#N/A</v>
      </c>
      <c r="AA139" s="406" t="e">
        <f t="shared" ca="1" si="76"/>
        <v>#N/A</v>
      </c>
      <c r="AB139" s="406" t="e">
        <f t="shared" ca="1" si="76"/>
        <v>#N/A</v>
      </c>
      <c r="AC139" s="406" t="e">
        <f t="shared" ca="1" si="76"/>
        <v>#N/A</v>
      </c>
      <c r="AD139" s="406" t="e">
        <f t="shared" ca="1" si="76"/>
        <v>#N/A</v>
      </c>
      <c r="AE139" s="406" t="e">
        <f t="shared" ca="1" si="76"/>
        <v>#N/A</v>
      </c>
      <c r="AF139" s="406" t="e">
        <f t="shared" ca="1" si="76"/>
        <v>#N/A</v>
      </c>
      <c r="AG139" s="406" t="e">
        <f t="shared" ca="1" si="76"/>
        <v>#N/A</v>
      </c>
      <c r="AH139" s="406" t="e">
        <f t="shared" ca="1" si="77"/>
        <v>#N/A</v>
      </c>
      <c r="AI139" s="406" t="e">
        <f t="shared" ca="1" si="77"/>
        <v>#N/A</v>
      </c>
      <c r="AJ139" s="406" t="e">
        <f t="shared" ca="1" si="77"/>
        <v>#N/A</v>
      </c>
      <c r="AK139" s="406" t="e">
        <f t="shared" ca="1" si="77"/>
        <v>#N/A</v>
      </c>
      <c r="AL139" s="406" t="e">
        <f t="shared" ca="1" si="77"/>
        <v>#N/A</v>
      </c>
      <c r="AM139" s="406" t="e">
        <f t="shared" ca="1" si="77"/>
        <v>#N/A</v>
      </c>
      <c r="AN139" s="406" t="e">
        <f t="shared" ca="1" si="77"/>
        <v>#N/A</v>
      </c>
      <c r="AO139" s="406" t="e">
        <f t="shared" ca="1" si="77"/>
        <v>#N/A</v>
      </c>
      <c r="AP139" s="406" t="e">
        <f t="shared" ca="1" si="77"/>
        <v>#N/A</v>
      </c>
      <c r="AQ139" s="406" t="e">
        <f t="shared" ca="1" si="77"/>
        <v>#N/A</v>
      </c>
      <c r="AR139" s="406" t="e">
        <f t="shared" ca="1" si="78"/>
        <v>#N/A</v>
      </c>
      <c r="AS139" s="406" t="e">
        <f t="shared" ca="1" si="78"/>
        <v>#N/A</v>
      </c>
      <c r="AT139" s="406" t="e">
        <f t="shared" ca="1" si="78"/>
        <v>#N/A</v>
      </c>
      <c r="AU139" s="406" t="e">
        <f t="shared" ca="1" si="78"/>
        <v>#N/A</v>
      </c>
      <c r="AV139" s="406" t="e">
        <f t="shared" ca="1" si="78"/>
        <v>#N/A</v>
      </c>
      <c r="AW139" s="406" t="e">
        <f t="shared" ca="1" si="78"/>
        <v>#N/A</v>
      </c>
      <c r="AX139" s="406" t="e">
        <f t="shared" ca="1" si="78"/>
        <v>#N/A</v>
      </c>
      <c r="AY139" s="406" t="e">
        <f t="shared" ca="1" si="78"/>
        <v>#N/A</v>
      </c>
      <c r="AZ139" s="406" t="e">
        <f t="shared" ca="1" si="78"/>
        <v>#N/A</v>
      </c>
      <c r="BA139" s="406" t="e">
        <f t="shared" ca="1" si="78"/>
        <v>#N/A</v>
      </c>
      <c r="BB139" s="412" t="s">
        <v>1210</v>
      </c>
      <c r="BC139" s="407" t="str">
        <f t="shared" ca="1" si="72"/>
        <v/>
      </c>
      <c r="BD139" s="410"/>
      <c r="BE139" s="410"/>
    </row>
    <row r="140" spans="3:57" x14ac:dyDescent="0.25">
      <c r="C140" s="406">
        <f t="shared" si="73"/>
        <v>138</v>
      </c>
      <c r="D140" s="406" t="e">
        <f t="shared" ca="1" si="74"/>
        <v>#N/A</v>
      </c>
      <c r="E140" s="406" t="e">
        <f t="shared" ca="1" si="74"/>
        <v>#N/A</v>
      </c>
      <c r="F140" s="406" t="e">
        <f t="shared" ca="1" si="74"/>
        <v>#N/A</v>
      </c>
      <c r="G140" s="406" t="e">
        <f t="shared" ca="1" si="74"/>
        <v>#N/A</v>
      </c>
      <c r="H140" s="406" t="e">
        <f t="shared" ca="1" si="74"/>
        <v>#N/A</v>
      </c>
      <c r="I140" s="406" t="e">
        <f t="shared" ca="1" si="74"/>
        <v>#N/A</v>
      </c>
      <c r="J140" s="406" t="e">
        <f t="shared" ca="1" si="74"/>
        <v>#N/A</v>
      </c>
      <c r="K140" s="406" t="e">
        <f t="shared" ca="1" si="74"/>
        <v>#N/A</v>
      </c>
      <c r="L140" s="406" t="e">
        <f t="shared" ca="1" si="74"/>
        <v>#N/A</v>
      </c>
      <c r="M140" s="406" t="e">
        <f t="shared" ca="1" si="74"/>
        <v>#N/A</v>
      </c>
      <c r="N140" s="406" t="e">
        <f t="shared" ca="1" si="75"/>
        <v>#N/A</v>
      </c>
      <c r="O140" s="406" t="e">
        <f t="shared" ca="1" si="75"/>
        <v>#N/A</v>
      </c>
      <c r="P140" s="406" t="e">
        <f t="shared" ca="1" si="75"/>
        <v>#N/A</v>
      </c>
      <c r="Q140" s="406" t="e">
        <f t="shared" ca="1" si="75"/>
        <v>#N/A</v>
      </c>
      <c r="R140" s="406" t="e">
        <f t="shared" ca="1" si="75"/>
        <v>#N/A</v>
      </c>
      <c r="S140" s="406" t="e">
        <f t="shared" ca="1" si="75"/>
        <v>#N/A</v>
      </c>
      <c r="T140" s="406" t="e">
        <f t="shared" ca="1" si="75"/>
        <v>#N/A</v>
      </c>
      <c r="U140" s="406" t="e">
        <f t="shared" ca="1" si="75"/>
        <v>#N/A</v>
      </c>
      <c r="V140" s="406" t="e">
        <f t="shared" ca="1" si="75"/>
        <v>#N/A</v>
      </c>
      <c r="W140" s="406" t="e">
        <f t="shared" ca="1" si="75"/>
        <v>#N/A</v>
      </c>
      <c r="X140" s="406" t="e">
        <f t="shared" ca="1" si="76"/>
        <v>#N/A</v>
      </c>
      <c r="Y140" s="406" t="e">
        <f t="shared" ca="1" si="76"/>
        <v>#N/A</v>
      </c>
      <c r="Z140" s="406" t="e">
        <f t="shared" ca="1" si="76"/>
        <v>#N/A</v>
      </c>
      <c r="AA140" s="406" t="e">
        <f t="shared" ca="1" si="76"/>
        <v>#N/A</v>
      </c>
      <c r="AB140" s="406" t="e">
        <f t="shared" ca="1" si="76"/>
        <v>#N/A</v>
      </c>
      <c r="AC140" s="406" t="e">
        <f t="shared" ca="1" si="76"/>
        <v>#N/A</v>
      </c>
      <c r="AD140" s="406" t="e">
        <f t="shared" ca="1" si="76"/>
        <v>#N/A</v>
      </c>
      <c r="AE140" s="406" t="e">
        <f t="shared" ca="1" si="76"/>
        <v>#N/A</v>
      </c>
      <c r="AF140" s="406" t="e">
        <f t="shared" ca="1" si="76"/>
        <v>#N/A</v>
      </c>
      <c r="AG140" s="406" t="e">
        <f t="shared" ca="1" si="76"/>
        <v>#N/A</v>
      </c>
      <c r="AH140" s="406" t="e">
        <f t="shared" ca="1" si="77"/>
        <v>#N/A</v>
      </c>
      <c r="AI140" s="406" t="e">
        <f t="shared" ca="1" si="77"/>
        <v>#N/A</v>
      </c>
      <c r="AJ140" s="406" t="e">
        <f t="shared" ca="1" si="77"/>
        <v>#N/A</v>
      </c>
      <c r="AK140" s="406" t="e">
        <f t="shared" ca="1" si="77"/>
        <v>#N/A</v>
      </c>
      <c r="AL140" s="406" t="e">
        <f t="shared" ca="1" si="77"/>
        <v>#N/A</v>
      </c>
      <c r="AM140" s="406" t="e">
        <f t="shared" ca="1" si="77"/>
        <v>#N/A</v>
      </c>
      <c r="AN140" s="406" t="e">
        <f t="shared" ca="1" si="77"/>
        <v>#N/A</v>
      </c>
      <c r="AO140" s="406" t="e">
        <f t="shared" ca="1" si="77"/>
        <v>#N/A</v>
      </c>
      <c r="AP140" s="406" t="e">
        <f t="shared" ca="1" si="77"/>
        <v>#N/A</v>
      </c>
      <c r="AQ140" s="406" t="e">
        <f t="shared" ca="1" si="77"/>
        <v>#N/A</v>
      </c>
      <c r="AR140" s="406" t="e">
        <f t="shared" ca="1" si="78"/>
        <v>#N/A</v>
      </c>
      <c r="AS140" s="406" t="e">
        <f t="shared" ca="1" si="78"/>
        <v>#N/A</v>
      </c>
      <c r="AT140" s="406" t="e">
        <f t="shared" ca="1" si="78"/>
        <v>#N/A</v>
      </c>
      <c r="AU140" s="406" t="e">
        <f t="shared" ca="1" si="78"/>
        <v>#N/A</v>
      </c>
      <c r="AV140" s="406" t="e">
        <f t="shared" ca="1" si="78"/>
        <v>#N/A</v>
      </c>
      <c r="AW140" s="406" t="e">
        <f t="shared" ca="1" si="78"/>
        <v>#N/A</v>
      </c>
      <c r="AX140" s="406" t="e">
        <f t="shared" ca="1" si="78"/>
        <v>#N/A</v>
      </c>
      <c r="AY140" s="406" t="e">
        <f t="shared" ca="1" si="78"/>
        <v>#N/A</v>
      </c>
      <c r="AZ140" s="406" t="e">
        <f t="shared" ca="1" si="78"/>
        <v>#N/A</v>
      </c>
      <c r="BA140" s="406" t="e">
        <f t="shared" ca="1" si="78"/>
        <v>#N/A</v>
      </c>
      <c r="BB140" s="412" t="s">
        <v>1211</v>
      </c>
      <c r="BC140" s="407" t="str">
        <f t="shared" ca="1" si="72"/>
        <v/>
      </c>
      <c r="BD140" s="410"/>
      <c r="BE140" s="410"/>
    </row>
    <row r="141" spans="3:57" x14ac:dyDescent="0.25">
      <c r="C141" s="406">
        <f t="shared" si="73"/>
        <v>139</v>
      </c>
      <c r="D141" s="406" t="e">
        <f t="shared" ca="1" si="74"/>
        <v>#N/A</v>
      </c>
      <c r="E141" s="406" t="e">
        <f t="shared" ca="1" si="74"/>
        <v>#N/A</v>
      </c>
      <c r="F141" s="406" t="e">
        <f t="shared" ca="1" si="74"/>
        <v>#N/A</v>
      </c>
      <c r="G141" s="406" t="e">
        <f t="shared" ca="1" si="74"/>
        <v>#N/A</v>
      </c>
      <c r="H141" s="406" t="e">
        <f t="shared" ca="1" si="74"/>
        <v>#N/A</v>
      </c>
      <c r="I141" s="406" t="e">
        <f t="shared" ca="1" si="74"/>
        <v>#N/A</v>
      </c>
      <c r="J141" s="406" t="e">
        <f t="shared" ca="1" si="74"/>
        <v>#N/A</v>
      </c>
      <c r="K141" s="406" t="e">
        <f t="shared" ca="1" si="74"/>
        <v>#N/A</v>
      </c>
      <c r="L141" s="406" t="e">
        <f t="shared" ca="1" si="74"/>
        <v>#N/A</v>
      </c>
      <c r="M141" s="406" t="e">
        <f t="shared" ca="1" si="74"/>
        <v>#N/A</v>
      </c>
      <c r="N141" s="406" t="e">
        <f t="shared" ca="1" si="75"/>
        <v>#N/A</v>
      </c>
      <c r="O141" s="406" t="e">
        <f t="shared" ca="1" si="75"/>
        <v>#N/A</v>
      </c>
      <c r="P141" s="406" t="e">
        <f t="shared" ca="1" si="75"/>
        <v>#N/A</v>
      </c>
      <c r="Q141" s="406" t="e">
        <f t="shared" ca="1" si="75"/>
        <v>#N/A</v>
      </c>
      <c r="R141" s="406" t="e">
        <f t="shared" ca="1" si="75"/>
        <v>#N/A</v>
      </c>
      <c r="S141" s="406" t="e">
        <f t="shared" ca="1" si="75"/>
        <v>#N/A</v>
      </c>
      <c r="T141" s="406" t="e">
        <f t="shared" ca="1" si="75"/>
        <v>#N/A</v>
      </c>
      <c r="U141" s="406" t="e">
        <f t="shared" ca="1" si="75"/>
        <v>#N/A</v>
      </c>
      <c r="V141" s="406" t="e">
        <f t="shared" ca="1" si="75"/>
        <v>#N/A</v>
      </c>
      <c r="W141" s="406" t="e">
        <f t="shared" ca="1" si="75"/>
        <v>#N/A</v>
      </c>
      <c r="X141" s="406" t="e">
        <f t="shared" ca="1" si="76"/>
        <v>#N/A</v>
      </c>
      <c r="Y141" s="406" t="e">
        <f t="shared" ca="1" si="76"/>
        <v>#N/A</v>
      </c>
      <c r="Z141" s="406" t="e">
        <f t="shared" ca="1" si="76"/>
        <v>#N/A</v>
      </c>
      <c r="AA141" s="406" t="e">
        <f t="shared" ca="1" si="76"/>
        <v>#N/A</v>
      </c>
      <c r="AB141" s="406" t="e">
        <f t="shared" ca="1" si="76"/>
        <v>#N/A</v>
      </c>
      <c r="AC141" s="406" t="e">
        <f t="shared" ca="1" si="76"/>
        <v>#N/A</v>
      </c>
      <c r="AD141" s="406" t="e">
        <f t="shared" ca="1" si="76"/>
        <v>#N/A</v>
      </c>
      <c r="AE141" s="406" t="e">
        <f t="shared" ca="1" si="76"/>
        <v>#N/A</v>
      </c>
      <c r="AF141" s="406" t="e">
        <f t="shared" ca="1" si="76"/>
        <v>#N/A</v>
      </c>
      <c r="AG141" s="406" t="e">
        <f t="shared" ca="1" si="76"/>
        <v>#N/A</v>
      </c>
      <c r="AH141" s="406" t="e">
        <f t="shared" ca="1" si="77"/>
        <v>#N/A</v>
      </c>
      <c r="AI141" s="406" t="e">
        <f t="shared" ca="1" si="77"/>
        <v>#N/A</v>
      </c>
      <c r="AJ141" s="406" t="e">
        <f t="shared" ca="1" si="77"/>
        <v>#N/A</v>
      </c>
      <c r="AK141" s="406" t="e">
        <f t="shared" ca="1" si="77"/>
        <v>#N/A</v>
      </c>
      <c r="AL141" s="406" t="e">
        <f t="shared" ca="1" si="77"/>
        <v>#N/A</v>
      </c>
      <c r="AM141" s="406" t="e">
        <f t="shared" ca="1" si="77"/>
        <v>#N/A</v>
      </c>
      <c r="AN141" s="406" t="e">
        <f t="shared" ca="1" si="77"/>
        <v>#N/A</v>
      </c>
      <c r="AO141" s="406" t="e">
        <f t="shared" ca="1" si="77"/>
        <v>#N/A</v>
      </c>
      <c r="AP141" s="406" t="e">
        <f t="shared" ca="1" si="77"/>
        <v>#N/A</v>
      </c>
      <c r="AQ141" s="406" t="e">
        <f t="shared" ca="1" si="77"/>
        <v>#N/A</v>
      </c>
      <c r="AR141" s="406" t="e">
        <f t="shared" ca="1" si="78"/>
        <v>#N/A</v>
      </c>
      <c r="AS141" s="406" t="e">
        <f t="shared" ca="1" si="78"/>
        <v>#N/A</v>
      </c>
      <c r="AT141" s="406" t="e">
        <f t="shared" ca="1" si="78"/>
        <v>#N/A</v>
      </c>
      <c r="AU141" s="406" t="e">
        <f t="shared" ca="1" si="78"/>
        <v>#N/A</v>
      </c>
      <c r="AV141" s="406" t="e">
        <f t="shared" ca="1" si="78"/>
        <v>#N/A</v>
      </c>
      <c r="AW141" s="406" t="e">
        <f t="shared" ca="1" si="78"/>
        <v>#N/A</v>
      </c>
      <c r="AX141" s="406" t="e">
        <f t="shared" ca="1" si="78"/>
        <v>#N/A</v>
      </c>
      <c r="AY141" s="406" t="e">
        <f t="shared" ca="1" si="78"/>
        <v>#N/A</v>
      </c>
      <c r="AZ141" s="406" t="e">
        <f t="shared" ca="1" si="78"/>
        <v>#N/A</v>
      </c>
      <c r="BA141" s="406" t="e">
        <f t="shared" ca="1" si="78"/>
        <v>#N/A</v>
      </c>
      <c r="BB141" s="412" t="s">
        <v>1212</v>
      </c>
      <c r="BC141" s="407" t="str">
        <f t="shared" ca="1" si="72"/>
        <v/>
      </c>
      <c r="BD141" s="410"/>
      <c r="BE141" s="410"/>
    </row>
    <row r="142" spans="3:57" x14ac:dyDescent="0.25">
      <c r="C142" s="406">
        <f t="shared" si="73"/>
        <v>140</v>
      </c>
      <c r="D142" s="406" t="e">
        <f t="shared" ref="D142:M151" ca="1" si="79">TRIM(INDIRECT("'" &amp; "TNX RTF" &amp; "'!" &amp; ADDRESS($A$3+$C142,D$1)))</f>
        <v>#N/A</v>
      </c>
      <c r="E142" s="406" t="e">
        <f t="shared" ca="1" si="79"/>
        <v>#N/A</v>
      </c>
      <c r="F142" s="406" t="e">
        <f t="shared" ca="1" si="79"/>
        <v>#N/A</v>
      </c>
      <c r="G142" s="406" t="e">
        <f t="shared" ca="1" si="79"/>
        <v>#N/A</v>
      </c>
      <c r="H142" s="406" t="e">
        <f t="shared" ca="1" si="79"/>
        <v>#N/A</v>
      </c>
      <c r="I142" s="406" t="e">
        <f t="shared" ca="1" si="79"/>
        <v>#N/A</v>
      </c>
      <c r="J142" s="406" t="e">
        <f t="shared" ca="1" si="79"/>
        <v>#N/A</v>
      </c>
      <c r="K142" s="406" t="e">
        <f t="shared" ca="1" si="79"/>
        <v>#N/A</v>
      </c>
      <c r="L142" s="406" t="e">
        <f t="shared" ca="1" si="79"/>
        <v>#N/A</v>
      </c>
      <c r="M142" s="406" t="e">
        <f t="shared" ca="1" si="79"/>
        <v>#N/A</v>
      </c>
      <c r="N142" s="406" t="e">
        <f t="shared" ref="N142:W151" ca="1" si="80">TRIM(INDIRECT("'" &amp; "TNX RTF" &amp; "'!" &amp; ADDRESS($A$3+$C142,N$1)))</f>
        <v>#N/A</v>
      </c>
      <c r="O142" s="406" t="e">
        <f t="shared" ca="1" si="80"/>
        <v>#N/A</v>
      </c>
      <c r="P142" s="406" t="e">
        <f t="shared" ca="1" si="80"/>
        <v>#N/A</v>
      </c>
      <c r="Q142" s="406" t="e">
        <f t="shared" ca="1" si="80"/>
        <v>#N/A</v>
      </c>
      <c r="R142" s="406" t="e">
        <f t="shared" ca="1" si="80"/>
        <v>#N/A</v>
      </c>
      <c r="S142" s="406" t="e">
        <f t="shared" ca="1" si="80"/>
        <v>#N/A</v>
      </c>
      <c r="T142" s="406" t="e">
        <f t="shared" ca="1" si="80"/>
        <v>#N/A</v>
      </c>
      <c r="U142" s="406" t="e">
        <f t="shared" ca="1" si="80"/>
        <v>#N/A</v>
      </c>
      <c r="V142" s="406" t="e">
        <f t="shared" ca="1" si="80"/>
        <v>#N/A</v>
      </c>
      <c r="W142" s="406" t="e">
        <f t="shared" ca="1" si="80"/>
        <v>#N/A</v>
      </c>
      <c r="X142" s="406" t="e">
        <f t="shared" ref="X142:AG151" ca="1" si="81">TRIM(INDIRECT("'" &amp; "TNX RTF" &amp; "'!" &amp; ADDRESS($A$3+$C142,X$1)))</f>
        <v>#N/A</v>
      </c>
      <c r="Y142" s="406" t="e">
        <f t="shared" ca="1" si="81"/>
        <v>#N/A</v>
      </c>
      <c r="Z142" s="406" t="e">
        <f t="shared" ca="1" si="81"/>
        <v>#N/A</v>
      </c>
      <c r="AA142" s="406" t="e">
        <f t="shared" ca="1" si="81"/>
        <v>#N/A</v>
      </c>
      <c r="AB142" s="406" t="e">
        <f t="shared" ca="1" si="81"/>
        <v>#N/A</v>
      </c>
      <c r="AC142" s="406" t="e">
        <f t="shared" ca="1" si="81"/>
        <v>#N/A</v>
      </c>
      <c r="AD142" s="406" t="e">
        <f t="shared" ca="1" si="81"/>
        <v>#N/A</v>
      </c>
      <c r="AE142" s="406" t="e">
        <f t="shared" ca="1" si="81"/>
        <v>#N/A</v>
      </c>
      <c r="AF142" s="406" t="e">
        <f t="shared" ca="1" si="81"/>
        <v>#N/A</v>
      </c>
      <c r="AG142" s="406" t="e">
        <f t="shared" ca="1" si="81"/>
        <v>#N/A</v>
      </c>
      <c r="AH142" s="406" t="e">
        <f t="shared" ref="AH142:AQ151" ca="1" si="82">TRIM(INDIRECT("'" &amp; "TNX RTF" &amp; "'!" &amp; ADDRESS($A$3+$C142,AH$1)))</f>
        <v>#N/A</v>
      </c>
      <c r="AI142" s="406" t="e">
        <f t="shared" ca="1" si="82"/>
        <v>#N/A</v>
      </c>
      <c r="AJ142" s="406" t="e">
        <f t="shared" ca="1" si="82"/>
        <v>#N/A</v>
      </c>
      <c r="AK142" s="406" t="e">
        <f t="shared" ca="1" si="82"/>
        <v>#N/A</v>
      </c>
      <c r="AL142" s="406" t="e">
        <f t="shared" ca="1" si="82"/>
        <v>#N/A</v>
      </c>
      <c r="AM142" s="406" t="e">
        <f t="shared" ca="1" si="82"/>
        <v>#N/A</v>
      </c>
      <c r="AN142" s="406" t="e">
        <f t="shared" ca="1" si="82"/>
        <v>#N/A</v>
      </c>
      <c r="AO142" s="406" t="e">
        <f t="shared" ca="1" si="82"/>
        <v>#N/A</v>
      </c>
      <c r="AP142" s="406" t="e">
        <f t="shared" ca="1" si="82"/>
        <v>#N/A</v>
      </c>
      <c r="AQ142" s="406" t="e">
        <f t="shared" ca="1" si="82"/>
        <v>#N/A</v>
      </c>
      <c r="AR142" s="406" t="e">
        <f t="shared" ref="AR142:BA151" ca="1" si="83">TRIM(INDIRECT("'" &amp; "TNX RTF" &amp; "'!" &amp; ADDRESS($A$3+$C142,AR$1)))</f>
        <v>#N/A</v>
      </c>
      <c r="AS142" s="406" t="e">
        <f t="shared" ca="1" si="83"/>
        <v>#N/A</v>
      </c>
      <c r="AT142" s="406" t="e">
        <f t="shared" ca="1" si="83"/>
        <v>#N/A</v>
      </c>
      <c r="AU142" s="406" t="e">
        <f t="shared" ca="1" si="83"/>
        <v>#N/A</v>
      </c>
      <c r="AV142" s="406" t="e">
        <f t="shared" ca="1" si="83"/>
        <v>#N/A</v>
      </c>
      <c r="AW142" s="406" t="e">
        <f t="shared" ca="1" si="83"/>
        <v>#N/A</v>
      </c>
      <c r="AX142" s="406" t="e">
        <f t="shared" ca="1" si="83"/>
        <v>#N/A</v>
      </c>
      <c r="AY142" s="406" t="e">
        <f t="shared" ca="1" si="83"/>
        <v>#N/A</v>
      </c>
      <c r="AZ142" s="406" t="e">
        <f t="shared" ca="1" si="83"/>
        <v>#N/A</v>
      </c>
      <c r="BA142" s="406" t="e">
        <f t="shared" ca="1" si="83"/>
        <v>#N/A</v>
      </c>
      <c r="BB142" s="412" t="s">
        <v>1213</v>
      </c>
      <c r="BC142" s="407" t="str">
        <f t="shared" ca="1" si="72"/>
        <v/>
      </c>
      <c r="BD142" s="410"/>
      <c r="BE142" s="410"/>
    </row>
    <row r="143" spans="3:57" x14ac:dyDescent="0.25">
      <c r="C143" s="406">
        <f t="shared" si="73"/>
        <v>141</v>
      </c>
      <c r="D143" s="406" t="e">
        <f t="shared" ca="1" si="79"/>
        <v>#N/A</v>
      </c>
      <c r="E143" s="406" t="e">
        <f t="shared" ca="1" si="79"/>
        <v>#N/A</v>
      </c>
      <c r="F143" s="406" t="e">
        <f t="shared" ca="1" si="79"/>
        <v>#N/A</v>
      </c>
      <c r="G143" s="406" t="e">
        <f t="shared" ca="1" si="79"/>
        <v>#N/A</v>
      </c>
      <c r="H143" s="406" t="e">
        <f t="shared" ca="1" si="79"/>
        <v>#N/A</v>
      </c>
      <c r="I143" s="406" t="e">
        <f t="shared" ca="1" si="79"/>
        <v>#N/A</v>
      </c>
      <c r="J143" s="406" t="e">
        <f t="shared" ca="1" si="79"/>
        <v>#N/A</v>
      </c>
      <c r="K143" s="406" t="e">
        <f t="shared" ca="1" si="79"/>
        <v>#N/A</v>
      </c>
      <c r="L143" s="406" t="e">
        <f t="shared" ca="1" si="79"/>
        <v>#N/A</v>
      </c>
      <c r="M143" s="406" t="e">
        <f t="shared" ca="1" si="79"/>
        <v>#N/A</v>
      </c>
      <c r="N143" s="406" t="e">
        <f t="shared" ca="1" si="80"/>
        <v>#N/A</v>
      </c>
      <c r="O143" s="406" t="e">
        <f t="shared" ca="1" si="80"/>
        <v>#N/A</v>
      </c>
      <c r="P143" s="406" t="e">
        <f t="shared" ca="1" si="80"/>
        <v>#N/A</v>
      </c>
      <c r="Q143" s="406" t="e">
        <f t="shared" ca="1" si="80"/>
        <v>#N/A</v>
      </c>
      <c r="R143" s="406" t="e">
        <f t="shared" ca="1" si="80"/>
        <v>#N/A</v>
      </c>
      <c r="S143" s="406" t="e">
        <f t="shared" ca="1" si="80"/>
        <v>#N/A</v>
      </c>
      <c r="T143" s="406" t="e">
        <f t="shared" ca="1" si="80"/>
        <v>#N/A</v>
      </c>
      <c r="U143" s="406" t="e">
        <f t="shared" ca="1" si="80"/>
        <v>#N/A</v>
      </c>
      <c r="V143" s="406" t="e">
        <f t="shared" ca="1" si="80"/>
        <v>#N/A</v>
      </c>
      <c r="W143" s="406" t="e">
        <f t="shared" ca="1" si="80"/>
        <v>#N/A</v>
      </c>
      <c r="X143" s="406" t="e">
        <f t="shared" ca="1" si="81"/>
        <v>#N/A</v>
      </c>
      <c r="Y143" s="406" t="e">
        <f t="shared" ca="1" si="81"/>
        <v>#N/A</v>
      </c>
      <c r="Z143" s="406" t="e">
        <f t="shared" ca="1" si="81"/>
        <v>#N/A</v>
      </c>
      <c r="AA143" s="406" t="e">
        <f t="shared" ca="1" si="81"/>
        <v>#N/A</v>
      </c>
      <c r="AB143" s="406" t="e">
        <f t="shared" ca="1" si="81"/>
        <v>#N/A</v>
      </c>
      <c r="AC143" s="406" t="e">
        <f t="shared" ca="1" si="81"/>
        <v>#N/A</v>
      </c>
      <c r="AD143" s="406" t="e">
        <f t="shared" ca="1" si="81"/>
        <v>#N/A</v>
      </c>
      <c r="AE143" s="406" t="e">
        <f t="shared" ca="1" si="81"/>
        <v>#N/A</v>
      </c>
      <c r="AF143" s="406" t="e">
        <f t="shared" ca="1" si="81"/>
        <v>#N/A</v>
      </c>
      <c r="AG143" s="406" t="e">
        <f t="shared" ca="1" si="81"/>
        <v>#N/A</v>
      </c>
      <c r="AH143" s="406" t="e">
        <f t="shared" ca="1" si="82"/>
        <v>#N/A</v>
      </c>
      <c r="AI143" s="406" t="e">
        <f t="shared" ca="1" si="82"/>
        <v>#N/A</v>
      </c>
      <c r="AJ143" s="406" t="e">
        <f t="shared" ca="1" si="82"/>
        <v>#N/A</v>
      </c>
      <c r="AK143" s="406" t="e">
        <f t="shared" ca="1" si="82"/>
        <v>#N/A</v>
      </c>
      <c r="AL143" s="406" t="e">
        <f t="shared" ca="1" si="82"/>
        <v>#N/A</v>
      </c>
      <c r="AM143" s="406" t="e">
        <f t="shared" ca="1" si="82"/>
        <v>#N/A</v>
      </c>
      <c r="AN143" s="406" t="e">
        <f t="shared" ca="1" si="82"/>
        <v>#N/A</v>
      </c>
      <c r="AO143" s="406" t="e">
        <f t="shared" ca="1" si="82"/>
        <v>#N/A</v>
      </c>
      <c r="AP143" s="406" t="e">
        <f t="shared" ca="1" si="82"/>
        <v>#N/A</v>
      </c>
      <c r="AQ143" s="406" t="e">
        <f t="shared" ca="1" si="82"/>
        <v>#N/A</v>
      </c>
      <c r="AR143" s="406" t="e">
        <f t="shared" ca="1" si="83"/>
        <v>#N/A</v>
      </c>
      <c r="AS143" s="406" t="e">
        <f t="shared" ca="1" si="83"/>
        <v>#N/A</v>
      </c>
      <c r="AT143" s="406" t="e">
        <f t="shared" ca="1" si="83"/>
        <v>#N/A</v>
      </c>
      <c r="AU143" s="406" t="e">
        <f t="shared" ca="1" si="83"/>
        <v>#N/A</v>
      </c>
      <c r="AV143" s="406" t="e">
        <f t="shared" ca="1" si="83"/>
        <v>#N/A</v>
      </c>
      <c r="AW143" s="406" t="e">
        <f t="shared" ca="1" si="83"/>
        <v>#N/A</v>
      </c>
      <c r="AX143" s="406" t="e">
        <f t="shared" ca="1" si="83"/>
        <v>#N/A</v>
      </c>
      <c r="AY143" s="406" t="e">
        <f t="shared" ca="1" si="83"/>
        <v>#N/A</v>
      </c>
      <c r="AZ143" s="406" t="e">
        <f t="shared" ca="1" si="83"/>
        <v>#N/A</v>
      </c>
      <c r="BA143" s="406" t="e">
        <f t="shared" ca="1" si="83"/>
        <v>#N/A</v>
      </c>
      <c r="BB143" s="412" t="s">
        <v>1214</v>
      </c>
      <c r="BC143" s="407" t="str">
        <f t="shared" ca="1" si="72"/>
        <v/>
      </c>
      <c r="BD143" s="410"/>
      <c r="BE143" s="410"/>
    </row>
    <row r="144" spans="3:57" x14ac:dyDescent="0.25">
      <c r="C144" s="406">
        <f t="shared" si="73"/>
        <v>142</v>
      </c>
      <c r="D144" s="406" t="e">
        <f t="shared" ca="1" si="79"/>
        <v>#N/A</v>
      </c>
      <c r="E144" s="406" t="e">
        <f t="shared" ca="1" si="79"/>
        <v>#N/A</v>
      </c>
      <c r="F144" s="406" t="e">
        <f t="shared" ca="1" si="79"/>
        <v>#N/A</v>
      </c>
      <c r="G144" s="406" t="e">
        <f t="shared" ca="1" si="79"/>
        <v>#N/A</v>
      </c>
      <c r="H144" s="406" t="e">
        <f t="shared" ca="1" si="79"/>
        <v>#N/A</v>
      </c>
      <c r="I144" s="406" t="e">
        <f t="shared" ca="1" si="79"/>
        <v>#N/A</v>
      </c>
      <c r="J144" s="406" t="e">
        <f t="shared" ca="1" si="79"/>
        <v>#N/A</v>
      </c>
      <c r="K144" s="406" t="e">
        <f t="shared" ca="1" si="79"/>
        <v>#N/A</v>
      </c>
      <c r="L144" s="406" t="e">
        <f t="shared" ca="1" si="79"/>
        <v>#N/A</v>
      </c>
      <c r="M144" s="406" t="e">
        <f t="shared" ca="1" si="79"/>
        <v>#N/A</v>
      </c>
      <c r="N144" s="406" t="e">
        <f t="shared" ca="1" si="80"/>
        <v>#N/A</v>
      </c>
      <c r="O144" s="406" t="e">
        <f t="shared" ca="1" si="80"/>
        <v>#N/A</v>
      </c>
      <c r="P144" s="406" t="e">
        <f t="shared" ca="1" si="80"/>
        <v>#N/A</v>
      </c>
      <c r="Q144" s="406" t="e">
        <f t="shared" ca="1" si="80"/>
        <v>#N/A</v>
      </c>
      <c r="R144" s="406" t="e">
        <f t="shared" ca="1" si="80"/>
        <v>#N/A</v>
      </c>
      <c r="S144" s="406" t="e">
        <f t="shared" ca="1" si="80"/>
        <v>#N/A</v>
      </c>
      <c r="T144" s="406" t="e">
        <f t="shared" ca="1" si="80"/>
        <v>#N/A</v>
      </c>
      <c r="U144" s="406" t="e">
        <f t="shared" ca="1" si="80"/>
        <v>#N/A</v>
      </c>
      <c r="V144" s="406" t="e">
        <f t="shared" ca="1" si="80"/>
        <v>#N/A</v>
      </c>
      <c r="W144" s="406" t="e">
        <f t="shared" ca="1" si="80"/>
        <v>#N/A</v>
      </c>
      <c r="X144" s="406" t="e">
        <f t="shared" ca="1" si="81"/>
        <v>#N/A</v>
      </c>
      <c r="Y144" s="406" t="e">
        <f t="shared" ca="1" si="81"/>
        <v>#N/A</v>
      </c>
      <c r="Z144" s="406" t="e">
        <f t="shared" ca="1" si="81"/>
        <v>#N/A</v>
      </c>
      <c r="AA144" s="406" t="e">
        <f t="shared" ca="1" si="81"/>
        <v>#N/A</v>
      </c>
      <c r="AB144" s="406" t="e">
        <f t="shared" ca="1" si="81"/>
        <v>#N/A</v>
      </c>
      <c r="AC144" s="406" t="e">
        <f t="shared" ca="1" si="81"/>
        <v>#N/A</v>
      </c>
      <c r="AD144" s="406" t="e">
        <f t="shared" ca="1" si="81"/>
        <v>#N/A</v>
      </c>
      <c r="AE144" s="406" t="e">
        <f t="shared" ca="1" si="81"/>
        <v>#N/A</v>
      </c>
      <c r="AF144" s="406" t="e">
        <f t="shared" ca="1" si="81"/>
        <v>#N/A</v>
      </c>
      <c r="AG144" s="406" t="e">
        <f t="shared" ca="1" si="81"/>
        <v>#N/A</v>
      </c>
      <c r="AH144" s="406" t="e">
        <f t="shared" ca="1" si="82"/>
        <v>#N/A</v>
      </c>
      <c r="AI144" s="406" t="e">
        <f t="shared" ca="1" si="82"/>
        <v>#N/A</v>
      </c>
      <c r="AJ144" s="406" t="e">
        <f t="shared" ca="1" si="82"/>
        <v>#N/A</v>
      </c>
      <c r="AK144" s="406" t="e">
        <f t="shared" ca="1" si="82"/>
        <v>#N/A</v>
      </c>
      <c r="AL144" s="406" t="e">
        <f t="shared" ca="1" si="82"/>
        <v>#N/A</v>
      </c>
      <c r="AM144" s="406" t="e">
        <f t="shared" ca="1" si="82"/>
        <v>#N/A</v>
      </c>
      <c r="AN144" s="406" t="e">
        <f t="shared" ca="1" si="82"/>
        <v>#N/A</v>
      </c>
      <c r="AO144" s="406" t="e">
        <f t="shared" ca="1" si="82"/>
        <v>#N/A</v>
      </c>
      <c r="AP144" s="406" t="e">
        <f t="shared" ca="1" si="82"/>
        <v>#N/A</v>
      </c>
      <c r="AQ144" s="406" t="e">
        <f t="shared" ca="1" si="82"/>
        <v>#N/A</v>
      </c>
      <c r="AR144" s="406" t="e">
        <f t="shared" ca="1" si="83"/>
        <v>#N/A</v>
      </c>
      <c r="AS144" s="406" t="e">
        <f t="shared" ca="1" si="83"/>
        <v>#N/A</v>
      </c>
      <c r="AT144" s="406" t="e">
        <f t="shared" ca="1" si="83"/>
        <v>#N/A</v>
      </c>
      <c r="AU144" s="406" t="e">
        <f t="shared" ca="1" si="83"/>
        <v>#N/A</v>
      </c>
      <c r="AV144" s="406" t="e">
        <f t="shared" ca="1" si="83"/>
        <v>#N/A</v>
      </c>
      <c r="AW144" s="406" t="e">
        <f t="shared" ca="1" si="83"/>
        <v>#N/A</v>
      </c>
      <c r="AX144" s="406" t="e">
        <f t="shared" ca="1" si="83"/>
        <v>#N/A</v>
      </c>
      <c r="AY144" s="406" t="e">
        <f t="shared" ca="1" si="83"/>
        <v>#N/A</v>
      </c>
      <c r="AZ144" s="406" t="e">
        <f t="shared" ca="1" si="83"/>
        <v>#N/A</v>
      </c>
      <c r="BA144" s="406" t="e">
        <f t="shared" ca="1" si="83"/>
        <v>#N/A</v>
      </c>
      <c r="BB144" s="412" t="s">
        <v>1215</v>
      </c>
      <c r="BC144" s="407" t="str">
        <f t="shared" ca="1" si="72"/>
        <v/>
      </c>
      <c r="BD144" s="410"/>
      <c r="BE144" s="410"/>
    </row>
    <row r="145" spans="3:57" x14ac:dyDescent="0.25">
      <c r="C145" s="406">
        <f t="shared" si="73"/>
        <v>143</v>
      </c>
      <c r="D145" s="406" t="e">
        <f t="shared" ca="1" si="79"/>
        <v>#N/A</v>
      </c>
      <c r="E145" s="406" t="e">
        <f t="shared" ca="1" si="79"/>
        <v>#N/A</v>
      </c>
      <c r="F145" s="406" t="e">
        <f t="shared" ca="1" si="79"/>
        <v>#N/A</v>
      </c>
      <c r="G145" s="406" t="e">
        <f t="shared" ca="1" si="79"/>
        <v>#N/A</v>
      </c>
      <c r="H145" s="406" t="e">
        <f t="shared" ca="1" si="79"/>
        <v>#N/A</v>
      </c>
      <c r="I145" s="406" t="e">
        <f t="shared" ca="1" si="79"/>
        <v>#N/A</v>
      </c>
      <c r="J145" s="406" t="e">
        <f t="shared" ca="1" si="79"/>
        <v>#N/A</v>
      </c>
      <c r="K145" s="406" t="e">
        <f t="shared" ca="1" si="79"/>
        <v>#N/A</v>
      </c>
      <c r="L145" s="406" t="e">
        <f t="shared" ca="1" si="79"/>
        <v>#N/A</v>
      </c>
      <c r="M145" s="406" t="e">
        <f t="shared" ca="1" si="79"/>
        <v>#N/A</v>
      </c>
      <c r="N145" s="406" t="e">
        <f t="shared" ca="1" si="80"/>
        <v>#N/A</v>
      </c>
      <c r="O145" s="406" t="e">
        <f t="shared" ca="1" si="80"/>
        <v>#N/A</v>
      </c>
      <c r="P145" s="406" t="e">
        <f t="shared" ca="1" si="80"/>
        <v>#N/A</v>
      </c>
      <c r="Q145" s="406" t="e">
        <f t="shared" ca="1" si="80"/>
        <v>#N/A</v>
      </c>
      <c r="R145" s="406" t="e">
        <f t="shared" ca="1" si="80"/>
        <v>#N/A</v>
      </c>
      <c r="S145" s="406" t="e">
        <f t="shared" ca="1" si="80"/>
        <v>#N/A</v>
      </c>
      <c r="T145" s="406" t="e">
        <f t="shared" ca="1" si="80"/>
        <v>#N/A</v>
      </c>
      <c r="U145" s="406" t="e">
        <f t="shared" ca="1" si="80"/>
        <v>#N/A</v>
      </c>
      <c r="V145" s="406" t="e">
        <f t="shared" ca="1" si="80"/>
        <v>#N/A</v>
      </c>
      <c r="W145" s="406" t="e">
        <f t="shared" ca="1" si="80"/>
        <v>#N/A</v>
      </c>
      <c r="X145" s="406" t="e">
        <f t="shared" ca="1" si="81"/>
        <v>#N/A</v>
      </c>
      <c r="Y145" s="406" t="e">
        <f t="shared" ca="1" si="81"/>
        <v>#N/A</v>
      </c>
      <c r="Z145" s="406" t="e">
        <f t="shared" ca="1" si="81"/>
        <v>#N/A</v>
      </c>
      <c r="AA145" s="406" t="e">
        <f t="shared" ca="1" si="81"/>
        <v>#N/A</v>
      </c>
      <c r="AB145" s="406" t="e">
        <f t="shared" ca="1" si="81"/>
        <v>#N/A</v>
      </c>
      <c r="AC145" s="406" t="e">
        <f t="shared" ca="1" si="81"/>
        <v>#N/A</v>
      </c>
      <c r="AD145" s="406" t="e">
        <f t="shared" ca="1" si="81"/>
        <v>#N/A</v>
      </c>
      <c r="AE145" s="406" t="e">
        <f t="shared" ca="1" si="81"/>
        <v>#N/A</v>
      </c>
      <c r="AF145" s="406" t="e">
        <f t="shared" ca="1" si="81"/>
        <v>#N/A</v>
      </c>
      <c r="AG145" s="406" t="e">
        <f t="shared" ca="1" si="81"/>
        <v>#N/A</v>
      </c>
      <c r="AH145" s="406" t="e">
        <f t="shared" ca="1" si="82"/>
        <v>#N/A</v>
      </c>
      <c r="AI145" s="406" t="e">
        <f t="shared" ca="1" si="82"/>
        <v>#N/A</v>
      </c>
      <c r="AJ145" s="406" t="e">
        <f t="shared" ca="1" si="82"/>
        <v>#N/A</v>
      </c>
      <c r="AK145" s="406" t="e">
        <f t="shared" ca="1" si="82"/>
        <v>#N/A</v>
      </c>
      <c r="AL145" s="406" t="e">
        <f t="shared" ca="1" si="82"/>
        <v>#N/A</v>
      </c>
      <c r="AM145" s="406" t="e">
        <f t="shared" ca="1" si="82"/>
        <v>#N/A</v>
      </c>
      <c r="AN145" s="406" t="e">
        <f t="shared" ca="1" si="82"/>
        <v>#N/A</v>
      </c>
      <c r="AO145" s="406" t="e">
        <f t="shared" ca="1" si="82"/>
        <v>#N/A</v>
      </c>
      <c r="AP145" s="406" t="e">
        <f t="shared" ca="1" si="82"/>
        <v>#N/A</v>
      </c>
      <c r="AQ145" s="406" t="e">
        <f t="shared" ca="1" si="82"/>
        <v>#N/A</v>
      </c>
      <c r="AR145" s="406" t="e">
        <f t="shared" ca="1" si="83"/>
        <v>#N/A</v>
      </c>
      <c r="AS145" s="406" t="e">
        <f t="shared" ca="1" si="83"/>
        <v>#N/A</v>
      </c>
      <c r="AT145" s="406" t="e">
        <f t="shared" ca="1" si="83"/>
        <v>#N/A</v>
      </c>
      <c r="AU145" s="406" t="e">
        <f t="shared" ca="1" si="83"/>
        <v>#N/A</v>
      </c>
      <c r="AV145" s="406" t="e">
        <f t="shared" ca="1" si="83"/>
        <v>#N/A</v>
      </c>
      <c r="AW145" s="406" t="e">
        <f t="shared" ca="1" si="83"/>
        <v>#N/A</v>
      </c>
      <c r="AX145" s="406" t="e">
        <f t="shared" ca="1" si="83"/>
        <v>#N/A</v>
      </c>
      <c r="AY145" s="406" t="e">
        <f t="shared" ca="1" si="83"/>
        <v>#N/A</v>
      </c>
      <c r="AZ145" s="406" t="e">
        <f t="shared" ca="1" si="83"/>
        <v>#N/A</v>
      </c>
      <c r="BA145" s="406" t="e">
        <f t="shared" ca="1" si="83"/>
        <v>#N/A</v>
      </c>
      <c r="BB145" s="412" t="s">
        <v>1216</v>
      </c>
      <c r="BC145" s="407" t="str">
        <f t="shared" ca="1" si="72"/>
        <v/>
      </c>
      <c r="BD145" s="410"/>
      <c r="BE145" s="410"/>
    </row>
    <row r="146" spans="3:57" x14ac:dyDescent="0.25">
      <c r="C146" s="406">
        <f t="shared" si="73"/>
        <v>144</v>
      </c>
      <c r="D146" s="406" t="e">
        <f t="shared" ca="1" si="79"/>
        <v>#N/A</v>
      </c>
      <c r="E146" s="406" t="e">
        <f t="shared" ca="1" si="79"/>
        <v>#N/A</v>
      </c>
      <c r="F146" s="406" t="e">
        <f t="shared" ca="1" si="79"/>
        <v>#N/A</v>
      </c>
      <c r="G146" s="406" t="e">
        <f t="shared" ca="1" si="79"/>
        <v>#N/A</v>
      </c>
      <c r="H146" s="406" t="e">
        <f t="shared" ca="1" si="79"/>
        <v>#N/A</v>
      </c>
      <c r="I146" s="406" t="e">
        <f t="shared" ca="1" si="79"/>
        <v>#N/A</v>
      </c>
      <c r="J146" s="406" t="e">
        <f t="shared" ca="1" si="79"/>
        <v>#N/A</v>
      </c>
      <c r="K146" s="406" t="e">
        <f t="shared" ca="1" si="79"/>
        <v>#N/A</v>
      </c>
      <c r="L146" s="406" t="e">
        <f t="shared" ca="1" si="79"/>
        <v>#N/A</v>
      </c>
      <c r="M146" s="406" t="e">
        <f t="shared" ca="1" si="79"/>
        <v>#N/A</v>
      </c>
      <c r="N146" s="406" t="e">
        <f t="shared" ca="1" si="80"/>
        <v>#N/A</v>
      </c>
      <c r="O146" s="406" t="e">
        <f t="shared" ca="1" si="80"/>
        <v>#N/A</v>
      </c>
      <c r="P146" s="406" t="e">
        <f t="shared" ca="1" si="80"/>
        <v>#N/A</v>
      </c>
      <c r="Q146" s="406" t="e">
        <f t="shared" ca="1" si="80"/>
        <v>#N/A</v>
      </c>
      <c r="R146" s="406" t="e">
        <f t="shared" ca="1" si="80"/>
        <v>#N/A</v>
      </c>
      <c r="S146" s="406" t="e">
        <f t="shared" ca="1" si="80"/>
        <v>#N/A</v>
      </c>
      <c r="T146" s="406" t="e">
        <f t="shared" ca="1" si="80"/>
        <v>#N/A</v>
      </c>
      <c r="U146" s="406" t="e">
        <f t="shared" ca="1" si="80"/>
        <v>#N/A</v>
      </c>
      <c r="V146" s="406" t="e">
        <f t="shared" ca="1" si="80"/>
        <v>#N/A</v>
      </c>
      <c r="W146" s="406" t="e">
        <f t="shared" ca="1" si="80"/>
        <v>#N/A</v>
      </c>
      <c r="X146" s="406" t="e">
        <f t="shared" ca="1" si="81"/>
        <v>#N/A</v>
      </c>
      <c r="Y146" s="406" t="e">
        <f t="shared" ca="1" si="81"/>
        <v>#N/A</v>
      </c>
      <c r="Z146" s="406" t="e">
        <f t="shared" ca="1" si="81"/>
        <v>#N/A</v>
      </c>
      <c r="AA146" s="406" t="e">
        <f t="shared" ca="1" si="81"/>
        <v>#N/A</v>
      </c>
      <c r="AB146" s="406" t="e">
        <f t="shared" ca="1" si="81"/>
        <v>#N/A</v>
      </c>
      <c r="AC146" s="406" t="e">
        <f t="shared" ca="1" si="81"/>
        <v>#N/A</v>
      </c>
      <c r="AD146" s="406" t="e">
        <f t="shared" ca="1" si="81"/>
        <v>#N/A</v>
      </c>
      <c r="AE146" s="406" t="e">
        <f t="shared" ca="1" si="81"/>
        <v>#N/A</v>
      </c>
      <c r="AF146" s="406" t="e">
        <f t="shared" ca="1" si="81"/>
        <v>#N/A</v>
      </c>
      <c r="AG146" s="406" t="e">
        <f t="shared" ca="1" si="81"/>
        <v>#N/A</v>
      </c>
      <c r="AH146" s="406" t="e">
        <f t="shared" ca="1" si="82"/>
        <v>#N/A</v>
      </c>
      <c r="AI146" s="406" t="e">
        <f t="shared" ca="1" si="82"/>
        <v>#N/A</v>
      </c>
      <c r="AJ146" s="406" t="e">
        <f t="shared" ca="1" si="82"/>
        <v>#N/A</v>
      </c>
      <c r="AK146" s="406" t="e">
        <f t="shared" ca="1" si="82"/>
        <v>#N/A</v>
      </c>
      <c r="AL146" s="406" t="e">
        <f t="shared" ca="1" si="82"/>
        <v>#N/A</v>
      </c>
      <c r="AM146" s="406" t="e">
        <f t="shared" ca="1" si="82"/>
        <v>#N/A</v>
      </c>
      <c r="AN146" s="406" t="e">
        <f t="shared" ca="1" si="82"/>
        <v>#N/A</v>
      </c>
      <c r="AO146" s="406" t="e">
        <f t="shared" ca="1" si="82"/>
        <v>#N/A</v>
      </c>
      <c r="AP146" s="406" t="e">
        <f t="shared" ca="1" si="82"/>
        <v>#N/A</v>
      </c>
      <c r="AQ146" s="406" t="e">
        <f t="shared" ca="1" si="82"/>
        <v>#N/A</v>
      </c>
      <c r="AR146" s="406" t="e">
        <f t="shared" ca="1" si="83"/>
        <v>#N/A</v>
      </c>
      <c r="AS146" s="406" t="e">
        <f t="shared" ca="1" si="83"/>
        <v>#N/A</v>
      </c>
      <c r="AT146" s="406" t="e">
        <f t="shared" ca="1" si="83"/>
        <v>#N/A</v>
      </c>
      <c r="AU146" s="406" t="e">
        <f t="shared" ca="1" si="83"/>
        <v>#N/A</v>
      </c>
      <c r="AV146" s="406" t="e">
        <f t="shared" ca="1" si="83"/>
        <v>#N/A</v>
      </c>
      <c r="AW146" s="406" t="e">
        <f t="shared" ca="1" si="83"/>
        <v>#N/A</v>
      </c>
      <c r="AX146" s="406" t="e">
        <f t="shared" ca="1" si="83"/>
        <v>#N/A</v>
      </c>
      <c r="AY146" s="406" t="e">
        <f t="shared" ca="1" si="83"/>
        <v>#N/A</v>
      </c>
      <c r="AZ146" s="406" t="e">
        <f t="shared" ca="1" si="83"/>
        <v>#N/A</v>
      </c>
      <c r="BA146" s="406" t="e">
        <f t="shared" ca="1" si="83"/>
        <v>#N/A</v>
      </c>
      <c r="BB146" s="412" t="s">
        <v>1217</v>
      </c>
      <c r="BC146" s="407" t="str">
        <f t="shared" ca="1" si="72"/>
        <v/>
      </c>
      <c r="BD146" s="410"/>
      <c r="BE146" s="410"/>
    </row>
    <row r="147" spans="3:57" ht="15.75" customHeight="1" x14ac:dyDescent="0.25">
      <c r="C147" s="406">
        <f t="shared" si="73"/>
        <v>145</v>
      </c>
      <c r="D147" s="406" t="e">
        <f t="shared" ca="1" si="79"/>
        <v>#N/A</v>
      </c>
      <c r="E147" s="406" t="e">
        <f t="shared" ca="1" si="79"/>
        <v>#N/A</v>
      </c>
      <c r="F147" s="406" t="e">
        <f t="shared" ca="1" si="79"/>
        <v>#N/A</v>
      </c>
      <c r="G147" s="406" t="e">
        <f t="shared" ca="1" si="79"/>
        <v>#N/A</v>
      </c>
      <c r="H147" s="406" t="e">
        <f t="shared" ca="1" si="79"/>
        <v>#N/A</v>
      </c>
      <c r="I147" s="406" t="e">
        <f t="shared" ca="1" si="79"/>
        <v>#N/A</v>
      </c>
      <c r="J147" s="406" t="e">
        <f t="shared" ca="1" si="79"/>
        <v>#N/A</v>
      </c>
      <c r="K147" s="406" t="e">
        <f t="shared" ca="1" si="79"/>
        <v>#N/A</v>
      </c>
      <c r="L147" s="406" t="e">
        <f t="shared" ca="1" si="79"/>
        <v>#N/A</v>
      </c>
      <c r="M147" s="406" t="e">
        <f t="shared" ca="1" si="79"/>
        <v>#N/A</v>
      </c>
      <c r="N147" s="406" t="e">
        <f t="shared" ca="1" si="80"/>
        <v>#N/A</v>
      </c>
      <c r="O147" s="406" t="e">
        <f t="shared" ca="1" si="80"/>
        <v>#N/A</v>
      </c>
      <c r="P147" s="406" t="e">
        <f t="shared" ca="1" si="80"/>
        <v>#N/A</v>
      </c>
      <c r="Q147" s="406" t="e">
        <f t="shared" ca="1" si="80"/>
        <v>#N/A</v>
      </c>
      <c r="R147" s="406" t="e">
        <f t="shared" ca="1" si="80"/>
        <v>#N/A</v>
      </c>
      <c r="S147" s="406" t="e">
        <f t="shared" ca="1" si="80"/>
        <v>#N/A</v>
      </c>
      <c r="T147" s="406" t="e">
        <f t="shared" ca="1" si="80"/>
        <v>#N/A</v>
      </c>
      <c r="U147" s="406" t="e">
        <f t="shared" ca="1" si="80"/>
        <v>#N/A</v>
      </c>
      <c r="V147" s="406" t="e">
        <f t="shared" ca="1" si="80"/>
        <v>#N/A</v>
      </c>
      <c r="W147" s="406" t="e">
        <f t="shared" ca="1" si="80"/>
        <v>#N/A</v>
      </c>
      <c r="X147" s="406" t="e">
        <f t="shared" ca="1" si="81"/>
        <v>#N/A</v>
      </c>
      <c r="Y147" s="406" t="e">
        <f t="shared" ca="1" si="81"/>
        <v>#N/A</v>
      </c>
      <c r="Z147" s="406" t="e">
        <f t="shared" ca="1" si="81"/>
        <v>#N/A</v>
      </c>
      <c r="AA147" s="406" t="e">
        <f t="shared" ca="1" si="81"/>
        <v>#N/A</v>
      </c>
      <c r="AB147" s="406" t="e">
        <f t="shared" ca="1" si="81"/>
        <v>#N/A</v>
      </c>
      <c r="AC147" s="406" t="e">
        <f t="shared" ca="1" si="81"/>
        <v>#N/A</v>
      </c>
      <c r="AD147" s="406" t="e">
        <f t="shared" ca="1" si="81"/>
        <v>#N/A</v>
      </c>
      <c r="AE147" s="406" t="e">
        <f t="shared" ca="1" si="81"/>
        <v>#N/A</v>
      </c>
      <c r="AF147" s="406" t="e">
        <f t="shared" ca="1" si="81"/>
        <v>#N/A</v>
      </c>
      <c r="AG147" s="406" t="e">
        <f t="shared" ca="1" si="81"/>
        <v>#N/A</v>
      </c>
      <c r="AH147" s="406" t="e">
        <f t="shared" ca="1" si="82"/>
        <v>#N/A</v>
      </c>
      <c r="AI147" s="406" t="e">
        <f t="shared" ca="1" si="82"/>
        <v>#N/A</v>
      </c>
      <c r="AJ147" s="406" t="e">
        <f t="shared" ca="1" si="82"/>
        <v>#N/A</v>
      </c>
      <c r="AK147" s="406" t="e">
        <f t="shared" ca="1" si="82"/>
        <v>#N/A</v>
      </c>
      <c r="AL147" s="406" t="e">
        <f t="shared" ca="1" si="82"/>
        <v>#N/A</v>
      </c>
      <c r="AM147" s="406" t="e">
        <f t="shared" ca="1" si="82"/>
        <v>#N/A</v>
      </c>
      <c r="AN147" s="406" t="e">
        <f t="shared" ca="1" si="82"/>
        <v>#N/A</v>
      </c>
      <c r="AO147" s="406" t="e">
        <f t="shared" ca="1" si="82"/>
        <v>#N/A</v>
      </c>
      <c r="AP147" s="406" t="e">
        <f t="shared" ca="1" si="82"/>
        <v>#N/A</v>
      </c>
      <c r="AQ147" s="406" t="e">
        <f t="shared" ca="1" si="82"/>
        <v>#N/A</v>
      </c>
      <c r="AR147" s="406" t="e">
        <f t="shared" ca="1" si="83"/>
        <v>#N/A</v>
      </c>
      <c r="AS147" s="406" t="e">
        <f t="shared" ca="1" si="83"/>
        <v>#N/A</v>
      </c>
      <c r="AT147" s="406" t="e">
        <f t="shared" ca="1" si="83"/>
        <v>#N/A</v>
      </c>
      <c r="AU147" s="406" t="e">
        <f t="shared" ca="1" si="83"/>
        <v>#N/A</v>
      </c>
      <c r="AV147" s="406" t="e">
        <f t="shared" ca="1" si="83"/>
        <v>#N/A</v>
      </c>
      <c r="AW147" s="406" t="e">
        <f t="shared" ca="1" si="83"/>
        <v>#N/A</v>
      </c>
      <c r="AX147" s="406" t="e">
        <f t="shared" ca="1" si="83"/>
        <v>#N/A</v>
      </c>
      <c r="AY147" s="406" t="e">
        <f t="shared" ca="1" si="83"/>
        <v>#N/A</v>
      </c>
      <c r="AZ147" s="406" t="e">
        <f t="shared" ca="1" si="83"/>
        <v>#N/A</v>
      </c>
      <c r="BA147" s="406" t="e">
        <f t="shared" ca="1" si="83"/>
        <v>#N/A</v>
      </c>
      <c r="BB147" s="412" t="s">
        <v>1218</v>
      </c>
      <c r="BC147" s="407" t="str">
        <f t="shared" ca="1" si="72"/>
        <v/>
      </c>
      <c r="BD147" s="410"/>
      <c r="BE147" s="410"/>
    </row>
    <row r="148" spans="3:57" x14ac:dyDescent="0.25">
      <c r="C148" s="406">
        <f t="shared" si="73"/>
        <v>146</v>
      </c>
      <c r="D148" s="406" t="e">
        <f t="shared" ca="1" si="79"/>
        <v>#N/A</v>
      </c>
      <c r="E148" s="406" t="e">
        <f t="shared" ca="1" si="79"/>
        <v>#N/A</v>
      </c>
      <c r="F148" s="406" t="e">
        <f t="shared" ca="1" si="79"/>
        <v>#N/A</v>
      </c>
      <c r="G148" s="406" t="e">
        <f t="shared" ca="1" si="79"/>
        <v>#N/A</v>
      </c>
      <c r="H148" s="406" t="e">
        <f t="shared" ca="1" si="79"/>
        <v>#N/A</v>
      </c>
      <c r="I148" s="406" t="e">
        <f t="shared" ca="1" si="79"/>
        <v>#N/A</v>
      </c>
      <c r="J148" s="406" t="e">
        <f t="shared" ca="1" si="79"/>
        <v>#N/A</v>
      </c>
      <c r="K148" s="406" t="e">
        <f t="shared" ca="1" si="79"/>
        <v>#N/A</v>
      </c>
      <c r="L148" s="406" t="e">
        <f t="shared" ca="1" si="79"/>
        <v>#N/A</v>
      </c>
      <c r="M148" s="406" t="e">
        <f t="shared" ca="1" si="79"/>
        <v>#N/A</v>
      </c>
      <c r="N148" s="406" t="e">
        <f t="shared" ca="1" si="80"/>
        <v>#N/A</v>
      </c>
      <c r="O148" s="406" t="e">
        <f t="shared" ca="1" si="80"/>
        <v>#N/A</v>
      </c>
      <c r="P148" s="406" t="e">
        <f t="shared" ca="1" si="80"/>
        <v>#N/A</v>
      </c>
      <c r="Q148" s="406" t="e">
        <f t="shared" ca="1" si="80"/>
        <v>#N/A</v>
      </c>
      <c r="R148" s="406" t="e">
        <f t="shared" ca="1" si="80"/>
        <v>#N/A</v>
      </c>
      <c r="S148" s="406" t="e">
        <f t="shared" ca="1" si="80"/>
        <v>#N/A</v>
      </c>
      <c r="T148" s="406" t="e">
        <f t="shared" ca="1" si="80"/>
        <v>#N/A</v>
      </c>
      <c r="U148" s="406" t="e">
        <f t="shared" ca="1" si="80"/>
        <v>#N/A</v>
      </c>
      <c r="V148" s="406" t="e">
        <f t="shared" ca="1" si="80"/>
        <v>#N/A</v>
      </c>
      <c r="W148" s="406" t="e">
        <f t="shared" ca="1" si="80"/>
        <v>#N/A</v>
      </c>
      <c r="X148" s="406" t="e">
        <f t="shared" ca="1" si="81"/>
        <v>#N/A</v>
      </c>
      <c r="Y148" s="406" t="e">
        <f t="shared" ca="1" si="81"/>
        <v>#N/A</v>
      </c>
      <c r="Z148" s="406" t="e">
        <f t="shared" ca="1" si="81"/>
        <v>#N/A</v>
      </c>
      <c r="AA148" s="406" t="e">
        <f t="shared" ca="1" si="81"/>
        <v>#N/A</v>
      </c>
      <c r="AB148" s="406" t="e">
        <f t="shared" ca="1" si="81"/>
        <v>#N/A</v>
      </c>
      <c r="AC148" s="406" t="e">
        <f t="shared" ca="1" si="81"/>
        <v>#N/A</v>
      </c>
      <c r="AD148" s="406" t="e">
        <f t="shared" ca="1" si="81"/>
        <v>#N/A</v>
      </c>
      <c r="AE148" s="406" t="e">
        <f t="shared" ca="1" si="81"/>
        <v>#N/A</v>
      </c>
      <c r="AF148" s="406" t="e">
        <f t="shared" ca="1" si="81"/>
        <v>#N/A</v>
      </c>
      <c r="AG148" s="406" t="e">
        <f t="shared" ca="1" si="81"/>
        <v>#N/A</v>
      </c>
      <c r="AH148" s="406" t="e">
        <f t="shared" ca="1" si="82"/>
        <v>#N/A</v>
      </c>
      <c r="AI148" s="406" t="e">
        <f t="shared" ca="1" si="82"/>
        <v>#N/A</v>
      </c>
      <c r="AJ148" s="406" t="e">
        <f t="shared" ca="1" si="82"/>
        <v>#N/A</v>
      </c>
      <c r="AK148" s="406" t="e">
        <f t="shared" ca="1" si="82"/>
        <v>#N/A</v>
      </c>
      <c r="AL148" s="406" t="e">
        <f t="shared" ca="1" si="82"/>
        <v>#N/A</v>
      </c>
      <c r="AM148" s="406" t="e">
        <f t="shared" ca="1" si="82"/>
        <v>#N/A</v>
      </c>
      <c r="AN148" s="406" t="e">
        <f t="shared" ca="1" si="82"/>
        <v>#N/A</v>
      </c>
      <c r="AO148" s="406" t="e">
        <f t="shared" ca="1" si="82"/>
        <v>#N/A</v>
      </c>
      <c r="AP148" s="406" t="e">
        <f t="shared" ca="1" si="82"/>
        <v>#N/A</v>
      </c>
      <c r="AQ148" s="406" t="e">
        <f t="shared" ca="1" si="82"/>
        <v>#N/A</v>
      </c>
      <c r="AR148" s="406" t="e">
        <f t="shared" ca="1" si="83"/>
        <v>#N/A</v>
      </c>
      <c r="AS148" s="406" t="e">
        <f t="shared" ca="1" si="83"/>
        <v>#N/A</v>
      </c>
      <c r="AT148" s="406" t="e">
        <f t="shared" ca="1" si="83"/>
        <v>#N/A</v>
      </c>
      <c r="AU148" s="406" t="e">
        <f t="shared" ca="1" si="83"/>
        <v>#N/A</v>
      </c>
      <c r="AV148" s="406" t="e">
        <f t="shared" ca="1" si="83"/>
        <v>#N/A</v>
      </c>
      <c r="AW148" s="406" t="e">
        <f t="shared" ca="1" si="83"/>
        <v>#N/A</v>
      </c>
      <c r="AX148" s="406" t="e">
        <f t="shared" ca="1" si="83"/>
        <v>#N/A</v>
      </c>
      <c r="AY148" s="406" t="e">
        <f t="shared" ca="1" si="83"/>
        <v>#N/A</v>
      </c>
      <c r="AZ148" s="406" t="e">
        <f t="shared" ca="1" si="83"/>
        <v>#N/A</v>
      </c>
      <c r="BA148" s="406" t="e">
        <f t="shared" ca="1" si="83"/>
        <v>#N/A</v>
      </c>
      <c r="BB148" s="412" t="s">
        <v>1219</v>
      </c>
      <c r="BC148" s="407" t="str">
        <f t="shared" ca="1" si="72"/>
        <v/>
      </c>
      <c r="BD148" s="410"/>
      <c r="BE148" s="410"/>
    </row>
    <row r="149" spans="3:57" x14ac:dyDescent="0.25">
      <c r="C149" s="406">
        <f t="shared" si="73"/>
        <v>147</v>
      </c>
      <c r="D149" s="406" t="e">
        <f t="shared" ca="1" si="79"/>
        <v>#N/A</v>
      </c>
      <c r="E149" s="406" t="e">
        <f t="shared" ca="1" si="79"/>
        <v>#N/A</v>
      </c>
      <c r="F149" s="406" t="e">
        <f t="shared" ca="1" si="79"/>
        <v>#N/A</v>
      </c>
      <c r="G149" s="406" t="e">
        <f t="shared" ca="1" si="79"/>
        <v>#N/A</v>
      </c>
      <c r="H149" s="406" t="e">
        <f t="shared" ca="1" si="79"/>
        <v>#N/A</v>
      </c>
      <c r="I149" s="406" t="e">
        <f t="shared" ca="1" si="79"/>
        <v>#N/A</v>
      </c>
      <c r="J149" s="406" t="e">
        <f t="shared" ca="1" si="79"/>
        <v>#N/A</v>
      </c>
      <c r="K149" s="406" t="e">
        <f t="shared" ca="1" si="79"/>
        <v>#N/A</v>
      </c>
      <c r="L149" s="406" t="e">
        <f t="shared" ca="1" si="79"/>
        <v>#N/A</v>
      </c>
      <c r="M149" s="406" t="e">
        <f t="shared" ca="1" si="79"/>
        <v>#N/A</v>
      </c>
      <c r="N149" s="406" t="e">
        <f t="shared" ca="1" si="80"/>
        <v>#N/A</v>
      </c>
      <c r="O149" s="406" t="e">
        <f t="shared" ca="1" si="80"/>
        <v>#N/A</v>
      </c>
      <c r="P149" s="406" t="e">
        <f t="shared" ca="1" si="80"/>
        <v>#N/A</v>
      </c>
      <c r="Q149" s="406" t="e">
        <f t="shared" ca="1" si="80"/>
        <v>#N/A</v>
      </c>
      <c r="R149" s="406" t="e">
        <f t="shared" ca="1" si="80"/>
        <v>#N/A</v>
      </c>
      <c r="S149" s="406" t="e">
        <f t="shared" ca="1" si="80"/>
        <v>#N/A</v>
      </c>
      <c r="T149" s="406" t="e">
        <f t="shared" ca="1" si="80"/>
        <v>#N/A</v>
      </c>
      <c r="U149" s="406" t="e">
        <f t="shared" ca="1" si="80"/>
        <v>#N/A</v>
      </c>
      <c r="V149" s="406" t="e">
        <f t="shared" ca="1" si="80"/>
        <v>#N/A</v>
      </c>
      <c r="W149" s="406" t="e">
        <f t="shared" ca="1" si="80"/>
        <v>#N/A</v>
      </c>
      <c r="X149" s="406" t="e">
        <f t="shared" ca="1" si="81"/>
        <v>#N/A</v>
      </c>
      <c r="Y149" s="406" t="e">
        <f t="shared" ca="1" si="81"/>
        <v>#N/A</v>
      </c>
      <c r="Z149" s="406" t="e">
        <f t="shared" ca="1" si="81"/>
        <v>#N/A</v>
      </c>
      <c r="AA149" s="406" t="e">
        <f t="shared" ca="1" si="81"/>
        <v>#N/A</v>
      </c>
      <c r="AB149" s="406" t="e">
        <f t="shared" ca="1" si="81"/>
        <v>#N/A</v>
      </c>
      <c r="AC149" s="406" t="e">
        <f t="shared" ca="1" si="81"/>
        <v>#N/A</v>
      </c>
      <c r="AD149" s="406" t="e">
        <f t="shared" ca="1" si="81"/>
        <v>#N/A</v>
      </c>
      <c r="AE149" s="406" t="e">
        <f t="shared" ca="1" si="81"/>
        <v>#N/A</v>
      </c>
      <c r="AF149" s="406" t="e">
        <f t="shared" ca="1" si="81"/>
        <v>#N/A</v>
      </c>
      <c r="AG149" s="406" t="e">
        <f t="shared" ca="1" si="81"/>
        <v>#N/A</v>
      </c>
      <c r="AH149" s="406" t="e">
        <f t="shared" ca="1" si="82"/>
        <v>#N/A</v>
      </c>
      <c r="AI149" s="406" t="e">
        <f t="shared" ca="1" si="82"/>
        <v>#N/A</v>
      </c>
      <c r="AJ149" s="406" t="e">
        <f t="shared" ca="1" si="82"/>
        <v>#N/A</v>
      </c>
      <c r="AK149" s="406" t="e">
        <f t="shared" ca="1" si="82"/>
        <v>#N/A</v>
      </c>
      <c r="AL149" s="406" t="e">
        <f t="shared" ca="1" si="82"/>
        <v>#N/A</v>
      </c>
      <c r="AM149" s="406" t="e">
        <f t="shared" ca="1" si="82"/>
        <v>#N/A</v>
      </c>
      <c r="AN149" s="406" t="e">
        <f t="shared" ca="1" si="82"/>
        <v>#N/A</v>
      </c>
      <c r="AO149" s="406" t="e">
        <f t="shared" ca="1" si="82"/>
        <v>#N/A</v>
      </c>
      <c r="AP149" s="406" t="e">
        <f t="shared" ca="1" si="82"/>
        <v>#N/A</v>
      </c>
      <c r="AQ149" s="406" t="e">
        <f t="shared" ca="1" si="82"/>
        <v>#N/A</v>
      </c>
      <c r="AR149" s="406" t="e">
        <f t="shared" ca="1" si="83"/>
        <v>#N/A</v>
      </c>
      <c r="AS149" s="406" t="e">
        <f t="shared" ca="1" si="83"/>
        <v>#N/A</v>
      </c>
      <c r="AT149" s="406" t="e">
        <f t="shared" ca="1" si="83"/>
        <v>#N/A</v>
      </c>
      <c r="AU149" s="406" t="e">
        <f t="shared" ca="1" si="83"/>
        <v>#N/A</v>
      </c>
      <c r="AV149" s="406" t="e">
        <f t="shared" ca="1" si="83"/>
        <v>#N/A</v>
      </c>
      <c r="AW149" s="406" t="e">
        <f t="shared" ca="1" si="83"/>
        <v>#N/A</v>
      </c>
      <c r="AX149" s="406" t="e">
        <f t="shared" ca="1" si="83"/>
        <v>#N/A</v>
      </c>
      <c r="AY149" s="406" t="e">
        <f t="shared" ca="1" si="83"/>
        <v>#N/A</v>
      </c>
      <c r="AZ149" s="406" t="e">
        <f t="shared" ca="1" si="83"/>
        <v>#N/A</v>
      </c>
      <c r="BA149" s="406" t="e">
        <f t="shared" ca="1" si="83"/>
        <v>#N/A</v>
      </c>
      <c r="BB149" s="412" t="s">
        <v>1220</v>
      </c>
      <c r="BC149" s="407" t="str">
        <f t="shared" ca="1" si="72"/>
        <v/>
      </c>
      <c r="BD149" s="410"/>
      <c r="BE149" s="410"/>
    </row>
    <row r="150" spans="3:57" x14ac:dyDescent="0.25">
      <c r="C150" s="406">
        <f t="shared" si="73"/>
        <v>148</v>
      </c>
      <c r="D150" s="406" t="e">
        <f t="shared" ca="1" si="79"/>
        <v>#N/A</v>
      </c>
      <c r="E150" s="406" t="e">
        <f t="shared" ca="1" si="79"/>
        <v>#N/A</v>
      </c>
      <c r="F150" s="406" t="e">
        <f t="shared" ca="1" si="79"/>
        <v>#N/A</v>
      </c>
      <c r="G150" s="406" t="e">
        <f t="shared" ca="1" si="79"/>
        <v>#N/A</v>
      </c>
      <c r="H150" s="406" t="e">
        <f t="shared" ca="1" si="79"/>
        <v>#N/A</v>
      </c>
      <c r="I150" s="406" t="e">
        <f t="shared" ca="1" si="79"/>
        <v>#N/A</v>
      </c>
      <c r="J150" s="406" t="e">
        <f t="shared" ca="1" si="79"/>
        <v>#N/A</v>
      </c>
      <c r="K150" s="406" t="e">
        <f t="shared" ca="1" si="79"/>
        <v>#N/A</v>
      </c>
      <c r="L150" s="406" t="e">
        <f t="shared" ca="1" si="79"/>
        <v>#N/A</v>
      </c>
      <c r="M150" s="406" t="e">
        <f t="shared" ca="1" si="79"/>
        <v>#N/A</v>
      </c>
      <c r="N150" s="406" t="e">
        <f t="shared" ca="1" si="80"/>
        <v>#N/A</v>
      </c>
      <c r="O150" s="406" t="e">
        <f t="shared" ca="1" si="80"/>
        <v>#N/A</v>
      </c>
      <c r="P150" s="406" t="e">
        <f t="shared" ca="1" si="80"/>
        <v>#N/A</v>
      </c>
      <c r="Q150" s="406" t="e">
        <f t="shared" ca="1" si="80"/>
        <v>#N/A</v>
      </c>
      <c r="R150" s="406" t="e">
        <f t="shared" ca="1" si="80"/>
        <v>#N/A</v>
      </c>
      <c r="S150" s="406" t="e">
        <f t="shared" ca="1" si="80"/>
        <v>#N/A</v>
      </c>
      <c r="T150" s="406" t="e">
        <f t="shared" ca="1" si="80"/>
        <v>#N/A</v>
      </c>
      <c r="U150" s="406" t="e">
        <f t="shared" ca="1" si="80"/>
        <v>#N/A</v>
      </c>
      <c r="V150" s="406" t="e">
        <f t="shared" ca="1" si="80"/>
        <v>#N/A</v>
      </c>
      <c r="W150" s="406" t="e">
        <f t="shared" ca="1" si="80"/>
        <v>#N/A</v>
      </c>
      <c r="X150" s="406" t="e">
        <f t="shared" ca="1" si="81"/>
        <v>#N/A</v>
      </c>
      <c r="Y150" s="406" t="e">
        <f t="shared" ca="1" si="81"/>
        <v>#N/A</v>
      </c>
      <c r="Z150" s="406" t="e">
        <f t="shared" ca="1" si="81"/>
        <v>#N/A</v>
      </c>
      <c r="AA150" s="406" t="e">
        <f t="shared" ca="1" si="81"/>
        <v>#N/A</v>
      </c>
      <c r="AB150" s="406" t="e">
        <f t="shared" ca="1" si="81"/>
        <v>#N/A</v>
      </c>
      <c r="AC150" s="406" t="e">
        <f t="shared" ca="1" si="81"/>
        <v>#N/A</v>
      </c>
      <c r="AD150" s="406" t="e">
        <f t="shared" ca="1" si="81"/>
        <v>#N/A</v>
      </c>
      <c r="AE150" s="406" t="e">
        <f t="shared" ca="1" si="81"/>
        <v>#N/A</v>
      </c>
      <c r="AF150" s="406" t="e">
        <f t="shared" ca="1" si="81"/>
        <v>#N/A</v>
      </c>
      <c r="AG150" s="406" t="e">
        <f t="shared" ca="1" si="81"/>
        <v>#N/A</v>
      </c>
      <c r="AH150" s="406" t="e">
        <f t="shared" ca="1" si="82"/>
        <v>#N/A</v>
      </c>
      <c r="AI150" s="406" t="e">
        <f t="shared" ca="1" si="82"/>
        <v>#N/A</v>
      </c>
      <c r="AJ150" s="406" t="e">
        <f t="shared" ca="1" si="82"/>
        <v>#N/A</v>
      </c>
      <c r="AK150" s="406" t="e">
        <f t="shared" ca="1" si="82"/>
        <v>#N/A</v>
      </c>
      <c r="AL150" s="406" t="e">
        <f t="shared" ca="1" si="82"/>
        <v>#N/A</v>
      </c>
      <c r="AM150" s="406" t="e">
        <f t="shared" ca="1" si="82"/>
        <v>#N/A</v>
      </c>
      <c r="AN150" s="406" t="e">
        <f t="shared" ca="1" si="82"/>
        <v>#N/A</v>
      </c>
      <c r="AO150" s="406" t="e">
        <f t="shared" ca="1" si="82"/>
        <v>#N/A</v>
      </c>
      <c r="AP150" s="406" t="e">
        <f t="shared" ca="1" si="82"/>
        <v>#N/A</v>
      </c>
      <c r="AQ150" s="406" t="e">
        <f t="shared" ca="1" si="82"/>
        <v>#N/A</v>
      </c>
      <c r="AR150" s="406" t="e">
        <f t="shared" ca="1" si="83"/>
        <v>#N/A</v>
      </c>
      <c r="AS150" s="406" t="e">
        <f t="shared" ca="1" si="83"/>
        <v>#N/A</v>
      </c>
      <c r="AT150" s="406" t="e">
        <f t="shared" ca="1" si="83"/>
        <v>#N/A</v>
      </c>
      <c r="AU150" s="406" t="e">
        <f t="shared" ca="1" si="83"/>
        <v>#N/A</v>
      </c>
      <c r="AV150" s="406" t="e">
        <f t="shared" ca="1" si="83"/>
        <v>#N/A</v>
      </c>
      <c r="AW150" s="406" t="e">
        <f t="shared" ca="1" si="83"/>
        <v>#N/A</v>
      </c>
      <c r="AX150" s="406" t="e">
        <f t="shared" ca="1" si="83"/>
        <v>#N/A</v>
      </c>
      <c r="AY150" s="406" t="e">
        <f t="shared" ca="1" si="83"/>
        <v>#N/A</v>
      </c>
      <c r="AZ150" s="406" t="e">
        <f t="shared" ca="1" si="83"/>
        <v>#N/A</v>
      </c>
      <c r="BA150" s="406" t="e">
        <f t="shared" ca="1" si="83"/>
        <v>#N/A</v>
      </c>
      <c r="BB150" s="412" t="s">
        <v>1221</v>
      </c>
      <c r="BC150" s="407" t="str">
        <f t="shared" ca="1" si="72"/>
        <v/>
      </c>
      <c r="BD150" s="410"/>
      <c r="BE150" s="410"/>
    </row>
    <row r="151" spans="3:57" x14ac:dyDescent="0.25">
      <c r="C151" s="406">
        <f t="shared" si="73"/>
        <v>149</v>
      </c>
      <c r="D151" s="406" t="e">
        <f t="shared" ca="1" si="79"/>
        <v>#N/A</v>
      </c>
      <c r="E151" s="406" t="e">
        <f t="shared" ca="1" si="79"/>
        <v>#N/A</v>
      </c>
      <c r="F151" s="406" t="e">
        <f t="shared" ca="1" si="79"/>
        <v>#N/A</v>
      </c>
      <c r="G151" s="406" t="e">
        <f t="shared" ca="1" si="79"/>
        <v>#N/A</v>
      </c>
      <c r="H151" s="406" t="e">
        <f t="shared" ca="1" si="79"/>
        <v>#N/A</v>
      </c>
      <c r="I151" s="406" t="e">
        <f t="shared" ca="1" si="79"/>
        <v>#N/A</v>
      </c>
      <c r="J151" s="406" t="e">
        <f t="shared" ca="1" si="79"/>
        <v>#N/A</v>
      </c>
      <c r="K151" s="406" t="e">
        <f t="shared" ca="1" si="79"/>
        <v>#N/A</v>
      </c>
      <c r="L151" s="406" t="e">
        <f t="shared" ca="1" si="79"/>
        <v>#N/A</v>
      </c>
      <c r="M151" s="406" t="e">
        <f t="shared" ca="1" si="79"/>
        <v>#N/A</v>
      </c>
      <c r="N151" s="406" t="e">
        <f t="shared" ca="1" si="80"/>
        <v>#N/A</v>
      </c>
      <c r="O151" s="406" t="e">
        <f t="shared" ca="1" si="80"/>
        <v>#N/A</v>
      </c>
      <c r="P151" s="406" t="e">
        <f t="shared" ca="1" si="80"/>
        <v>#N/A</v>
      </c>
      <c r="Q151" s="406" t="e">
        <f t="shared" ca="1" si="80"/>
        <v>#N/A</v>
      </c>
      <c r="R151" s="406" t="e">
        <f t="shared" ca="1" si="80"/>
        <v>#N/A</v>
      </c>
      <c r="S151" s="406" t="e">
        <f t="shared" ca="1" si="80"/>
        <v>#N/A</v>
      </c>
      <c r="T151" s="406" t="e">
        <f t="shared" ca="1" si="80"/>
        <v>#N/A</v>
      </c>
      <c r="U151" s="406" t="e">
        <f t="shared" ca="1" si="80"/>
        <v>#N/A</v>
      </c>
      <c r="V151" s="406" t="e">
        <f t="shared" ca="1" si="80"/>
        <v>#N/A</v>
      </c>
      <c r="W151" s="406" t="e">
        <f t="shared" ca="1" si="80"/>
        <v>#N/A</v>
      </c>
      <c r="X151" s="406" t="e">
        <f t="shared" ca="1" si="81"/>
        <v>#N/A</v>
      </c>
      <c r="Y151" s="406" t="e">
        <f t="shared" ca="1" si="81"/>
        <v>#N/A</v>
      </c>
      <c r="Z151" s="406" t="e">
        <f t="shared" ca="1" si="81"/>
        <v>#N/A</v>
      </c>
      <c r="AA151" s="406" t="e">
        <f t="shared" ca="1" si="81"/>
        <v>#N/A</v>
      </c>
      <c r="AB151" s="406" t="e">
        <f t="shared" ca="1" si="81"/>
        <v>#N/A</v>
      </c>
      <c r="AC151" s="406" t="e">
        <f t="shared" ca="1" si="81"/>
        <v>#N/A</v>
      </c>
      <c r="AD151" s="406" t="e">
        <f t="shared" ca="1" si="81"/>
        <v>#N/A</v>
      </c>
      <c r="AE151" s="406" t="e">
        <f t="shared" ca="1" si="81"/>
        <v>#N/A</v>
      </c>
      <c r="AF151" s="406" t="e">
        <f t="shared" ca="1" si="81"/>
        <v>#N/A</v>
      </c>
      <c r="AG151" s="406" t="e">
        <f t="shared" ca="1" si="81"/>
        <v>#N/A</v>
      </c>
      <c r="AH151" s="406" t="e">
        <f t="shared" ca="1" si="82"/>
        <v>#N/A</v>
      </c>
      <c r="AI151" s="406" t="e">
        <f t="shared" ca="1" si="82"/>
        <v>#N/A</v>
      </c>
      <c r="AJ151" s="406" t="e">
        <f t="shared" ca="1" si="82"/>
        <v>#N/A</v>
      </c>
      <c r="AK151" s="406" t="e">
        <f t="shared" ca="1" si="82"/>
        <v>#N/A</v>
      </c>
      <c r="AL151" s="406" t="e">
        <f t="shared" ca="1" si="82"/>
        <v>#N/A</v>
      </c>
      <c r="AM151" s="406" t="e">
        <f t="shared" ca="1" si="82"/>
        <v>#N/A</v>
      </c>
      <c r="AN151" s="406" t="e">
        <f t="shared" ca="1" si="82"/>
        <v>#N/A</v>
      </c>
      <c r="AO151" s="406" t="e">
        <f t="shared" ca="1" si="82"/>
        <v>#N/A</v>
      </c>
      <c r="AP151" s="406" t="e">
        <f t="shared" ca="1" si="82"/>
        <v>#N/A</v>
      </c>
      <c r="AQ151" s="406" t="e">
        <f t="shared" ca="1" si="82"/>
        <v>#N/A</v>
      </c>
      <c r="AR151" s="406" t="e">
        <f t="shared" ca="1" si="83"/>
        <v>#N/A</v>
      </c>
      <c r="AS151" s="406" t="e">
        <f t="shared" ca="1" si="83"/>
        <v>#N/A</v>
      </c>
      <c r="AT151" s="406" t="e">
        <f t="shared" ca="1" si="83"/>
        <v>#N/A</v>
      </c>
      <c r="AU151" s="406" t="e">
        <f t="shared" ca="1" si="83"/>
        <v>#N/A</v>
      </c>
      <c r="AV151" s="406" t="e">
        <f t="shared" ca="1" si="83"/>
        <v>#N/A</v>
      </c>
      <c r="AW151" s="406" t="e">
        <f t="shared" ca="1" si="83"/>
        <v>#N/A</v>
      </c>
      <c r="AX151" s="406" t="e">
        <f t="shared" ca="1" si="83"/>
        <v>#N/A</v>
      </c>
      <c r="AY151" s="406" t="e">
        <f t="shared" ca="1" si="83"/>
        <v>#N/A</v>
      </c>
      <c r="AZ151" s="406" t="e">
        <f t="shared" ca="1" si="83"/>
        <v>#N/A</v>
      </c>
      <c r="BA151" s="406" t="e">
        <f t="shared" ca="1" si="83"/>
        <v>#N/A</v>
      </c>
      <c r="BB151" s="412" t="s">
        <v>1222</v>
      </c>
      <c r="BC151" s="407" t="str">
        <f t="shared" ca="1" si="72"/>
        <v/>
      </c>
      <c r="BD151" s="410"/>
      <c r="BE151" s="410"/>
    </row>
    <row r="152" spans="3:57" x14ac:dyDescent="0.25">
      <c r="C152" s="406">
        <f t="shared" si="73"/>
        <v>150</v>
      </c>
      <c r="D152" s="406" t="e">
        <f t="shared" ref="D152:M161" ca="1" si="84">TRIM(INDIRECT("'" &amp; "TNX RTF" &amp; "'!" &amp; ADDRESS($A$3+$C152,D$1)))</f>
        <v>#N/A</v>
      </c>
      <c r="E152" s="406" t="e">
        <f t="shared" ca="1" si="84"/>
        <v>#N/A</v>
      </c>
      <c r="F152" s="406" t="e">
        <f t="shared" ca="1" si="84"/>
        <v>#N/A</v>
      </c>
      <c r="G152" s="406" t="e">
        <f t="shared" ca="1" si="84"/>
        <v>#N/A</v>
      </c>
      <c r="H152" s="406" t="e">
        <f t="shared" ca="1" si="84"/>
        <v>#N/A</v>
      </c>
      <c r="I152" s="406" t="e">
        <f t="shared" ca="1" si="84"/>
        <v>#N/A</v>
      </c>
      <c r="J152" s="406" t="e">
        <f t="shared" ca="1" si="84"/>
        <v>#N/A</v>
      </c>
      <c r="K152" s="406" t="e">
        <f t="shared" ca="1" si="84"/>
        <v>#N/A</v>
      </c>
      <c r="L152" s="406" t="e">
        <f t="shared" ca="1" si="84"/>
        <v>#N/A</v>
      </c>
      <c r="M152" s="406" t="e">
        <f t="shared" ca="1" si="84"/>
        <v>#N/A</v>
      </c>
      <c r="N152" s="406" t="e">
        <f t="shared" ref="N152:W161" ca="1" si="85">TRIM(INDIRECT("'" &amp; "TNX RTF" &amp; "'!" &amp; ADDRESS($A$3+$C152,N$1)))</f>
        <v>#N/A</v>
      </c>
      <c r="O152" s="406" t="e">
        <f t="shared" ca="1" si="85"/>
        <v>#N/A</v>
      </c>
      <c r="P152" s="406" t="e">
        <f t="shared" ca="1" si="85"/>
        <v>#N/A</v>
      </c>
      <c r="Q152" s="406" t="e">
        <f t="shared" ca="1" si="85"/>
        <v>#N/A</v>
      </c>
      <c r="R152" s="406" t="e">
        <f t="shared" ca="1" si="85"/>
        <v>#N/A</v>
      </c>
      <c r="S152" s="406" t="e">
        <f t="shared" ca="1" si="85"/>
        <v>#N/A</v>
      </c>
      <c r="T152" s="406" t="e">
        <f t="shared" ca="1" si="85"/>
        <v>#N/A</v>
      </c>
      <c r="U152" s="406" t="e">
        <f t="shared" ca="1" si="85"/>
        <v>#N/A</v>
      </c>
      <c r="V152" s="406" t="e">
        <f t="shared" ca="1" si="85"/>
        <v>#N/A</v>
      </c>
      <c r="W152" s="406" t="e">
        <f t="shared" ca="1" si="85"/>
        <v>#N/A</v>
      </c>
      <c r="X152" s="406" t="e">
        <f t="shared" ref="X152:AG161" ca="1" si="86">TRIM(INDIRECT("'" &amp; "TNX RTF" &amp; "'!" &amp; ADDRESS($A$3+$C152,X$1)))</f>
        <v>#N/A</v>
      </c>
      <c r="Y152" s="406" t="e">
        <f t="shared" ca="1" si="86"/>
        <v>#N/A</v>
      </c>
      <c r="Z152" s="406" t="e">
        <f t="shared" ca="1" si="86"/>
        <v>#N/A</v>
      </c>
      <c r="AA152" s="406" t="e">
        <f t="shared" ca="1" si="86"/>
        <v>#N/A</v>
      </c>
      <c r="AB152" s="406" t="e">
        <f t="shared" ca="1" si="86"/>
        <v>#N/A</v>
      </c>
      <c r="AC152" s="406" t="e">
        <f t="shared" ca="1" si="86"/>
        <v>#N/A</v>
      </c>
      <c r="AD152" s="406" t="e">
        <f t="shared" ca="1" si="86"/>
        <v>#N/A</v>
      </c>
      <c r="AE152" s="406" t="e">
        <f t="shared" ca="1" si="86"/>
        <v>#N/A</v>
      </c>
      <c r="AF152" s="406" t="e">
        <f t="shared" ca="1" si="86"/>
        <v>#N/A</v>
      </c>
      <c r="AG152" s="406" t="e">
        <f t="shared" ca="1" si="86"/>
        <v>#N/A</v>
      </c>
      <c r="AH152" s="406" t="e">
        <f t="shared" ref="AH152:AQ161" ca="1" si="87">TRIM(INDIRECT("'" &amp; "TNX RTF" &amp; "'!" &amp; ADDRESS($A$3+$C152,AH$1)))</f>
        <v>#N/A</v>
      </c>
      <c r="AI152" s="406" t="e">
        <f t="shared" ca="1" si="87"/>
        <v>#N/A</v>
      </c>
      <c r="AJ152" s="406" t="e">
        <f t="shared" ca="1" si="87"/>
        <v>#N/A</v>
      </c>
      <c r="AK152" s="406" t="e">
        <f t="shared" ca="1" si="87"/>
        <v>#N/A</v>
      </c>
      <c r="AL152" s="406" t="e">
        <f t="shared" ca="1" si="87"/>
        <v>#N/A</v>
      </c>
      <c r="AM152" s="406" t="e">
        <f t="shared" ca="1" si="87"/>
        <v>#N/A</v>
      </c>
      <c r="AN152" s="406" t="e">
        <f t="shared" ca="1" si="87"/>
        <v>#N/A</v>
      </c>
      <c r="AO152" s="406" t="e">
        <f t="shared" ca="1" si="87"/>
        <v>#N/A</v>
      </c>
      <c r="AP152" s="406" t="e">
        <f t="shared" ca="1" si="87"/>
        <v>#N/A</v>
      </c>
      <c r="AQ152" s="406" t="e">
        <f t="shared" ca="1" si="87"/>
        <v>#N/A</v>
      </c>
      <c r="AR152" s="406" t="e">
        <f t="shared" ref="AR152:BA161" ca="1" si="88">TRIM(INDIRECT("'" &amp; "TNX RTF" &amp; "'!" &amp; ADDRESS($A$3+$C152,AR$1)))</f>
        <v>#N/A</v>
      </c>
      <c r="AS152" s="406" t="e">
        <f t="shared" ca="1" si="88"/>
        <v>#N/A</v>
      </c>
      <c r="AT152" s="406" t="e">
        <f t="shared" ca="1" si="88"/>
        <v>#N/A</v>
      </c>
      <c r="AU152" s="406" t="e">
        <f t="shared" ca="1" si="88"/>
        <v>#N/A</v>
      </c>
      <c r="AV152" s="406" t="e">
        <f t="shared" ca="1" si="88"/>
        <v>#N/A</v>
      </c>
      <c r="AW152" s="406" t="e">
        <f t="shared" ca="1" si="88"/>
        <v>#N/A</v>
      </c>
      <c r="AX152" s="406" t="e">
        <f t="shared" ca="1" si="88"/>
        <v>#N/A</v>
      </c>
      <c r="AY152" s="406" t="e">
        <f t="shared" ca="1" si="88"/>
        <v>#N/A</v>
      </c>
      <c r="AZ152" s="406" t="e">
        <f t="shared" ca="1" si="88"/>
        <v>#N/A</v>
      </c>
      <c r="BA152" s="406" t="e">
        <f t="shared" ca="1" si="88"/>
        <v>#N/A</v>
      </c>
      <c r="BB152" s="412" t="s">
        <v>1223</v>
      </c>
      <c r="BC152" s="407" t="str">
        <f t="shared" ca="1" si="72"/>
        <v/>
      </c>
      <c r="BD152" s="410"/>
      <c r="BE152" s="410"/>
    </row>
    <row r="153" spans="3:57" x14ac:dyDescent="0.25">
      <c r="C153" s="406">
        <f t="shared" si="73"/>
        <v>151</v>
      </c>
      <c r="D153" s="406" t="e">
        <f t="shared" ca="1" si="84"/>
        <v>#N/A</v>
      </c>
      <c r="E153" s="406" t="e">
        <f t="shared" ca="1" si="84"/>
        <v>#N/A</v>
      </c>
      <c r="F153" s="406" t="e">
        <f t="shared" ca="1" si="84"/>
        <v>#N/A</v>
      </c>
      <c r="G153" s="406" t="e">
        <f t="shared" ca="1" si="84"/>
        <v>#N/A</v>
      </c>
      <c r="H153" s="406" t="e">
        <f t="shared" ca="1" si="84"/>
        <v>#N/A</v>
      </c>
      <c r="I153" s="406" t="e">
        <f t="shared" ca="1" si="84"/>
        <v>#N/A</v>
      </c>
      <c r="J153" s="406" t="e">
        <f t="shared" ca="1" si="84"/>
        <v>#N/A</v>
      </c>
      <c r="K153" s="406" t="e">
        <f t="shared" ca="1" si="84"/>
        <v>#N/A</v>
      </c>
      <c r="L153" s="406" t="e">
        <f t="shared" ca="1" si="84"/>
        <v>#N/A</v>
      </c>
      <c r="M153" s="406" t="e">
        <f t="shared" ca="1" si="84"/>
        <v>#N/A</v>
      </c>
      <c r="N153" s="406" t="e">
        <f t="shared" ca="1" si="85"/>
        <v>#N/A</v>
      </c>
      <c r="O153" s="406" t="e">
        <f t="shared" ca="1" si="85"/>
        <v>#N/A</v>
      </c>
      <c r="P153" s="406" t="e">
        <f t="shared" ca="1" si="85"/>
        <v>#N/A</v>
      </c>
      <c r="Q153" s="406" t="e">
        <f t="shared" ca="1" si="85"/>
        <v>#N/A</v>
      </c>
      <c r="R153" s="406" t="e">
        <f t="shared" ca="1" si="85"/>
        <v>#N/A</v>
      </c>
      <c r="S153" s="406" t="e">
        <f t="shared" ca="1" si="85"/>
        <v>#N/A</v>
      </c>
      <c r="T153" s="406" t="e">
        <f t="shared" ca="1" si="85"/>
        <v>#N/A</v>
      </c>
      <c r="U153" s="406" t="e">
        <f t="shared" ca="1" si="85"/>
        <v>#N/A</v>
      </c>
      <c r="V153" s="406" t="e">
        <f t="shared" ca="1" si="85"/>
        <v>#N/A</v>
      </c>
      <c r="W153" s="406" t="e">
        <f t="shared" ca="1" si="85"/>
        <v>#N/A</v>
      </c>
      <c r="X153" s="406" t="e">
        <f t="shared" ca="1" si="86"/>
        <v>#N/A</v>
      </c>
      <c r="Y153" s="406" t="e">
        <f t="shared" ca="1" si="86"/>
        <v>#N/A</v>
      </c>
      <c r="Z153" s="406" t="e">
        <f t="shared" ca="1" si="86"/>
        <v>#N/A</v>
      </c>
      <c r="AA153" s="406" t="e">
        <f t="shared" ca="1" si="86"/>
        <v>#N/A</v>
      </c>
      <c r="AB153" s="406" t="e">
        <f t="shared" ca="1" si="86"/>
        <v>#N/A</v>
      </c>
      <c r="AC153" s="406" t="e">
        <f t="shared" ca="1" si="86"/>
        <v>#N/A</v>
      </c>
      <c r="AD153" s="406" t="e">
        <f t="shared" ca="1" si="86"/>
        <v>#N/A</v>
      </c>
      <c r="AE153" s="406" t="e">
        <f t="shared" ca="1" si="86"/>
        <v>#N/A</v>
      </c>
      <c r="AF153" s="406" t="e">
        <f t="shared" ca="1" si="86"/>
        <v>#N/A</v>
      </c>
      <c r="AG153" s="406" t="e">
        <f t="shared" ca="1" si="86"/>
        <v>#N/A</v>
      </c>
      <c r="AH153" s="406" t="e">
        <f t="shared" ca="1" si="87"/>
        <v>#N/A</v>
      </c>
      <c r="AI153" s="406" t="e">
        <f t="shared" ca="1" si="87"/>
        <v>#N/A</v>
      </c>
      <c r="AJ153" s="406" t="e">
        <f t="shared" ca="1" si="87"/>
        <v>#N/A</v>
      </c>
      <c r="AK153" s="406" t="e">
        <f t="shared" ca="1" si="87"/>
        <v>#N/A</v>
      </c>
      <c r="AL153" s="406" t="e">
        <f t="shared" ca="1" si="87"/>
        <v>#N/A</v>
      </c>
      <c r="AM153" s="406" t="e">
        <f t="shared" ca="1" si="87"/>
        <v>#N/A</v>
      </c>
      <c r="AN153" s="406" t="e">
        <f t="shared" ca="1" si="87"/>
        <v>#N/A</v>
      </c>
      <c r="AO153" s="406" t="e">
        <f t="shared" ca="1" si="87"/>
        <v>#N/A</v>
      </c>
      <c r="AP153" s="406" t="e">
        <f t="shared" ca="1" si="87"/>
        <v>#N/A</v>
      </c>
      <c r="AQ153" s="406" t="e">
        <f t="shared" ca="1" si="87"/>
        <v>#N/A</v>
      </c>
      <c r="AR153" s="406" t="e">
        <f t="shared" ca="1" si="88"/>
        <v>#N/A</v>
      </c>
      <c r="AS153" s="406" t="e">
        <f t="shared" ca="1" si="88"/>
        <v>#N/A</v>
      </c>
      <c r="AT153" s="406" t="e">
        <f t="shared" ca="1" si="88"/>
        <v>#N/A</v>
      </c>
      <c r="AU153" s="406" t="e">
        <f t="shared" ca="1" si="88"/>
        <v>#N/A</v>
      </c>
      <c r="AV153" s="406" t="e">
        <f t="shared" ca="1" si="88"/>
        <v>#N/A</v>
      </c>
      <c r="AW153" s="406" t="e">
        <f t="shared" ca="1" si="88"/>
        <v>#N/A</v>
      </c>
      <c r="AX153" s="406" t="e">
        <f t="shared" ca="1" si="88"/>
        <v>#N/A</v>
      </c>
      <c r="AY153" s="406" t="e">
        <f t="shared" ca="1" si="88"/>
        <v>#N/A</v>
      </c>
      <c r="AZ153" s="406" t="e">
        <f t="shared" ca="1" si="88"/>
        <v>#N/A</v>
      </c>
      <c r="BA153" s="406" t="e">
        <f t="shared" ca="1" si="88"/>
        <v>#N/A</v>
      </c>
      <c r="BB153" s="412" t="s">
        <v>1224</v>
      </c>
      <c r="BC153" s="407" t="str">
        <f t="shared" ca="1" si="72"/>
        <v/>
      </c>
      <c r="BD153" s="410"/>
      <c r="BE153" s="410"/>
    </row>
    <row r="154" spans="3:57" x14ac:dyDescent="0.25">
      <c r="C154" s="406">
        <f t="shared" si="73"/>
        <v>152</v>
      </c>
      <c r="D154" s="406" t="e">
        <f t="shared" ca="1" si="84"/>
        <v>#N/A</v>
      </c>
      <c r="E154" s="406" t="e">
        <f t="shared" ca="1" si="84"/>
        <v>#N/A</v>
      </c>
      <c r="F154" s="406" t="e">
        <f t="shared" ca="1" si="84"/>
        <v>#N/A</v>
      </c>
      <c r="G154" s="406" t="e">
        <f t="shared" ca="1" si="84"/>
        <v>#N/A</v>
      </c>
      <c r="H154" s="406" t="e">
        <f t="shared" ca="1" si="84"/>
        <v>#N/A</v>
      </c>
      <c r="I154" s="406" t="e">
        <f t="shared" ca="1" si="84"/>
        <v>#N/A</v>
      </c>
      <c r="J154" s="406" t="e">
        <f t="shared" ca="1" si="84"/>
        <v>#N/A</v>
      </c>
      <c r="K154" s="406" t="e">
        <f t="shared" ca="1" si="84"/>
        <v>#N/A</v>
      </c>
      <c r="L154" s="406" t="e">
        <f t="shared" ca="1" si="84"/>
        <v>#N/A</v>
      </c>
      <c r="M154" s="406" t="e">
        <f t="shared" ca="1" si="84"/>
        <v>#N/A</v>
      </c>
      <c r="N154" s="406" t="e">
        <f t="shared" ca="1" si="85"/>
        <v>#N/A</v>
      </c>
      <c r="O154" s="406" t="e">
        <f t="shared" ca="1" si="85"/>
        <v>#N/A</v>
      </c>
      <c r="P154" s="406" t="e">
        <f t="shared" ca="1" si="85"/>
        <v>#N/A</v>
      </c>
      <c r="Q154" s="406" t="e">
        <f t="shared" ca="1" si="85"/>
        <v>#N/A</v>
      </c>
      <c r="R154" s="406" t="e">
        <f t="shared" ca="1" si="85"/>
        <v>#N/A</v>
      </c>
      <c r="S154" s="406" t="e">
        <f t="shared" ca="1" si="85"/>
        <v>#N/A</v>
      </c>
      <c r="T154" s="406" t="e">
        <f t="shared" ca="1" si="85"/>
        <v>#N/A</v>
      </c>
      <c r="U154" s="406" t="e">
        <f t="shared" ca="1" si="85"/>
        <v>#N/A</v>
      </c>
      <c r="V154" s="406" t="e">
        <f t="shared" ca="1" si="85"/>
        <v>#N/A</v>
      </c>
      <c r="W154" s="406" t="e">
        <f t="shared" ca="1" si="85"/>
        <v>#N/A</v>
      </c>
      <c r="X154" s="406" t="e">
        <f t="shared" ca="1" si="86"/>
        <v>#N/A</v>
      </c>
      <c r="Y154" s="406" t="e">
        <f t="shared" ca="1" si="86"/>
        <v>#N/A</v>
      </c>
      <c r="Z154" s="406" t="e">
        <f t="shared" ca="1" si="86"/>
        <v>#N/A</v>
      </c>
      <c r="AA154" s="406" t="e">
        <f t="shared" ca="1" si="86"/>
        <v>#N/A</v>
      </c>
      <c r="AB154" s="406" t="e">
        <f t="shared" ca="1" si="86"/>
        <v>#N/A</v>
      </c>
      <c r="AC154" s="406" t="e">
        <f t="shared" ca="1" si="86"/>
        <v>#N/A</v>
      </c>
      <c r="AD154" s="406" t="e">
        <f t="shared" ca="1" si="86"/>
        <v>#N/A</v>
      </c>
      <c r="AE154" s="406" t="e">
        <f t="shared" ca="1" si="86"/>
        <v>#N/A</v>
      </c>
      <c r="AF154" s="406" t="e">
        <f t="shared" ca="1" si="86"/>
        <v>#N/A</v>
      </c>
      <c r="AG154" s="406" t="e">
        <f t="shared" ca="1" si="86"/>
        <v>#N/A</v>
      </c>
      <c r="AH154" s="406" t="e">
        <f t="shared" ca="1" si="87"/>
        <v>#N/A</v>
      </c>
      <c r="AI154" s="406" t="e">
        <f t="shared" ca="1" si="87"/>
        <v>#N/A</v>
      </c>
      <c r="AJ154" s="406" t="e">
        <f t="shared" ca="1" si="87"/>
        <v>#N/A</v>
      </c>
      <c r="AK154" s="406" t="e">
        <f t="shared" ca="1" si="87"/>
        <v>#N/A</v>
      </c>
      <c r="AL154" s="406" t="e">
        <f t="shared" ca="1" si="87"/>
        <v>#N/A</v>
      </c>
      <c r="AM154" s="406" t="e">
        <f t="shared" ca="1" si="87"/>
        <v>#N/A</v>
      </c>
      <c r="AN154" s="406" t="e">
        <f t="shared" ca="1" si="87"/>
        <v>#N/A</v>
      </c>
      <c r="AO154" s="406" t="e">
        <f t="shared" ca="1" si="87"/>
        <v>#N/A</v>
      </c>
      <c r="AP154" s="406" t="e">
        <f t="shared" ca="1" si="87"/>
        <v>#N/A</v>
      </c>
      <c r="AQ154" s="406" t="e">
        <f t="shared" ca="1" si="87"/>
        <v>#N/A</v>
      </c>
      <c r="AR154" s="406" t="e">
        <f t="shared" ca="1" si="88"/>
        <v>#N/A</v>
      </c>
      <c r="AS154" s="406" t="e">
        <f t="shared" ca="1" si="88"/>
        <v>#N/A</v>
      </c>
      <c r="AT154" s="406" t="e">
        <f t="shared" ca="1" si="88"/>
        <v>#N/A</v>
      </c>
      <c r="AU154" s="406" t="e">
        <f t="shared" ca="1" si="88"/>
        <v>#N/A</v>
      </c>
      <c r="AV154" s="406" t="e">
        <f t="shared" ca="1" si="88"/>
        <v>#N/A</v>
      </c>
      <c r="AW154" s="406" t="e">
        <f t="shared" ca="1" si="88"/>
        <v>#N/A</v>
      </c>
      <c r="AX154" s="406" t="e">
        <f t="shared" ca="1" si="88"/>
        <v>#N/A</v>
      </c>
      <c r="AY154" s="406" t="e">
        <f t="shared" ca="1" si="88"/>
        <v>#N/A</v>
      </c>
      <c r="AZ154" s="406" t="e">
        <f t="shared" ca="1" si="88"/>
        <v>#N/A</v>
      </c>
      <c r="BA154" s="406" t="e">
        <f t="shared" ca="1" si="88"/>
        <v>#N/A</v>
      </c>
      <c r="BB154" s="412" t="s">
        <v>1225</v>
      </c>
      <c r="BC154" s="407" t="str">
        <f t="shared" ca="1" si="72"/>
        <v/>
      </c>
      <c r="BD154" s="410"/>
      <c r="BE154" s="410"/>
    </row>
    <row r="155" spans="3:57" x14ac:dyDescent="0.25">
      <c r="C155" s="406">
        <f t="shared" si="73"/>
        <v>153</v>
      </c>
      <c r="D155" s="406" t="e">
        <f t="shared" ca="1" si="84"/>
        <v>#N/A</v>
      </c>
      <c r="E155" s="406" t="e">
        <f t="shared" ca="1" si="84"/>
        <v>#N/A</v>
      </c>
      <c r="F155" s="406" t="e">
        <f t="shared" ca="1" si="84"/>
        <v>#N/A</v>
      </c>
      <c r="G155" s="406" t="e">
        <f t="shared" ca="1" si="84"/>
        <v>#N/A</v>
      </c>
      <c r="H155" s="406" t="e">
        <f t="shared" ca="1" si="84"/>
        <v>#N/A</v>
      </c>
      <c r="I155" s="406" t="e">
        <f t="shared" ca="1" si="84"/>
        <v>#N/A</v>
      </c>
      <c r="J155" s="406" t="e">
        <f t="shared" ca="1" si="84"/>
        <v>#N/A</v>
      </c>
      <c r="K155" s="406" t="e">
        <f t="shared" ca="1" si="84"/>
        <v>#N/A</v>
      </c>
      <c r="L155" s="406" t="e">
        <f t="shared" ca="1" si="84"/>
        <v>#N/A</v>
      </c>
      <c r="M155" s="406" t="e">
        <f t="shared" ca="1" si="84"/>
        <v>#N/A</v>
      </c>
      <c r="N155" s="406" t="e">
        <f t="shared" ca="1" si="85"/>
        <v>#N/A</v>
      </c>
      <c r="O155" s="406" t="e">
        <f t="shared" ca="1" si="85"/>
        <v>#N/A</v>
      </c>
      <c r="P155" s="406" t="e">
        <f t="shared" ca="1" si="85"/>
        <v>#N/A</v>
      </c>
      <c r="Q155" s="406" t="e">
        <f t="shared" ca="1" si="85"/>
        <v>#N/A</v>
      </c>
      <c r="R155" s="406" t="e">
        <f t="shared" ca="1" si="85"/>
        <v>#N/A</v>
      </c>
      <c r="S155" s="406" t="e">
        <f t="shared" ca="1" si="85"/>
        <v>#N/A</v>
      </c>
      <c r="T155" s="406" t="e">
        <f t="shared" ca="1" si="85"/>
        <v>#N/A</v>
      </c>
      <c r="U155" s="406" t="e">
        <f t="shared" ca="1" si="85"/>
        <v>#N/A</v>
      </c>
      <c r="V155" s="406" t="e">
        <f t="shared" ca="1" si="85"/>
        <v>#N/A</v>
      </c>
      <c r="W155" s="406" t="e">
        <f t="shared" ca="1" si="85"/>
        <v>#N/A</v>
      </c>
      <c r="X155" s="406" t="e">
        <f t="shared" ca="1" si="86"/>
        <v>#N/A</v>
      </c>
      <c r="Y155" s="406" t="e">
        <f t="shared" ca="1" si="86"/>
        <v>#N/A</v>
      </c>
      <c r="Z155" s="406" t="e">
        <f t="shared" ca="1" si="86"/>
        <v>#N/A</v>
      </c>
      <c r="AA155" s="406" t="e">
        <f t="shared" ca="1" si="86"/>
        <v>#N/A</v>
      </c>
      <c r="AB155" s="406" t="e">
        <f t="shared" ca="1" si="86"/>
        <v>#N/A</v>
      </c>
      <c r="AC155" s="406" t="e">
        <f t="shared" ca="1" si="86"/>
        <v>#N/A</v>
      </c>
      <c r="AD155" s="406" t="e">
        <f t="shared" ca="1" si="86"/>
        <v>#N/A</v>
      </c>
      <c r="AE155" s="406" t="e">
        <f t="shared" ca="1" si="86"/>
        <v>#N/A</v>
      </c>
      <c r="AF155" s="406" t="e">
        <f t="shared" ca="1" si="86"/>
        <v>#N/A</v>
      </c>
      <c r="AG155" s="406" t="e">
        <f t="shared" ca="1" si="86"/>
        <v>#N/A</v>
      </c>
      <c r="AH155" s="406" t="e">
        <f t="shared" ca="1" si="87"/>
        <v>#N/A</v>
      </c>
      <c r="AI155" s="406" t="e">
        <f t="shared" ca="1" si="87"/>
        <v>#N/A</v>
      </c>
      <c r="AJ155" s="406" t="e">
        <f t="shared" ca="1" si="87"/>
        <v>#N/A</v>
      </c>
      <c r="AK155" s="406" t="e">
        <f t="shared" ca="1" si="87"/>
        <v>#N/A</v>
      </c>
      <c r="AL155" s="406" t="e">
        <f t="shared" ca="1" si="87"/>
        <v>#N/A</v>
      </c>
      <c r="AM155" s="406" t="e">
        <f t="shared" ca="1" si="87"/>
        <v>#N/A</v>
      </c>
      <c r="AN155" s="406" t="e">
        <f t="shared" ca="1" si="87"/>
        <v>#N/A</v>
      </c>
      <c r="AO155" s="406" t="e">
        <f t="shared" ca="1" si="87"/>
        <v>#N/A</v>
      </c>
      <c r="AP155" s="406" t="e">
        <f t="shared" ca="1" si="87"/>
        <v>#N/A</v>
      </c>
      <c r="AQ155" s="406" t="e">
        <f t="shared" ca="1" si="87"/>
        <v>#N/A</v>
      </c>
      <c r="AR155" s="406" t="e">
        <f t="shared" ca="1" si="88"/>
        <v>#N/A</v>
      </c>
      <c r="AS155" s="406" t="e">
        <f t="shared" ca="1" si="88"/>
        <v>#N/A</v>
      </c>
      <c r="AT155" s="406" t="e">
        <f t="shared" ca="1" si="88"/>
        <v>#N/A</v>
      </c>
      <c r="AU155" s="406" t="e">
        <f t="shared" ca="1" si="88"/>
        <v>#N/A</v>
      </c>
      <c r="AV155" s="406" t="e">
        <f t="shared" ca="1" si="88"/>
        <v>#N/A</v>
      </c>
      <c r="AW155" s="406" t="e">
        <f t="shared" ca="1" si="88"/>
        <v>#N/A</v>
      </c>
      <c r="AX155" s="406" t="e">
        <f t="shared" ca="1" si="88"/>
        <v>#N/A</v>
      </c>
      <c r="AY155" s="406" t="e">
        <f t="shared" ca="1" si="88"/>
        <v>#N/A</v>
      </c>
      <c r="AZ155" s="406" t="e">
        <f t="shared" ca="1" si="88"/>
        <v>#N/A</v>
      </c>
      <c r="BA155" s="406" t="e">
        <f t="shared" ca="1" si="88"/>
        <v>#N/A</v>
      </c>
      <c r="BB155" s="412" t="s">
        <v>1226</v>
      </c>
      <c r="BC155" s="407" t="str">
        <f t="shared" ca="1" si="72"/>
        <v/>
      </c>
      <c r="BD155" s="410"/>
      <c r="BE155" s="410"/>
    </row>
    <row r="156" spans="3:57" x14ac:dyDescent="0.25">
      <c r="C156" s="406">
        <f t="shared" si="73"/>
        <v>154</v>
      </c>
      <c r="D156" s="406" t="e">
        <f t="shared" ca="1" si="84"/>
        <v>#N/A</v>
      </c>
      <c r="E156" s="406" t="e">
        <f t="shared" ca="1" si="84"/>
        <v>#N/A</v>
      </c>
      <c r="F156" s="406" t="e">
        <f t="shared" ca="1" si="84"/>
        <v>#N/A</v>
      </c>
      <c r="G156" s="406" t="e">
        <f t="shared" ca="1" si="84"/>
        <v>#N/A</v>
      </c>
      <c r="H156" s="406" t="e">
        <f t="shared" ca="1" si="84"/>
        <v>#N/A</v>
      </c>
      <c r="I156" s="406" t="e">
        <f t="shared" ca="1" si="84"/>
        <v>#N/A</v>
      </c>
      <c r="J156" s="406" t="e">
        <f t="shared" ca="1" si="84"/>
        <v>#N/A</v>
      </c>
      <c r="K156" s="406" t="e">
        <f t="shared" ca="1" si="84"/>
        <v>#N/A</v>
      </c>
      <c r="L156" s="406" t="e">
        <f t="shared" ca="1" si="84"/>
        <v>#N/A</v>
      </c>
      <c r="M156" s="406" t="e">
        <f t="shared" ca="1" si="84"/>
        <v>#N/A</v>
      </c>
      <c r="N156" s="406" t="e">
        <f t="shared" ca="1" si="85"/>
        <v>#N/A</v>
      </c>
      <c r="O156" s="406" t="e">
        <f t="shared" ca="1" si="85"/>
        <v>#N/A</v>
      </c>
      <c r="P156" s="406" t="e">
        <f t="shared" ca="1" si="85"/>
        <v>#N/A</v>
      </c>
      <c r="Q156" s="406" t="e">
        <f t="shared" ca="1" si="85"/>
        <v>#N/A</v>
      </c>
      <c r="R156" s="406" t="e">
        <f t="shared" ca="1" si="85"/>
        <v>#N/A</v>
      </c>
      <c r="S156" s="406" t="e">
        <f t="shared" ca="1" si="85"/>
        <v>#N/A</v>
      </c>
      <c r="T156" s="406" t="e">
        <f t="shared" ca="1" si="85"/>
        <v>#N/A</v>
      </c>
      <c r="U156" s="406" t="e">
        <f t="shared" ca="1" si="85"/>
        <v>#N/A</v>
      </c>
      <c r="V156" s="406" t="e">
        <f t="shared" ca="1" si="85"/>
        <v>#N/A</v>
      </c>
      <c r="W156" s="406" t="e">
        <f t="shared" ca="1" si="85"/>
        <v>#N/A</v>
      </c>
      <c r="X156" s="406" t="e">
        <f t="shared" ca="1" si="86"/>
        <v>#N/A</v>
      </c>
      <c r="Y156" s="406" t="e">
        <f t="shared" ca="1" si="86"/>
        <v>#N/A</v>
      </c>
      <c r="Z156" s="406" t="e">
        <f t="shared" ca="1" si="86"/>
        <v>#N/A</v>
      </c>
      <c r="AA156" s="406" t="e">
        <f t="shared" ca="1" si="86"/>
        <v>#N/A</v>
      </c>
      <c r="AB156" s="406" t="e">
        <f t="shared" ca="1" si="86"/>
        <v>#N/A</v>
      </c>
      <c r="AC156" s="406" t="e">
        <f t="shared" ca="1" si="86"/>
        <v>#N/A</v>
      </c>
      <c r="AD156" s="406" t="e">
        <f t="shared" ca="1" si="86"/>
        <v>#N/A</v>
      </c>
      <c r="AE156" s="406" t="e">
        <f t="shared" ca="1" si="86"/>
        <v>#N/A</v>
      </c>
      <c r="AF156" s="406" t="e">
        <f t="shared" ca="1" si="86"/>
        <v>#N/A</v>
      </c>
      <c r="AG156" s="406" t="e">
        <f t="shared" ca="1" si="86"/>
        <v>#N/A</v>
      </c>
      <c r="AH156" s="406" t="e">
        <f t="shared" ca="1" si="87"/>
        <v>#N/A</v>
      </c>
      <c r="AI156" s="406" t="e">
        <f t="shared" ca="1" si="87"/>
        <v>#N/A</v>
      </c>
      <c r="AJ156" s="406" t="e">
        <f t="shared" ca="1" si="87"/>
        <v>#N/A</v>
      </c>
      <c r="AK156" s="406" t="e">
        <f t="shared" ca="1" si="87"/>
        <v>#N/A</v>
      </c>
      <c r="AL156" s="406" t="e">
        <f t="shared" ca="1" si="87"/>
        <v>#N/A</v>
      </c>
      <c r="AM156" s="406" t="e">
        <f t="shared" ca="1" si="87"/>
        <v>#N/A</v>
      </c>
      <c r="AN156" s="406" t="e">
        <f t="shared" ca="1" si="87"/>
        <v>#N/A</v>
      </c>
      <c r="AO156" s="406" t="e">
        <f t="shared" ca="1" si="87"/>
        <v>#N/A</v>
      </c>
      <c r="AP156" s="406" t="e">
        <f t="shared" ca="1" si="87"/>
        <v>#N/A</v>
      </c>
      <c r="AQ156" s="406" t="e">
        <f t="shared" ca="1" si="87"/>
        <v>#N/A</v>
      </c>
      <c r="AR156" s="406" t="e">
        <f t="shared" ca="1" si="88"/>
        <v>#N/A</v>
      </c>
      <c r="AS156" s="406" t="e">
        <f t="shared" ca="1" si="88"/>
        <v>#N/A</v>
      </c>
      <c r="AT156" s="406" t="e">
        <f t="shared" ca="1" si="88"/>
        <v>#N/A</v>
      </c>
      <c r="AU156" s="406" t="e">
        <f t="shared" ca="1" si="88"/>
        <v>#N/A</v>
      </c>
      <c r="AV156" s="406" t="e">
        <f t="shared" ca="1" si="88"/>
        <v>#N/A</v>
      </c>
      <c r="AW156" s="406" t="e">
        <f t="shared" ca="1" si="88"/>
        <v>#N/A</v>
      </c>
      <c r="AX156" s="406" t="e">
        <f t="shared" ca="1" si="88"/>
        <v>#N/A</v>
      </c>
      <c r="AY156" s="406" t="e">
        <f t="shared" ca="1" si="88"/>
        <v>#N/A</v>
      </c>
      <c r="AZ156" s="406" t="e">
        <f t="shared" ca="1" si="88"/>
        <v>#N/A</v>
      </c>
      <c r="BA156" s="406" t="e">
        <f t="shared" ca="1" si="88"/>
        <v>#N/A</v>
      </c>
      <c r="BB156" s="412" t="s">
        <v>1227</v>
      </c>
      <c r="BC156" s="407" t="str">
        <f t="shared" ca="1" si="72"/>
        <v/>
      </c>
      <c r="BD156" s="410"/>
      <c r="BE156" s="410"/>
    </row>
    <row r="157" spans="3:57" x14ac:dyDescent="0.25">
      <c r="C157" s="406">
        <f t="shared" si="73"/>
        <v>155</v>
      </c>
      <c r="D157" s="406" t="e">
        <f t="shared" ca="1" si="84"/>
        <v>#N/A</v>
      </c>
      <c r="E157" s="406" t="e">
        <f t="shared" ca="1" si="84"/>
        <v>#N/A</v>
      </c>
      <c r="F157" s="406" t="e">
        <f t="shared" ca="1" si="84"/>
        <v>#N/A</v>
      </c>
      <c r="G157" s="406" t="e">
        <f t="shared" ca="1" si="84"/>
        <v>#N/A</v>
      </c>
      <c r="H157" s="406" t="e">
        <f t="shared" ca="1" si="84"/>
        <v>#N/A</v>
      </c>
      <c r="I157" s="406" t="e">
        <f t="shared" ca="1" si="84"/>
        <v>#N/A</v>
      </c>
      <c r="J157" s="406" t="e">
        <f t="shared" ca="1" si="84"/>
        <v>#N/A</v>
      </c>
      <c r="K157" s="406" t="e">
        <f t="shared" ca="1" si="84"/>
        <v>#N/A</v>
      </c>
      <c r="L157" s="406" t="e">
        <f t="shared" ca="1" si="84"/>
        <v>#N/A</v>
      </c>
      <c r="M157" s="406" t="e">
        <f t="shared" ca="1" si="84"/>
        <v>#N/A</v>
      </c>
      <c r="N157" s="406" t="e">
        <f t="shared" ca="1" si="85"/>
        <v>#N/A</v>
      </c>
      <c r="O157" s="406" t="e">
        <f t="shared" ca="1" si="85"/>
        <v>#N/A</v>
      </c>
      <c r="P157" s="406" t="e">
        <f t="shared" ca="1" si="85"/>
        <v>#N/A</v>
      </c>
      <c r="Q157" s="406" t="e">
        <f t="shared" ca="1" si="85"/>
        <v>#N/A</v>
      </c>
      <c r="R157" s="406" t="e">
        <f t="shared" ca="1" si="85"/>
        <v>#N/A</v>
      </c>
      <c r="S157" s="406" t="e">
        <f t="shared" ca="1" si="85"/>
        <v>#N/A</v>
      </c>
      <c r="T157" s="406" t="e">
        <f t="shared" ca="1" si="85"/>
        <v>#N/A</v>
      </c>
      <c r="U157" s="406" t="e">
        <f t="shared" ca="1" si="85"/>
        <v>#N/A</v>
      </c>
      <c r="V157" s="406" t="e">
        <f t="shared" ca="1" si="85"/>
        <v>#N/A</v>
      </c>
      <c r="W157" s="406" t="e">
        <f t="shared" ca="1" si="85"/>
        <v>#N/A</v>
      </c>
      <c r="X157" s="406" t="e">
        <f t="shared" ca="1" si="86"/>
        <v>#N/A</v>
      </c>
      <c r="Y157" s="406" t="e">
        <f t="shared" ca="1" si="86"/>
        <v>#N/A</v>
      </c>
      <c r="Z157" s="406" t="e">
        <f t="shared" ca="1" si="86"/>
        <v>#N/A</v>
      </c>
      <c r="AA157" s="406" t="e">
        <f t="shared" ca="1" si="86"/>
        <v>#N/A</v>
      </c>
      <c r="AB157" s="406" t="e">
        <f t="shared" ca="1" si="86"/>
        <v>#N/A</v>
      </c>
      <c r="AC157" s="406" t="e">
        <f t="shared" ca="1" si="86"/>
        <v>#N/A</v>
      </c>
      <c r="AD157" s="406" t="e">
        <f t="shared" ca="1" si="86"/>
        <v>#N/A</v>
      </c>
      <c r="AE157" s="406" t="e">
        <f t="shared" ca="1" si="86"/>
        <v>#N/A</v>
      </c>
      <c r="AF157" s="406" t="e">
        <f t="shared" ca="1" si="86"/>
        <v>#N/A</v>
      </c>
      <c r="AG157" s="406" t="e">
        <f t="shared" ca="1" si="86"/>
        <v>#N/A</v>
      </c>
      <c r="AH157" s="406" t="e">
        <f t="shared" ca="1" si="87"/>
        <v>#N/A</v>
      </c>
      <c r="AI157" s="406" t="e">
        <f t="shared" ca="1" si="87"/>
        <v>#N/A</v>
      </c>
      <c r="AJ157" s="406" t="e">
        <f t="shared" ca="1" si="87"/>
        <v>#N/A</v>
      </c>
      <c r="AK157" s="406" t="e">
        <f t="shared" ca="1" si="87"/>
        <v>#N/A</v>
      </c>
      <c r="AL157" s="406" t="e">
        <f t="shared" ca="1" si="87"/>
        <v>#N/A</v>
      </c>
      <c r="AM157" s="406" t="e">
        <f t="shared" ca="1" si="87"/>
        <v>#N/A</v>
      </c>
      <c r="AN157" s="406" t="e">
        <f t="shared" ca="1" si="87"/>
        <v>#N/A</v>
      </c>
      <c r="AO157" s="406" t="e">
        <f t="shared" ca="1" si="87"/>
        <v>#N/A</v>
      </c>
      <c r="AP157" s="406" t="e">
        <f t="shared" ca="1" si="87"/>
        <v>#N/A</v>
      </c>
      <c r="AQ157" s="406" t="e">
        <f t="shared" ca="1" si="87"/>
        <v>#N/A</v>
      </c>
      <c r="AR157" s="406" t="e">
        <f t="shared" ca="1" si="88"/>
        <v>#N/A</v>
      </c>
      <c r="AS157" s="406" t="e">
        <f t="shared" ca="1" si="88"/>
        <v>#N/A</v>
      </c>
      <c r="AT157" s="406" t="e">
        <f t="shared" ca="1" si="88"/>
        <v>#N/A</v>
      </c>
      <c r="AU157" s="406" t="e">
        <f t="shared" ca="1" si="88"/>
        <v>#N/A</v>
      </c>
      <c r="AV157" s="406" t="e">
        <f t="shared" ca="1" si="88"/>
        <v>#N/A</v>
      </c>
      <c r="AW157" s="406" t="e">
        <f t="shared" ca="1" si="88"/>
        <v>#N/A</v>
      </c>
      <c r="AX157" s="406" t="e">
        <f t="shared" ca="1" si="88"/>
        <v>#N/A</v>
      </c>
      <c r="AY157" s="406" t="e">
        <f t="shared" ca="1" si="88"/>
        <v>#N/A</v>
      </c>
      <c r="AZ157" s="406" t="e">
        <f t="shared" ca="1" si="88"/>
        <v>#N/A</v>
      </c>
      <c r="BA157" s="406" t="e">
        <f t="shared" ca="1" si="88"/>
        <v>#N/A</v>
      </c>
      <c r="BB157" s="412" t="s">
        <v>1228</v>
      </c>
      <c r="BC157" s="407" t="str">
        <f t="shared" ca="1" si="72"/>
        <v/>
      </c>
      <c r="BD157" s="410"/>
      <c r="BE157" s="410"/>
    </row>
    <row r="158" spans="3:57" x14ac:dyDescent="0.25">
      <c r="C158" s="406">
        <f t="shared" si="73"/>
        <v>156</v>
      </c>
      <c r="D158" s="406" t="e">
        <f t="shared" ca="1" si="84"/>
        <v>#N/A</v>
      </c>
      <c r="E158" s="406" t="e">
        <f t="shared" ca="1" si="84"/>
        <v>#N/A</v>
      </c>
      <c r="F158" s="406" t="e">
        <f t="shared" ca="1" si="84"/>
        <v>#N/A</v>
      </c>
      <c r="G158" s="406" t="e">
        <f t="shared" ca="1" si="84"/>
        <v>#N/A</v>
      </c>
      <c r="H158" s="406" t="e">
        <f t="shared" ca="1" si="84"/>
        <v>#N/A</v>
      </c>
      <c r="I158" s="406" t="e">
        <f t="shared" ca="1" si="84"/>
        <v>#N/A</v>
      </c>
      <c r="J158" s="406" t="e">
        <f t="shared" ca="1" si="84"/>
        <v>#N/A</v>
      </c>
      <c r="K158" s="406" t="e">
        <f t="shared" ca="1" si="84"/>
        <v>#N/A</v>
      </c>
      <c r="L158" s="406" t="e">
        <f t="shared" ca="1" si="84"/>
        <v>#N/A</v>
      </c>
      <c r="M158" s="406" t="e">
        <f t="shared" ca="1" si="84"/>
        <v>#N/A</v>
      </c>
      <c r="N158" s="406" t="e">
        <f t="shared" ca="1" si="85"/>
        <v>#N/A</v>
      </c>
      <c r="O158" s="406" t="e">
        <f t="shared" ca="1" si="85"/>
        <v>#N/A</v>
      </c>
      <c r="P158" s="406" t="e">
        <f t="shared" ca="1" si="85"/>
        <v>#N/A</v>
      </c>
      <c r="Q158" s="406" t="e">
        <f t="shared" ca="1" si="85"/>
        <v>#N/A</v>
      </c>
      <c r="R158" s="406" t="e">
        <f t="shared" ca="1" si="85"/>
        <v>#N/A</v>
      </c>
      <c r="S158" s="406" t="e">
        <f t="shared" ca="1" si="85"/>
        <v>#N/A</v>
      </c>
      <c r="T158" s="406" t="e">
        <f t="shared" ca="1" si="85"/>
        <v>#N/A</v>
      </c>
      <c r="U158" s="406" t="e">
        <f t="shared" ca="1" si="85"/>
        <v>#N/A</v>
      </c>
      <c r="V158" s="406" t="e">
        <f t="shared" ca="1" si="85"/>
        <v>#N/A</v>
      </c>
      <c r="W158" s="406" t="e">
        <f t="shared" ca="1" si="85"/>
        <v>#N/A</v>
      </c>
      <c r="X158" s="406" t="e">
        <f t="shared" ca="1" si="86"/>
        <v>#N/A</v>
      </c>
      <c r="Y158" s="406" t="e">
        <f t="shared" ca="1" si="86"/>
        <v>#N/A</v>
      </c>
      <c r="Z158" s="406" t="e">
        <f t="shared" ca="1" si="86"/>
        <v>#N/A</v>
      </c>
      <c r="AA158" s="406" t="e">
        <f t="shared" ca="1" si="86"/>
        <v>#N/A</v>
      </c>
      <c r="AB158" s="406" t="e">
        <f t="shared" ca="1" si="86"/>
        <v>#N/A</v>
      </c>
      <c r="AC158" s="406" t="e">
        <f t="shared" ca="1" si="86"/>
        <v>#N/A</v>
      </c>
      <c r="AD158" s="406" t="e">
        <f t="shared" ca="1" si="86"/>
        <v>#N/A</v>
      </c>
      <c r="AE158" s="406" t="e">
        <f t="shared" ca="1" si="86"/>
        <v>#N/A</v>
      </c>
      <c r="AF158" s="406" t="e">
        <f t="shared" ca="1" si="86"/>
        <v>#N/A</v>
      </c>
      <c r="AG158" s="406" t="e">
        <f t="shared" ca="1" si="86"/>
        <v>#N/A</v>
      </c>
      <c r="AH158" s="406" t="e">
        <f t="shared" ca="1" si="87"/>
        <v>#N/A</v>
      </c>
      <c r="AI158" s="406" t="e">
        <f t="shared" ca="1" si="87"/>
        <v>#N/A</v>
      </c>
      <c r="AJ158" s="406" t="e">
        <f t="shared" ca="1" si="87"/>
        <v>#N/A</v>
      </c>
      <c r="AK158" s="406" t="e">
        <f t="shared" ca="1" si="87"/>
        <v>#N/A</v>
      </c>
      <c r="AL158" s="406" t="e">
        <f t="shared" ca="1" si="87"/>
        <v>#N/A</v>
      </c>
      <c r="AM158" s="406" t="e">
        <f t="shared" ca="1" si="87"/>
        <v>#N/A</v>
      </c>
      <c r="AN158" s="406" t="e">
        <f t="shared" ca="1" si="87"/>
        <v>#N/A</v>
      </c>
      <c r="AO158" s="406" t="e">
        <f t="shared" ca="1" si="87"/>
        <v>#N/A</v>
      </c>
      <c r="AP158" s="406" t="e">
        <f t="shared" ca="1" si="87"/>
        <v>#N/A</v>
      </c>
      <c r="AQ158" s="406" t="e">
        <f t="shared" ca="1" si="87"/>
        <v>#N/A</v>
      </c>
      <c r="AR158" s="406" t="e">
        <f t="shared" ca="1" si="88"/>
        <v>#N/A</v>
      </c>
      <c r="AS158" s="406" t="e">
        <f t="shared" ca="1" si="88"/>
        <v>#N/A</v>
      </c>
      <c r="AT158" s="406" t="e">
        <f t="shared" ca="1" si="88"/>
        <v>#N/A</v>
      </c>
      <c r="AU158" s="406" t="e">
        <f t="shared" ca="1" si="88"/>
        <v>#N/A</v>
      </c>
      <c r="AV158" s="406" t="e">
        <f t="shared" ca="1" si="88"/>
        <v>#N/A</v>
      </c>
      <c r="AW158" s="406" t="e">
        <f t="shared" ca="1" si="88"/>
        <v>#N/A</v>
      </c>
      <c r="AX158" s="406" t="e">
        <f t="shared" ca="1" si="88"/>
        <v>#N/A</v>
      </c>
      <c r="AY158" s="406" t="e">
        <f t="shared" ca="1" si="88"/>
        <v>#N/A</v>
      </c>
      <c r="AZ158" s="406" t="e">
        <f t="shared" ca="1" si="88"/>
        <v>#N/A</v>
      </c>
      <c r="BA158" s="406" t="e">
        <f t="shared" ca="1" si="88"/>
        <v>#N/A</v>
      </c>
      <c r="BB158" s="412" t="s">
        <v>1229</v>
      </c>
      <c r="BC158" s="407" t="str">
        <f t="shared" ca="1" si="72"/>
        <v/>
      </c>
      <c r="BD158" s="410"/>
      <c r="BE158" s="410"/>
    </row>
    <row r="159" spans="3:57" x14ac:dyDescent="0.25">
      <c r="C159" s="406">
        <f t="shared" si="73"/>
        <v>157</v>
      </c>
      <c r="D159" s="406" t="e">
        <f t="shared" ca="1" si="84"/>
        <v>#N/A</v>
      </c>
      <c r="E159" s="406" t="e">
        <f t="shared" ca="1" si="84"/>
        <v>#N/A</v>
      </c>
      <c r="F159" s="406" t="e">
        <f t="shared" ca="1" si="84"/>
        <v>#N/A</v>
      </c>
      <c r="G159" s="406" t="e">
        <f t="shared" ca="1" si="84"/>
        <v>#N/A</v>
      </c>
      <c r="H159" s="406" t="e">
        <f t="shared" ca="1" si="84"/>
        <v>#N/A</v>
      </c>
      <c r="I159" s="406" t="e">
        <f t="shared" ca="1" si="84"/>
        <v>#N/A</v>
      </c>
      <c r="J159" s="406" t="e">
        <f t="shared" ca="1" si="84"/>
        <v>#N/A</v>
      </c>
      <c r="K159" s="406" t="e">
        <f t="shared" ca="1" si="84"/>
        <v>#N/A</v>
      </c>
      <c r="L159" s="406" t="e">
        <f t="shared" ca="1" si="84"/>
        <v>#N/A</v>
      </c>
      <c r="M159" s="406" t="e">
        <f t="shared" ca="1" si="84"/>
        <v>#N/A</v>
      </c>
      <c r="N159" s="406" t="e">
        <f t="shared" ca="1" si="85"/>
        <v>#N/A</v>
      </c>
      <c r="O159" s="406" t="e">
        <f t="shared" ca="1" si="85"/>
        <v>#N/A</v>
      </c>
      <c r="P159" s="406" t="e">
        <f t="shared" ca="1" si="85"/>
        <v>#N/A</v>
      </c>
      <c r="Q159" s="406" t="e">
        <f t="shared" ca="1" si="85"/>
        <v>#N/A</v>
      </c>
      <c r="R159" s="406" t="e">
        <f t="shared" ca="1" si="85"/>
        <v>#N/A</v>
      </c>
      <c r="S159" s="406" t="e">
        <f t="shared" ca="1" si="85"/>
        <v>#N/A</v>
      </c>
      <c r="T159" s="406" t="e">
        <f t="shared" ca="1" si="85"/>
        <v>#N/A</v>
      </c>
      <c r="U159" s="406" t="e">
        <f t="shared" ca="1" si="85"/>
        <v>#N/A</v>
      </c>
      <c r="V159" s="406" t="e">
        <f t="shared" ca="1" si="85"/>
        <v>#N/A</v>
      </c>
      <c r="W159" s="406" t="e">
        <f t="shared" ca="1" si="85"/>
        <v>#N/A</v>
      </c>
      <c r="X159" s="406" t="e">
        <f t="shared" ca="1" si="86"/>
        <v>#N/A</v>
      </c>
      <c r="Y159" s="406" t="e">
        <f t="shared" ca="1" si="86"/>
        <v>#N/A</v>
      </c>
      <c r="Z159" s="406" t="e">
        <f t="shared" ca="1" si="86"/>
        <v>#N/A</v>
      </c>
      <c r="AA159" s="406" t="e">
        <f t="shared" ca="1" si="86"/>
        <v>#N/A</v>
      </c>
      <c r="AB159" s="406" t="e">
        <f t="shared" ca="1" si="86"/>
        <v>#N/A</v>
      </c>
      <c r="AC159" s="406" t="e">
        <f t="shared" ca="1" si="86"/>
        <v>#N/A</v>
      </c>
      <c r="AD159" s="406" t="e">
        <f t="shared" ca="1" si="86"/>
        <v>#N/A</v>
      </c>
      <c r="AE159" s="406" t="e">
        <f t="shared" ca="1" si="86"/>
        <v>#N/A</v>
      </c>
      <c r="AF159" s="406" t="e">
        <f t="shared" ca="1" si="86"/>
        <v>#N/A</v>
      </c>
      <c r="AG159" s="406" t="e">
        <f t="shared" ca="1" si="86"/>
        <v>#N/A</v>
      </c>
      <c r="AH159" s="406" t="e">
        <f t="shared" ca="1" si="87"/>
        <v>#N/A</v>
      </c>
      <c r="AI159" s="406" t="e">
        <f t="shared" ca="1" si="87"/>
        <v>#N/A</v>
      </c>
      <c r="AJ159" s="406" t="e">
        <f t="shared" ca="1" si="87"/>
        <v>#N/A</v>
      </c>
      <c r="AK159" s="406" t="e">
        <f t="shared" ca="1" si="87"/>
        <v>#N/A</v>
      </c>
      <c r="AL159" s="406" t="e">
        <f t="shared" ca="1" si="87"/>
        <v>#N/A</v>
      </c>
      <c r="AM159" s="406" t="e">
        <f t="shared" ca="1" si="87"/>
        <v>#N/A</v>
      </c>
      <c r="AN159" s="406" t="e">
        <f t="shared" ca="1" si="87"/>
        <v>#N/A</v>
      </c>
      <c r="AO159" s="406" t="e">
        <f t="shared" ca="1" si="87"/>
        <v>#N/A</v>
      </c>
      <c r="AP159" s="406" t="e">
        <f t="shared" ca="1" si="87"/>
        <v>#N/A</v>
      </c>
      <c r="AQ159" s="406" t="e">
        <f t="shared" ca="1" si="87"/>
        <v>#N/A</v>
      </c>
      <c r="AR159" s="406" t="e">
        <f t="shared" ca="1" si="88"/>
        <v>#N/A</v>
      </c>
      <c r="AS159" s="406" t="e">
        <f t="shared" ca="1" si="88"/>
        <v>#N/A</v>
      </c>
      <c r="AT159" s="406" t="e">
        <f t="shared" ca="1" si="88"/>
        <v>#N/A</v>
      </c>
      <c r="AU159" s="406" t="e">
        <f t="shared" ca="1" si="88"/>
        <v>#N/A</v>
      </c>
      <c r="AV159" s="406" t="e">
        <f t="shared" ca="1" si="88"/>
        <v>#N/A</v>
      </c>
      <c r="AW159" s="406" t="e">
        <f t="shared" ca="1" si="88"/>
        <v>#N/A</v>
      </c>
      <c r="AX159" s="406" t="e">
        <f t="shared" ca="1" si="88"/>
        <v>#N/A</v>
      </c>
      <c r="AY159" s="406" t="e">
        <f t="shared" ca="1" si="88"/>
        <v>#N/A</v>
      </c>
      <c r="AZ159" s="406" t="e">
        <f t="shared" ca="1" si="88"/>
        <v>#N/A</v>
      </c>
      <c r="BA159" s="406" t="e">
        <f t="shared" ca="1" si="88"/>
        <v>#N/A</v>
      </c>
      <c r="BB159" s="412" t="s">
        <v>1230</v>
      </c>
      <c r="BC159" s="407" t="str">
        <f t="shared" ca="1" si="72"/>
        <v/>
      </c>
      <c r="BD159" s="410"/>
      <c r="BE159" s="410"/>
    </row>
    <row r="160" spans="3:57" x14ac:dyDescent="0.25">
      <c r="C160" s="406">
        <f t="shared" si="73"/>
        <v>158</v>
      </c>
      <c r="D160" s="406" t="e">
        <f t="shared" ca="1" si="84"/>
        <v>#N/A</v>
      </c>
      <c r="E160" s="406" t="e">
        <f t="shared" ca="1" si="84"/>
        <v>#N/A</v>
      </c>
      <c r="F160" s="406" t="e">
        <f t="shared" ca="1" si="84"/>
        <v>#N/A</v>
      </c>
      <c r="G160" s="406" t="e">
        <f t="shared" ca="1" si="84"/>
        <v>#N/A</v>
      </c>
      <c r="H160" s="406" t="e">
        <f t="shared" ca="1" si="84"/>
        <v>#N/A</v>
      </c>
      <c r="I160" s="406" t="e">
        <f t="shared" ca="1" si="84"/>
        <v>#N/A</v>
      </c>
      <c r="J160" s="406" t="e">
        <f t="shared" ca="1" si="84"/>
        <v>#N/A</v>
      </c>
      <c r="K160" s="406" t="e">
        <f t="shared" ca="1" si="84"/>
        <v>#N/A</v>
      </c>
      <c r="L160" s="406" t="e">
        <f t="shared" ca="1" si="84"/>
        <v>#N/A</v>
      </c>
      <c r="M160" s="406" t="e">
        <f t="shared" ca="1" si="84"/>
        <v>#N/A</v>
      </c>
      <c r="N160" s="406" t="e">
        <f t="shared" ca="1" si="85"/>
        <v>#N/A</v>
      </c>
      <c r="O160" s="406" t="e">
        <f t="shared" ca="1" si="85"/>
        <v>#N/A</v>
      </c>
      <c r="P160" s="406" t="e">
        <f t="shared" ca="1" si="85"/>
        <v>#N/A</v>
      </c>
      <c r="Q160" s="406" t="e">
        <f t="shared" ca="1" si="85"/>
        <v>#N/A</v>
      </c>
      <c r="R160" s="406" t="e">
        <f t="shared" ca="1" si="85"/>
        <v>#N/A</v>
      </c>
      <c r="S160" s="406" t="e">
        <f t="shared" ca="1" si="85"/>
        <v>#N/A</v>
      </c>
      <c r="T160" s="406" t="e">
        <f t="shared" ca="1" si="85"/>
        <v>#N/A</v>
      </c>
      <c r="U160" s="406" t="e">
        <f t="shared" ca="1" si="85"/>
        <v>#N/A</v>
      </c>
      <c r="V160" s="406" t="e">
        <f t="shared" ca="1" si="85"/>
        <v>#N/A</v>
      </c>
      <c r="W160" s="406" t="e">
        <f t="shared" ca="1" si="85"/>
        <v>#N/A</v>
      </c>
      <c r="X160" s="406" t="e">
        <f t="shared" ca="1" si="86"/>
        <v>#N/A</v>
      </c>
      <c r="Y160" s="406" t="e">
        <f t="shared" ca="1" si="86"/>
        <v>#N/A</v>
      </c>
      <c r="Z160" s="406" t="e">
        <f t="shared" ca="1" si="86"/>
        <v>#N/A</v>
      </c>
      <c r="AA160" s="406" t="e">
        <f t="shared" ca="1" si="86"/>
        <v>#N/A</v>
      </c>
      <c r="AB160" s="406" t="e">
        <f t="shared" ca="1" si="86"/>
        <v>#N/A</v>
      </c>
      <c r="AC160" s="406" t="e">
        <f t="shared" ca="1" si="86"/>
        <v>#N/A</v>
      </c>
      <c r="AD160" s="406" t="e">
        <f t="shared" ca="1" si="86"/>
        <v>#N/A</v>
      </c>
      <c r="AE160" s="406" t="e">
        <f t="shared" ca="1" si="86"/>
        <v>#N/A</v>
      </c>
      <c r="AF160" s="406" t="e">
        <f t="shared" ca="1" si="86"/>
        <v>#N/A</v>
      </c>
      <c r="AG160" s="406" t="e">
        <f t="shared" ca="1" si="86"/>
        <v>#N/A</v>
      </c>
      <c r="AH160" s="406" t="e">
        <f t="shared" ca="1" si="87"/>
        <v>#N/A</v>
      </c>
      <c r="AI160" s="406" t="e">
        <f t="shared" ca="1" si="87"/>
        <v>#N/A</v>
      </c>
      <c r="AJ160" s="406" t="e">
        <f t="shared" ca="1" si="87"/>
        <v>#N/A</v>
      </c>
      <c r="AK160" s="406" t="e">
        <f t="shared" ca="1" si="87"/>
        <v>#N/A</v>
      </c>
      <c r="AL160" s="406" t="e">
        <f t="shared" ca="1" si="87"/>
        <v>#N/A</v>
      </c>
      <c r="AM160" s="406" t="e">
        <f t="shared" ca="1" si="87"/>
        <v>#N/A</v>
      </c>
      <c r="AN160" s="406" t="e">
        <f t="shared" ca="1" si="87"/>
        <v>#N/A</v>
      </c>
      <c r="AO160" s="406" t="e">
        <f t="shared" ca="1" si="87"/>
        <v>#N/A</v>
      </c>
      <c r="AP160" s="406" t="e">
        <f t="shared" ca="1" si="87"/>
        <v>#N/A</v>
      </c>
      <c r="AQ160" s="406" t="e">
        <f t="shared" ca="1" si="87"/>
        <v>#N/A</v>
      </c>
      <c r="AR160" s="406" t="e">
        <f t="shared" ca="1" si="88"/>
        <v>#N/A</v>
      </c>
      <c r="AS160" s="406" t="e">
        <f t="shared" ca="1" si="88"/>
        <v>#N/A</v>
      </c>
      <c r="AT160" s="406" t="e">
        <f t="shared" ca="1" si="88"/>
        <v>#N/A</v>
      </c>
      <c r="AU160" s="406" t="e">
        <f t="shared" ca="1" si="88"/>
        <v>#N/A</v>
      </c>
      <c r="AV160" s="406" t="e">
        <f t="shared" ca="1" si="88"/>
        <v>#N/A</v>
      </c>
      <c r="AW160" s="406" t="e">
        <f t="shared" ca="1" si="88"/>
        <v>#N/A</v>
      </c>
      <c r="AX160" s="406" t="e">
        <f t="shared" ca="1" si="88"/>
        <v>#N/A</v>
      </c>
      <c r="AY160" s="406" t="e">
        <f t="shared" ca="1" si="88"/>
        <v>#N/A</v>
      </c>
      <c r="AZ160" s="406" t="e">
        <f t="shared" ca="1" si="88"/>
        <v>#N/A</v>
      </c>
      <c r="BA160" s="406" t="e">
        <f t="shared" ca="1" si="88"/>
        <v>#N/A</v>
      </c>
      <c r="BB160" s="412" t="s">
        <v>1231</v>
      </c>
      <c r="BC160" s="407" t="str">
        <f t="shared" ca="1" si="72"/>
        <v/>
      </c>
      <c r="BD160" s="410"/>
      <c r="BE160" s="410"/>
    </row>
    <row r="161" spans="3:57" x14ac:dyDescent="0.25">
      <c r="C161" s="406">
        <f t="shared" si="73"/>
        <v>159</v>
      </c>
      <c r="D161" s="406" t="e">
        <f t="shared" ca="1" si="84"/>
        <v>#N/A</v>
      </c>
      <c r="E161" s="406" t="e">
        <f t="shared" ca="1" si="84"/>
        <v>#N/A</v>
      </c>
      <c r="F161" s="406" t="e">
        <f t="shared" ca="1" si="84"/>
        <v>#N/A</v>
      </c>
      <c r="G161" s="406" t="e">
        <f t="shared" ca="1" si="84"/>
        <v>#N/A</v>
      </c>
      <c r="H161" s="406" t="e">
        <f t="shared" ca="1" si="84"/>
        <v>#N/A</v>
      </c>
      <c r="I161" s="406" t="e">
        <f t="shared" ca="1" si="84"/>
        <v>#N/A</v>
      </c>
      <c r="J161" s="406" t="e">
        <f t="shared" ca="1" si="84"/>
        <v>#N/A</v>
      </c>
      <c r="K161" s="406" t="e">
        <f t="shared" ca="1" si="84"/>
        <v>#N/A</v>
      </c>
      <c r="L161" s="406" t="e">
        <f t="shared" ca="1" si="84"/>
        <v>#N/A</v>
      </c>
      <c r="M161" s="406" t="e">
        <f t="shared" ca="1" si="84"/>
        <v>#N/A</v>
      </c>
      <c r="N161" s="406" t="e">
        <f t="shared" ca="1" si="85"/>
        <v>#N/A</v>
      </c>
      <c r="O161" s="406" t="e">
        <f t="shared" ca="1" si="85"/>
        <v>#N/A</v>
      </c>
      <c r="P161" s="406" t="e">
        <f t="shared" ca="1" si="85"/>
        <v>#N/A</v>
      </c>
      <c r="Q161" s="406" t="e">
        <f t="shared" ca="1" si="85"/>
        <v>#N/A</v>
      </c>
      <c r="R161" s="406" t="e">
        <f t="shared" ca="1" si="85"/>
        <v>#N/A</v>
      </c>
      <c r="S161" s="406" t="e">
        <f t="shared" ca="1" si="85"/>
        <v>#N/A</v>
      </c>
      <c r="T161" s="406" t="e">
        <f t="shared" ca="1" si="85"/>
        <v>#N/A</v>
      </c>
      <c r="U161" s="406" t="e">
        <f t="shared" ca="1" si="85"/>
        <v>#N/A</v>
      </c>
      <c r="V161" s="406" t="e">
        <f t="shared" ca="1" si="85"/>
        <v>#N/A</v>
      </c>
      <c r="W161" s="406" t="e">
        <f t="shared" ca="1" si="85"/>
        <v>#N/A</v>
      </c>
      <c r="X161" s="406" t="e">
        <f t="shared" ca="1" si="86"/>
        <v>#N/A</v>
      </c>
      <c r="Y161" s="406" t="e">
        <f t="shared" ca="1" si="86"/>
        <v>#N/A</v>
      </c>
      <c r="Z161" s="406" t="e">
        <f t="shared" ca="1" si="86"/>
        <v>#N/A</v>
      </c>
      <c r="AA161" s="406" t="e">
        <f t="shared" ca="1" si="86"/>
        <v>#N/A</v>
      </c>
      <c r="AB161" s="406" t="e">
        <f t="shared" ca="1" si="86"/>
        <v>#N/A</v>
      </c>
      <c r="AC161" s="406" t="e">
        <f t="shared" ca="1" si="86"/>
        <v>#N/A</v>
      </c>
      <c r="AD161" s="406" t="e">
        <f t="shared" ca="1" si="86"/>
        <v>#N/A</v>
      </c>
      <c r="AE161" s="406" t="e">
        <f t="shared" ca="1" si="86"/>
        <v>#N/A</v>
      </c>
      <c r="AF161" s="406" t="e">
        <f t="shared" ca="1" si="86"/>
        <v>#N/A</v>
      </c>
      <c r="AG161" s="406" t="e">
        <f t="shared" ca="1" si="86"/>
        <v>#N/A</v>
      </c>
      <c r="AH161" s="406" t="e">
        <f t="shared" ca="1" si="87"/>
        <v>#N/A</v>
      </c>
      <c r="AI161" s="406" t="e">
        <f t="shared" ca="1" si="87"/>
        <v>#N/A</v>
      </c>
      <c r="AJ161" s="406" t="e">
        <f t="shared" ca="1" si="87"/>
        <v>#N/A</v>
      </c>
      <c r="AK161" s="406" t="e">
        <f t="shared" ca="1" si="87"/>
        <v>#N/A</v>
      </c>
      <c r="AL161" s="406" t="e">
        <f t="shared" ca="1" si="87"/>
        <v>#N/A</v>
      </c>
      <c r="AM161" s="406" t="e">
        <f t="shared" ca="1" si="87"/>
        <v>#N/A</v>
      </c>
      <c r="AN161" s="406" t="e">
        <f t="shared" ca="1" si="87"/>
        <v>#N/A</v>
      </c>
      <c r="AO161" s="406" t="e">
        <f t="shared" ca="1" si="87"/>
        <v>#N/A</v>
      </c>
      <c r="AP161" s="406" t="e">
        <f t="shared" ca="1" si="87"/>
        <v>#N/A</v>
      </c>
      <c r="AQ161" s="406" t="e">
        <f t="shared" ca="1" si="87"/>
        <v>#N/A</v>
      </c>
      <c r="AR161" s="406" t="e">
        <f t="shared" ca="1" si="88"/>
        <v>#N/A</v>
      </c>
      <c r="AS161" s="406" t="e">
        <f t="shared" ca="1" si="88"/>
        <v>#N/A</v>
      </c>
      <c r="AT161" s="406" t="e">
        <f t="shared" ca="1" si="88"/>
        <v>#N/A</v>
      </c>
      <c r="AU161" s="406" t="e">
        <f t="shared" ca="1" si="88"/>
        <v>#N/A</v>
      </c>
      <c r="AV161" s="406" t="e">
        <f t="shared" ca="1" si="88"/>
        <v>#N/A</v>
      </c>
      <c r="AW161" s="406" t="e">
        <f t="shared" ca="1" si="88"/>
        <v>#N/A</v>
      </c>
      <c r="AX161" s="406" t="e">
        <f t="shared" ca="1" si="88"/>
        <v>#N/A</v>
      </c>
      <c r="AY161" s="406" t="e">
        <f t="shared" ca="1" si="88"/>
        <v>#N/A</v>
      </c>
      <c r="AZ161" s="406" t="e">
        <f t="shared" ca="1" si="88"/>
        <v>#N/A</v>
      </c>
      <c r="BA161" s="406" t="e">
        <f t="shared" ca="1" si="88"/>
        <v>#N/A</v>
      </c>
      <c r="BB161" s="412" t="s">
        <v>1232</v>
      </c>
      <c r="BC161" s="407" t="str">
        <f t="shared" ca="1" si="72"/>
        <v/>
      </c>
      <c r="BD161" s="410"/>
      <c r="BE161" s="410"/>
    </row>
    <row r="162" spans="3:57" x14ac:dyDescent="0.25">
      <c r="C162" s="406">
        <f t="shared" si="73"/>
        <v>160</v>
      </c>
      <c r="D162" s="406" t="e">
        <f t="shared" ref="D162:M171" ca="1" si="89">TRIM(INDIRECT("'" &amp; "TNX RTF" &amp; "'!" &amp; ADDRESS($A$3+$C162,D$1)))</f>
        <v>#N/A</v>
      </c>
      <c r="E162" s="406" t="e">
        <f t="shared" ca="1" si="89"/>
        <v>#N/A</v>
      </c>
      <c r="F162" s="406" t="e">
        <f t="shared" ca="1" si="89"/>
        <v>#N/A</v>
      </c>
      <c r="G162" s="406" t="e">
        <f t="shared" ca="1" si="89"/>
        <v>#N/A</v>
      </c>
      <c r="H162" s="406" t="e">
        <f t="shared" ca="1" si="89"/>
        <v>#N/A</v>
      </c>
      <c r="I162" s="406" t="e">
        <f t="shared" ca="1" si="89"/>
        <v>#N/A</v>
      </c>
      <c r="J162" s="406" t="e">
        <f t="shared" ca="1" si="89"/>
        <v>#N/A</v>
      </c>
      <c r="K162" s="406" t="e">
        <f t="shared" ca="1" si="89"/>
        <v>#N/A</v>
      </c>
      <c r="L162" s="406" t="e">
        <f t="shared" ca="1" si="89"/>
        <v>#N/A</v>
      </c>
      <c r="M162" s="406" t="e">
        <f t="shared" ca="1" si="89"/>
        <v>#N/A</v>
      </c>
      <c r="N162" s="406" t="e">
        <f t="shared" ref="N162:W171" ca="1" si="90">TRIM(INDIRECT("'" &amp; "TNX RTF" &amp; "'!" &amp; ADDRESS($A$3+$C162,N$1)))</f>
        <v>#N/A</v>
      </c>
      <c r="O162" s="406" t="e">
        <f t="shared" ca="1" si="90"/>
        <v>#N/A</v>
      </c>
      <c r="P162" s="406" t="e">
        <f t="shared" ca="1" si="90"/>
        <v>#N/A</v>
      </c>
      <c r="Q162" s="406" t="e">
        <f t="shared" ca="1" si="90"/>
        <v>#N/A</v>
      </c>
      <c r="R162" s="406" t="e">
        <f t="shared" ca="1" si="90"/>
        <v>#N/A</v>
      </c>
      <c r="S162" s="406" t="e">
        <f t="shared" ca="1" si="90"/>
        <v>#N/A</v>
      </c>
      <c r="T162" s="406" t="e">
        <f t="shared" ca="1" si="90"/>
        <v>#N/A</v>
      </c>
      <c r="U162" s="406" t="e">
        <f t="shared" ca="1" si="90"/>
        <v>#N/A</v>
      </c>
      <c r="V162" s="406" t="e">
        <f t="shared" ca="1" si="90"/>
        <v>#N/A</v>
      </c>
      <c r="W162" s="406" t="e">
        <f t="shared" ca="1" si="90"/>
        <v>#N/A</v>
      </c>
      <c r="X162" s="406" t="e">
        <f t="shared" ref="X162:AG171" ca="1" si="91">TRIM(INDIRECT("'" &amp; "TNX RTF" &amp; "'!" &amp; ADDRESS($A$3+$C162,X$1)))</f>
        <v>#N/A</v>
      </c>
      <c r="Y162" s="406" t="e">
        <f t="shared" ca="1" si="91"/>
        <v>#N/A</v>
      </c>
      <c r="Z162" s="406" t="e">
        <f t="shared" ca="1" si="91"/>
        <v>#N/A</v>
      </c>
      <c r="AA162" s="406" t="e">
        <f t="shared" ca="1" si="91"/>
        <v>#N/A</v>
      </c>
      <c r="AB162" s="406" t="e">
        <f t="shared" ca="1" si="91"/>
        <v>#N/A</v>
      </c>
      <c r="AC162" s="406" t="e">
        <f t="shared" ca="1" si="91"/>
        <v>#N/A</v>
      </c>
      <c r="AD162" s="406" t="e">
        <f t="shared" ca="1" si="91"/>
        <v>#N/A</v>
      </c>
      <c r="AE162" s="406" t="e">
        <f t="shared" ca="1" si="91"/>
        <v>#N/A</v>
      </c>
      <c r="AF162" s="406" t="e">
        <f t="shared" ca="1" si="91"/>
        <v>#N/A</v>
      </c>
      <c r="AG162" s="406" t="e">
        <f t="shared" ca="1" si="91"/>
        <v>#N/A</v>
      </c>
      <c r="AH162" s="406" t="e">
        <f t="shared" ref="AH162:AQ171" ca="1" si="92">TRIM(INDIRECT("'" &amp; "TNX RTF" &amp; "'!" &amp; ADDRESS($A$3+$C162,AH$1)))</f>
        <v>#N/A</v>
      </c>
      <c r="AI162" s="406" t="e">
        <f t="shared" ca="1" si="92"/>
        <v>#N/A</v>
      </c>
      <c r="AJ162" s="406" t="e">
        <f t="shared" ca="1" si="92"/>
        <v>#N/A</v>
      </c>
      <c r="AK162" s="406" t="e">
        <f t="shared" ca="1" si="92"/>
        <v>#N/A</v>
      </c>
      <c r="AL162" s="406" t="e">
        <f t="shared" ca="1" si="92"/>
        <v>#N/A</v>
      </c>
      <c r="AM162" s="406" t="e">
        <f t="shared" ca="1" si="92"/>
        <v>#N/A</v>
      </c>
      <c r="AN162" s="406" t="e">
        <f t="shared" ca="1" si="92"/>
        <v>#N/A</v>
      </c>
      <c r="AO162" s="406" t="e">
        <f t="shared" ca="1" si="92"/>
        <v>#N/A</v>
      </c>
      <c r="AP162" s="406" t="e">
        <f t="shared" ca="1" si="92"/>
        <v>#N/A</v>
      </c>
      <c r="AQ162" s="406" t="e">
        <f t="shared" ca="1" si="92"/>
        <v>#N/A</v>
      </c>
      <c r="AR162" s="406" t="e">
        <f t="shared" ref="AR162:BA171" ca="1" si="93">TRIM(INDIRECT("'" &amp; "TNX RTF" &amp; "'!" &amp; ADDRESS($A$3+$C162,AR$1)))</f>
        <v>#N/A</v>
      </c>
      <c r="AS162" s="406" t="e">
        <f t="shared" ca="1" si="93"/>
        <v>#N/A</v>
      </c>
      <c r="AT162" s="406" t="e">
        <f t="shared" ca="1" si="93"/>
        <v>#N/A</v>
      </c>
      <c r="AU162" s="406" t="e">
        <f t="shared" ca="1" si="93"/>
        <v>#N/A</v>
      </c>
      <c r="AV162" s="406" t="e">
        <f t="shared" ca="1" si="93"/>
        <v>#N/A</v>
      </c>
      <c r="AW162" s="406" t="e">
        <f t="shared" ca="1" si="93"/>
        <v>#N/A</v>
      </c>
      <c r="AX162" s="406" t="e">
        <f t="shared" ca="1" si="93"/>
        <v>#N/A</v>
      </c>
      <c r="AY162" s="406" t="e">
        <f t="shared" ca="1" si="93"/>
        <v>#N/A</v>
      </c>
      <c r="AZ162" s="406" t="e">
        <f t="shared" ca="1" si="93"/>
        <v>#N/A</v>
      </c>
      <c r="BA162" s="406" t="e">
        <f t="shared" ca="1" si="93"/>
        <v>#N/A</v>
      </c>
      <c r="BB162" s="412" t="s">
        <v>1233</v>
      </c>
      <c r="BC162" s="407" t="str">
        <f t="shared" ca="1" si="72"/>
        <v/>
      </c>
      <c r="BD162" s="410"/>
      <c r="BE162" s="410"/>
    </row>
    <row r="163" spans="3:57" x14ac:dyDescent="0.25">
      <c r="C163" s="406">
        <f t="shared" si="73"/>
        <v>161</v>
      </c>
      <c r="D163" s="406" t="e">
        <f t="shared" ca="1" si="89"/>
        <v>#N/A</v>
      </c>
      <c r="E163" s="406" t="e">
        <f t="shared" ca="1" si="89"/>
        <v>#N/A</v>
      </c>
      <c r="F163" s="406" t="e">
        <f t="shared" ca="1" si="89"/>
        <v>#N/A</v>
      </c>
      <c r="G163" s="406" t="e">
        <f t="shared" ca="1" si="89"/>
        <v>#N/A</v>
      </c>
      <c r="H163" s="406" t="e">
        <f t="shared" ca="1" si="89"/>
        <v>#N/A</v>
      </c>
      <c r="I163" s="406" t="e">
        <f t="shared" ca="1" si="89"/>
        <v>#N/A</v>
      </c>
      <c r="J163" s="406" t="e">
        <f t="shared" ca="1" si="89"/>
        <v>#N/A</v>
      </c>
      <c r="K163" s="406" t="e">
        <f t="shared" ca="1" si="89"/>
        <v>#N/A</v>
      </c>
      <c r="L163" s="406" t="e">
        <f t="shared" ca="1" si="89"/>
        <v>#N/A</v>
      </c>
      <c r="M163" s="406" t="e">
        <f t="shared" ca="1" si="89"/>
        <v>#N/A</v>
      </c>
      <c r="N163" s="406" t="e">
        <f t="shared" ca="1" si="90"/>
        <v>#N/A</v>
      </c>
      <c r="O163" s="406" t="e">
        <f t="shared" ca="1" si="90"/>
        <v>#N/A</v>
      </c>
      <c r="P163" s="406" t="e">
        <f t="shared" ca="1" si="90"/>
        <v>#N/A</v>
      </c>
      <c r="Q163" s="406" t="e">
        <f t="shared" ca="1" si="90"/>
        <v>#N/A</v>
      </c>
      <c r="R163" s="406" t="e">
        <f t="shared" ca="1" si="90"/>
        <v>#N/A</v>
      </c>
      <c r="S163" s="406" t="e">
        <f t="shared" ca="1" si="90"/>
        <v>#N/A</v>
      </c>
      <c r="T163" s="406" t="e">
        <f t="shared" ca="1" si="90"/>
        <v>#N/A</v>
      </c>
      <c r="U163" s="406" t="e">
        <f t="shared" ca="1" si="90"/>
        <v>#N/A</v>
      </c>
      <c r="V163" s="406" t="e">
        <f t="shared" ca="1" si="90"/>
        <v>#N/A</v>
      </c>
      <c r="W163" s="406" t="e">
        <f t="shared" ca="1" si="90"/>
        <v>#N/A</v>
      </c>
      <c r="X163" s="406" t="e">
        <f t="shared" ca="1" si="91"/>
        <v>#N/A</v>
      </c>
      <c r="Y163" s="406" t="e">
        <f t="shared" ca="1" si="91"/>
        <v>#N/A</v>
      </c>
      <c r="Z163" s="406" t="e">
        <f t="shared" ca="1" si="91"/>
        <v>#N/A</v>
      </c>
      <c r="AA163" s="406" t="e">
        <f t="shared" ca="1" si="91"/>
        <v>#N/A</v>
      </c>
      <c r="AB163" s="406" t="e">
        <f t="shared" ca="1" si="91"/>
        <v>#N/A</v>
      </c>
      <c r="AC163" s="406" t="e">
        <f t="shared" ca="1" si="91"/>
        <v>#N/A</v>
      </c>
      <c r="AD163" s="406" t="e">
        <f t="shared" ca="1" si="91"/>
        <v>#N/A</v>
      </c>
      <c r="AE163" s="406" t="e">
        <f t="shared" ca="1" si="91"/>
        <v>#N/A</v>
      </c>
      <c r="AF163" s="406" t="e">
        <f t="shared" ca="1" si="91"/>
        <v>#N/A</v>
      </c>
      <c r="AG163" s="406" t="e">
        <f t="shared" ca="1" si="91"/>
        <v>#N/A</v>
      </c>
      <c r="AH163" s="406" t="e">
        <f t="shared" ca="1" si="92"/>
        <v>#N/A</v>
      </c>
      <c r="AI163" s="406" t="e">
        <f t="shared" ca="1" si="92"/>
        <v>#N/A</v>
      </c>
      <c r="AJ163" s="406" t="e">
        <f t="shared" ca="1" si="92"/>
        <v>#N/A</v>
      </c>
      <c r="AK163" s="406" t="e">
        <f t="shared" ca="1" si="92"/>
        <v>#N/A</v>
      </c>
      <c r="AL163" s="406" t="e">
        <f t="shared" ca="1" si="92"/>
        <v>#N/A</v>
      </c>
      <c r="AM163" s="406" t="e">
        <f t="shared" ca="1" si="92"/>
        <v>#N/A</v>
      </c>
      <c r="AN163" s="406" t="e">
        <f t="shared" ca="1" si="92"/>
        <v>#N/A</v>
      </c>
      <c r="AO163" s="406" t="e">
        <f t="shared" ca="1" si="92"/>
        <v>#N/A</v>
      </c>
      <c r="AP163" s="406" t="e">
        <f t="shared" ca="1" si="92"/>
        <v>#N/A</v>
      </c>
      <c r="AQ163" s="406" t="e">
        <f t="shared" ca="1" si="92"/>
        <v>#N/A</v>
      </c>
      <c r="AR163" s="406" t="e">
        <f t="shared" ca="1" si="93"/>
        <v>#N/A</v>
      </c>
      <c r="AS163" s="406" t="e">
        <f t="shared" ca="1" si="93"/>
        <v>#N/A</v>
      </c>
      <c r="AT163" s="406" t="e">
        <f t="shared" ca="1" si="93"/>
        <v>#N/A</v>
      </c>
      <c r="AU163" s="406" t="e">
        <f t="shared" ca="1" si="93"/>
        <v>#N/A</v>
      </c>
      <c r="AV163" s="406" t="e">
        <f t="shared" ca="1" si="93"/>
        <v>#N/A</v>
      </c>
      <c r="AW163" s="406" t="e">
        <f t="shared" ca="1" si="93"/>
        <v>#N/A</v>
      </c>
      <c r="AX163" s="406" t="e">
        <f t="shared" ca="1" si="93"/>
        <v>#N/A</v>
      </c>
      <c r="AY163" s="406" t="e">
        <f t="shared" ca="1" si="93"/>
        <v>#N/A</v>
      </c>
      <c r="AZ163" s="406" t="e">
        <f t="shared" ca="1" si="93"/>
        <v>#N/A</v>
      </c>
      <c r="BA163" s="406" t="e">
        <f t="shared" ca="1" si="93"/>
        <v>#N/A</v>
      </c>
      <c r="BB163" s="412" t="s">
        <v>1234</v>
      </c>
      <c r="BC163" s="407" t="str">
        <f t="shared" ca="1" si="72"/>
        <v/>
      </c>
      <c r="BD163" s="410"/>
      <c r="BE163" s="410"/>
    </row>
    <row r="164" spans="3:57" x14ac:dyDescent="0.25">
      <c r="C164" s="406">
        <f t="shared" si="73"/>
        <v>162</v>
      </c>
      <c r="D164" s="406" t="e">
        <f t="shared" ca="1" si="89"/>
        <v>#N/A</v>
      </c>
      <c r="E164" s="406" t="e">
        <f t="shared" ca="1" si="89"/>
        <v>#N/A</v>
      </c>
      <c r="F164" s="406" t="e">
        <f t="shared" ca="1" si="89"/>
        <v>#N/A</v>
      </c>
      <c r="G164" s="406" t="e">
        <f t="shared" ca="1" si="89"/>
        <v>#N/A</v>
      </c>
      <c r="H164" s="406" t="e">
        <f t="shared" ca="1" si="89"/>
        <v>#N/A</v>
      </c>
      <c r="I164" s="406" t="e">
        <f t="shared" ca="1" si="89"/>
        <v>#N/A</v>
      </c>
      <c r="J164" s="406" t="e">
        <f t="shared" ca="1" si="89"/>
        <v>#N/A</v>
      </c>
      <c r="K164" s="406" t="e">
        <f t="shared" ca="1" si="89"/>
        <v>#N/A</v>
      </c>
      <c r="L164" s="406" t="e">
        <f t="shared" ca="1" si="89"/>
        <v>#N/A</v>
      </c>
      <c r="M164" s="406" t="e">
        <f t="shared" ca="1" si="89"/>
        <v>#N/A</v>
      </c>
      <c r="N164" s="406" t="e">
        <f t="shared" ca="1" si="90"/>
        <v>#N/A</v>
      </c>
      <c r="O164" s="406" t="e">
        <f t="shared" ca="1" si="90"/>
        <v>#N/A</v>
      </c>
      <c r="P164" s="406" t="e">
        <f t="shared" ca="1" si="90"/>
        <v>#N/A</v>
      </c>
      <c r="Q164" s="406" t="e">
        <f t="shared" ca="1" si="90"/>
        <v>#N/A</v>
      </c>
      <c r="R164" s="406" t="e">
        <f t="shared" ca="1" si="90"/>
        <v>#N/A</v>
      </c>
      <c r="S164" s="406" t="e">
        <f t="shared" ca="1" si="90"/>
        <v>#N/A</v>
      </c>
      <c r="T164" s="406" t="e">
        <f t="shared" ca="1" si="90"/>
        <v>#N/A</v>
      </c>
      <c r="U164" s="406" t="e">
        <f t="shared" ca="1" si="90"/>
        <v>#N/A</v>
      </c>
      <c r="V164" s="406" t="e">
        <f t="shared" ca="1" si="90"/>
        <v>#N/A</v>
      </c>
      <c r="W164" s="406" t="e">
        <f t="shared" ca="1" si="90"/>
        <v>#N/A</v>
      </c>
      <c r="X164" s="406" t="e">
        <f t="shared" ca="1" si="91"/>
        <v>#N/A</v>
      </c>
      <c r="Y164" s="406" t="e">
        <f t="shared" ca="1" si="91"/>
        <v>#N/A</v>
      </c>
      <c r="Z164" s="406" t="e">
        <f t="shared" ca="1" si="91"/>
        <v>#N/A</v>
      </c>
      <c r="AA164" s="406" t="e">
        <f t="shared" ca="1" si="91"/>
        <v>#N/A</v>
      </c>
      <c r="AB164" s="406" t="e">
        <f t="shared" ca="1" si="91"/>
        <v>#N/A</v>
      </c>
      <c r="AC164" s="406" t="e">
        <f t="shared" ca="1" si="91"/>
        <v>#N/A</v>
      </c>
      <c r="AD164" s="406" t="e">
        <f t="shared" ca="1" si="91"/>
        <v>#N/A</v>
      </c>
      <c r="AE164" s="406" t="e">
        <f t="shared" ca="1" si="91"/>
        <v>#N/A</v>
      </c>
      <c r="AF164" s="406" t="e">
        <f t="shared" ca="1" si="91"/>
        <v>#N/A</v>
      </c>
      <c r="AG164" s="406" t="e">
        <f t="shared" ca="1" si="91"/>
        <v>#N/A</v>
      </c>
      <c r="AH164" s="406" t="e">
        <f t="shared" ca="1" si="92"/>
        <v>#N/A</v>
      </c>
      <c r="AI164" s="406" t="e">
        <f t="shared" ca="1" si="92"/>
        <v>#N/A</v>
      </c>
      <c r="AJ164" s="406" t="e">
        <f t="shared" ca="1" si="92"/>
        <v>#N/A</v>
      </c>
      <c r="AK164" s="406" t="e">
        <f t="shared" ca="1" si="92"/>
        <v>#N/A</v>
      </c>
      <c r="AL164" s="406" t="e">
        <f t="shared" ca="1" si="92"/>
        <v>#N/A</v>
      </c>
      <c r="AM164" s="406" t="e">
        <f t="shared" ca="1" si="92"/>
        <v>#N/A</v>
      </c>
      <c r="AN164" s="406" t="e">
        <f t="shared" ca="1" si="92"/>
        <v>#N/A</v>
      </c>
      <c r="AO164" s="406" t="e">
        <f t="shared" ca="1" si="92"/>
        <v>#N/A</v>
      </c>
      <c r="AP164" s="406" t="e">
        <f t="shared" ca="1" si="92"/>
        <v>#N/A</v>
      </c>
      <c r="AQ164" s="406" t="e">
        <f t="shared" ca="1" si="92"/>
        <v>#N/A</v>
      </c>
      <c r="AR164" s="406" t="e">
        <f t="shared" ca="1" si="93"/>
        <v>#N/A</v>
      </c>
      <c r="AS164" s="406" t="e">
        <f t="shared" ca="1" si="93"/>
        <v>#N/A</v>
      </c>
      <c r="AT164" s="406" t="e">
        <f t="shared" ca="1" si="93"/>
        <v>#N/A</v>
      </c>
      <c r="AU164" s="406" t="e">
        <f t="shared" ca="1" si="93"/>
        <v>#N/A</v>
      </c>
      <c r="AV164" s="406" t="e">
        <f t="shared" ca="1" si="93"/>
        <v>#N/A</v>
      </c>
      <c r="AW164" s="406" t="e">
        <f t="shared" ca="1" si="93"/>
        <v>#N/A</v>
      </c>
      <c r="AX164" s="406" t="e">
        <f t="shared" ca="1" si="93"/>
        <v>#N/A</v>
      </c>
      <c r="AY164" s="406" t="e">
        <f t="shared" ca="1" si="93"/>
        <v>#N/A</v>
      </c>
      <c r="AZ164" s="406" t="e">
        <f t="shared" ca="1" si="93"/>
        <v>#N/A</v>
      </c>
      <c r="BA164" s="406" t="e">
        <f t="shared" ca="1" si="93"/>
        <v>#N/A</v>
      </c>
      <c r="BB164" s="412" t="s">
        <v>1235</v>
      </c>
      <c r="BC164" s="407" t="str">
        <f t="shared" ca="1" si="72"/>
        <v/>
      </c>
      <c r="BD164" s="410"/>
      <c r="BE164" s="410"/>
    </row>
    <row r="165" spans="3:57" x14ac:dyDescent="0.25">
      <c r="C165" s="406">
        <f t="shared" si="73"/>
        <v>163</v>
      </c>
      <c r="D165" s="406" t="e">
        <f t="shared" ca="1" si="89"/>
        <v>#N/A</v>
      </c>
      <c r="E165" s="406" t="e">
        <f t="shared" ca="1" si="89"/>
        <v>#N/A</v>
      </c>
      <c r="F165" s="406" t="e">
        <f t="shared" ca="1" si="89"/>
        <v>#N/A</v>
      </c>
      <c r="G165" s="406" t="e">
        <f t="shared" ca="1" si="89"/>
        <v>#N/A</v>
      </c>
      <c r="H165" s="406" t="e">
        <f t="shared" ca="1" si="89"/>
        <v>#N/A</v>
      </c>
      <c r="I165" s="406" t="e">
        <f t="shared" ca="1" si="89"/>
        <v>#N/A</v>
      </c>
      <c r="J165" s="406" t="e">
        <f t="shared" ca="1" si="89"/>
        <v>#N/A</v>
      </c>
      <c r="K165" s="406" t="e">
        <f t="shared" ca="1" si="89"/>
        <v>#N/A</v>
      </c>
      <c r="L165" s="406" t="e">
        <f t="shared" ca="1" si="89"/>
        <v>#N/A</v>
      </c>
      <c r="M165" s="406" t="e">
        <f t="shared" ca="1" si="89"/>
        <v>#N/A</v>
      </c>
      <c r="N165" s="406" t="e">
        <f t="shared" ca="1" si="90"/>
        <v>#N/A</v>
      </c>
      <c r="O165" s="406" t="e">
        <f t="shared" ca="1" si="90"/>
        <v>#N/A</v>
      </c>
      <c r="P165" s="406" t="e">
        <f t="shared" ca="1" si="90"/>
        <v>#N/A</v>
      </c>
      <c r="Q165" s="406" t="e">
        <f t="shared" ca="1" si="90"/>
        <v>#N/A</v>
      </c>
      <c r="R165" s="406" t="e">
        <f t="shared" ca="1" si="90"/>
        <v>#N/A</v>
      </c>
      <c r="S165" s="406" t="e">
        <f t="shared" ca="1" si="90"/>
        <v>#N/A</v>
      </c>
      <c r="T165" s="406" t="e">
        <f t="shared" ca="1" si="90"/>
        <v>#N/A</v>
      </c>
      <c r="U165" s="406" t="e">
        <f t="shared" ca="1" si="90"/>
        <v>#N/A</v>
      </c>
      <c r="V165" s="406" t="e">
        <f t="shared" ca="1" si="90"/>
        <v>#N/A</v>
      </c>
      <c r="W165" s="406" t="e">
        <f t="shared" ca="1" si="90"/>
        <v>#N/A</v>
      </c>
      <c r="X165" s="406" t="e">
        <f t="shared" ca="1" si="91"/>
        <v>#N/A</v>
      </c>
      <c r="Y165" s="406" t="e">
        <f t="shared" ca="1" si="91"/>
        <v>#N/A</v>
      </c>
      <c r="Z165" s="406" t="e">
        <f t="shared" ca="1" si="91"/>
        <v>#N/A</v>
      </c>
      <c r="AA165" s="406" t="e">
        <f t="shared" ca="1" si="91"/>
        <v>#N/A</v>
      </c>
      <c r="AB165" s="406" t="e">
        <f t="shared" ca="1" si="91"/>
        <v>#N/A</v>
      </c>
      <c r="AC165" s="406" t="e">
        <f t="shared" ca="1" si="91"/>
        <v>#N/A</v>
      </c>
      <c r="AD165" s="406" t="e">
        <f t="shared" ca="1" si="91"/>
        <v>#N/A</v>
      </c>
      <c r="AE165" s="406" t="e">
        <f t="shared" ca="1" si="91"/>
        <v>#N/A</v>
      </c>
      <c r="AF165" s="406" t="e">
        <f t="shared" ca="1" si="91"/>
        <v>#N/A</v>
      </c>
      <c r="AG165" s="406" t="e">
        <f t="shared" ca="1" si="91"/>
        <v>#N/A</v>
      </c>
      <c r="AH165" s="406" t="e">
        <f t="shared" ca="1" si="92"/>
        <v>#N/A</v>
      </c>
      <c r="AI165" s="406" t="e">
        <f t="shared" ca="1" si="92"/>
        <v>#N/A</v>
      </c>
      <c r="AJ165" s="406" t="e">
        <f t="shared" ca="1" si="92"/>
        <v>#N/A</v>
      </c>
      <c r="AK165" s="406" t="e">
        <f t="shared" ca="1" si="92"/>
        <v>#N/A</v>
      </c>
      <c r="AL165" s="406" t="e">
        <f t="shared" ca="1" si="92"/>
        <v>#N/A</v>
      </c>
      <c r="AM165" s="406" t="e">
        <f t="shared" ca="1" si="92"/>
        <v>#N/A</v>
      </c>
      <c r="AN165" s="406" t="e">
        <f t="shared" ca="1" si="92"/>
        <v>#N/A</v>
      </c>
      <c r="AO165" s="406" t="e">
        <f t="shared" ca="1" si="92"/>
        <v>#N/A</v>
      </c>
      <c r="AP165" s="406" t="e">
        <f t="shared" ca="1" si="92"/>
        <v>#N/A</v>
      </c>
      <c r="AQ165" s="406" t="e">
        <f t="shared" ca="1" si="92"/>
        <v>#N/A</v>
      </c>
      <c r="AR165" s="406" t="e">
        <f t="shared" ca="1" si="93"/>
        <v>#N/A</v>
      </c>
      <c r="AS165" s="406" t="e">
        <f t="shared" ca="1" si="93"/>
        <v>#N/A</v>
      </c>
      <c r="AT165" s="406" t="e">
        <f t="shared" ca="1" si="93"/>
        <v>#N/A</v>
      </c>
      <c r="AU165" s="406" t="e">
        <f t="shared" ca="1" si="93"/>
        <v>#N/A</v>
      </c>
      <c r="AV165" s="406" t="e">
        <f t="shared" ca="1" si="93"/>
        <v>#N/A</v>
      </c>
      <c r="AW165" s="406" t="e">
        <f t="shared" ca="1" si="93"/>
        <v>#N/A</v>
      </c>
      <c r="AX165" s="406" t="e">
        <f t="shared" ca="1" si="93"/>
        <v>#N/A</v>
      </c>
      <c r="AY165" s="406" t="e">
        <f t="shared" ca="1" si="93"/>
        <v>#N/A</v>
      </c>
      <c r="AZ165" s="406" t="e">
        <f t="shared" ca="1" si="93"/>
        <v>#N/A</v>
      </c>
      <c r="BA165" s="406" t="e">
        <f t="shared" ca="1" si="93"/>
        <v>#N/A</v>
      </c>
      <c r="BB165" s="412" t="s">
        <v>1236</v>
      </c>
      <c r="BC165" s="407" t="str">
        <f t="shared" ca="1" si="72"/>
        <v/>
      </c>
      <c r="BD165" s="410"/>
      <c r="BE165" s="410"/>
    </row>
    <row r="166" spans="3:57" x14ac:dyDescent="0.25">
      <c r="C166" s="406">
        <f t="shared" si="73"/>
        <v>164</v>
      </c>
      <c r="D166" s="406" t="e">
        <f t="shared" ca="1" si="89"/>
        <v>#N/A</v>
      </c>
      <c r="E166" s="406" t="e">
        <f t="shared" ca="1" si="89"/>
        <v>#N/A</v>
      </c>
      <c r="F166" s="406" t="e">
        <f t="shared" ca="1" si="89"/>
        <v>#N/A</v>
      </c>
      <c r="G166" s="406" t="e">
        <f t="shared" ca="1" si="89"/>
        <v>#N/A</v>
      </c>
      <c r="H166" s="406" t="e">
        <f t="shared" ca="1" si="89"/>
        <v>#N/A</v>
      </c>
      <c r="I166" s="406" t="e">
        <f t="shared" ca="1" si="89"/>
        <v>#N/A</v>
      </c>
      <c r="J166" s="406" t="e">
        <f t="shared" ca="1" si="89"/>
        <v>#N/A</v>
      </c>
      <c r="K166" s="406" t="e">
        <f t="shared" ca="1" si="89"/>
        <v>#N/A</v>
      </c>
      <c r="L166" s="406" t="e">
        <f t="shared" ca="1" si="89"/>
        <v>#N/A</v>
      </c>
      <c r="M166" s="406" t="e">
        <f t="shared" ca="1" si="89"/>
        <v>#N/A</v>
      </c>
      <c r="N166" s="406" t="e">
        <f t="shared" ca="1" si="90"/>
        <v>#N/A</v>
      </c>
      <c r="O166" s="406" t="e">
        <f t="shared" ca="1" si="90"/>
        <v>#N/A</v>
      </c>
      <c r="P166" s="406" t="e">
        <f t="shared" ca="1" si="90"/>
        <v>#N/A</v>
      </c>
      <c r="Q166" s="406" t="e">
        <f t="shared" ca="1" si="90"/>
        <v>#N/A</v>
      </c>
      <c r="R166" s="406" t="e">
        <f t="shared" ca="1" si="90"/>
        <v>#N/A</v>
      </c>
      <c r="S166" s="406" t="e">
        <f t="shared" ca="1" si="90"/>
        <v>#N/A</v>
      </c>
      <c r="T166" s="406" t="e">
        <f t="shared" ca="1" si="90"/>
        <v>#N/A</v>
      </c>
      <c r="U166" s="406" t="e">
        <f t="shared" ca="1" si="90"/>
        <v>#N/A</v>
      </c>
      <c r="V166" s="406" t="e">
        <f t="shared" ca="1" si="90"/>
        <v>#N/A</v>
      </c>
      <c r="W166" s="406" t="e">
        <f t="shared" ca="1" si="90"/>
        <v>#N/A</v>
      </c>
      <c r="X166" s="406" t="e">
        <f t="shared" ca="1" si="91"/>
        <v>#N/A</v>
      </c>
      <c r="Y166" s="406" t="e">
        <f t="shared" ca="1" si="91"/>
        <v>#N/A</v>
      </c>
      <c r="Z166" s="406" t="e">
        <f t="shared" ca="1" si="91"/>
        <v>#N/A</v>
      </c>
      <c r="AA166" s="406" t="e">
        <f t="shared" ca="1" si="91"/>
        <v>#N/A</v>
      </c>
      <c r="AB166" s="406" t="e">
        <f t="shared" ca="1" si="91"/>
        <v>#N/A</v>
      </c>
      <c r="AC166" s="406" t="e">
        <f t="shared" ca="1" si="91"/>
        <v>#N/A</v>
      </c>
      <c r="AD166" s="406" t="e">
        <f t="shared" ca="1" si="91"/>
        <v>#N/A</v>
      </c>
      <c r="AE166" s="406" t="e">
        <f t="shared" ca="1" si="91"/>
        <v>#N/A</v>
      </c>
      <c r="AF166" s="406" t="e">
        <f t="shared" ca="1" si="91"/>
        <v>#N/A</v>
      </c>
      <c r="AG166" s="406" t="e">
        <f t="shared" ca="1" si="91"/>
        <v>#N/A</v>
      </c>
      <c r="AH166" s="406" t="e">
        <f t="shared" ca="1" si="92"/>
        <v>#N/A</v>
      </c>
      <c r="AI166" s="406" t="e">
        <f t="shared" ca="1" si="92"/>
        <v>#N/A</v>
      </c>
      <c r="AJ166" s="406" t="e">
        <f t="shared" ca="1" si="92"/>
        <v>#N/A</v>
      </c>
      <c r="AK166" s="406" t="e">
        <f t="shared" ca="1" si="92"/>
        <v>#N/A</v>
      </c>
      <c r="AL166" s="406" t="e">
        <f t="shared" ca="1" si="92"/>
        <v>#N/A</v>
      </c>
      <c r="AM166" s="406" t="e">
        <f t="shared" ca="1" si="92"/>
        <v>#N/A</v>
      </c>
      <c r="AN166" s="406" t="e">
        <f t="shared" ca="1" si="92"/>
        <v>#N/A</v>
      </c>
      <c r="AO166" s="406" t="e">
        <f t="shared" ca="1" si="92"/>
        <v>#N/A</v>
      </c>
      <c r="AP166" s="406" t="e">
        <f t="shared" ca="1" si="92"/>
        <v>#N/A</v>
      </c>
      <c r="AQ166" s="406" t="e">
        <f t="shared" ca="1" si="92"/>
        <v>#N/A</v>
      </c>
      <c r="AR166" s="406" t="e">
        <f t="shared" ca="1" si="93"/>
        <v>#N/A</v>
      </c>
      <c r="AS166" s="406" t="e">
        <f t="shared" ca="1" si="93"/>
        <v>#N/A</v>
      </c>
      <c r="AT166" s="406" t="e">
        <f t="shared" ca="1" si="93"/>
        <v>#N/A</v>
      </c>
      <c r="AU166" s="406" t="e">
        <f t="shared" ca="1" si="93"/>
        <v>#N/A</v>
      </c>
      <c r="AV166" s="406" t="e">
        <f t="shared" ca="1" si="93"/>
        <v>#N/A</v>
      </c>
      <c r="AW166" s="406" t="e">
        <f t="shared" ca="1" si="93"/>
        <v>#N/A</v>
      </c>
      <c r="AX166" s="406" t="e">
        <f t="shared" ca="1" si="93"/>
        <v>#N/A</v>
      </c>
      <c r="AY166" s="406" t="e">
        <f t="shared" ca="1" si="93"/>
        <v>#N/A</v>
      </c>
      <c r="AZ166" s="406" t="e">
        <f t="shared" ca="1" si="93"/>
        <v>#N/A</v>
      </c>
      <c r="BA166" s="406" t="e">
        <f t="shared" ca="1" si="93"/>
        <v>#N/A</v>
      </c>
      <c r="BB166" s="412" t="s">
        <v>1237</v>
      </c>
      <c r="BC166" s="407" t="str">
        <f t="shared" ca="1" si="72"/>
        <v/>
      </c>
      <c r="BD166" s="410"/>
      <c r="BE166" s="410"/>
    </row>
    <row r="167" spans="3:57" x14ac:dyDescent="0.25">
      <c r="C167" s="406">
        <f t="shared" si="73"/>
        <v>165</v>
      </c>
      <c r="D167" s="406" t="e">
        <f t="shared" ca="1" si="89"/>
        <v>#N/A</v>
      </c>
      <c r="E167" s="406" t="e">
        <f t="shared" ca="1" si="89"/>
        <v>#N/A</v>
      </c>
      <c r="F167" s="406" t="e">
        <f t="shared" ca="1" si="89"/>
        <v>#N/A</v>
      </c>
      <c r="G167" s="406" t="e">
        <f t="shared" ca="1" si="89"/>
        <v>#N/A</v>
      </c>
      <c r="H167" s="406" t="e">
        <f t="shared" ca="1" si="89"/>
        <v>#N/A</v>
      </c>
      <c r="I167" s="406" t="e">
        <f t="shared" ca="1" si="89"/>
        <v>#N/A</v>
      </c>
      <c r="J167" s="406" t="e">
        <f t="shared" ca="1" si="89"/>
        <v>#N/A</v>
      </c>
      <c r="K167" s="406" t="e">
        <f t="shared" ca="1" si="89"/>
        <v>#N/A</v>
      </c>
      <c r="L167" s="406" t="e">
        <f t="shared" ca="1" si="89"/>
        <v>#N/A</v>
      </c>
      <c r="M167" s="406" t="e">
        <f t="shared" ca="1" si="89"/>
        <v>#N/A</v>
      </c>
      <c r="N167" s="406" t="e">
        <f t="shared" ca="1" si="90"/>
        <v>#N/A</v>
      </c>
      <c r="O167" s="406" t="e">
        <f t="shared" ca="1" si="90"/>
        <v>#N/A</v>
      </c>
      <c r="P167" s="406" t="e">
        <f t="shared" ca="1" si="90"/>
        <v>#N/A</v>
      </c>
      <c r="Q167" s="406" t="e">
        <f t="shared" ca="1" si="90"/>
        <v>#N/A</v>
      </c>
      <c r="R167" s="406" t="e">
        <f t="shared" ca="1" si="90"/>
        <v>#N/A</v>
      </c>
      <c r="S167" s="406" t="e">
        <f t="shared" ca="1" si="90"/>
        <v>#N/A</v>
      </c>
      <c r="T167" s="406" t="e">
        <f t="shared" ca="1" si="90"/>
        <v>#N/A</v>
      </c>
      <c r="U167" s="406" t="e">
        <f t="shared" ca="1" si="90"/>
        <v>#N/A</v>
      </c>
      <c r="V167" s="406" t="e">
        <f t="shared" ca="1" si="90"/>
        <v>#N/A</v>
      </c>
      <c r="W167" s="406" t="e">
        <f t="shared" ca="1" si="90"/>
        <v>#N/A</v>
      </c>
      <c r="X167" s="406" t="e">
        <f t="shared" ca="1" si="91"/>
        <v>#N/A</v>
      </c>
      <c r="Y167" s="406" t="e">
        <f t="shared" ca="1" si="91"/>
        <v>#N/A</v>
      </c>
      <c r="Z167" s="406" t="e">
        <f t="shared" ca="1" si="91"/>
        <v>#N/A</v>
      </c>
      <c r="AA167" s="406" t="e">
        <f t="shared" ca="1" si="91"/>
        <v>#N/A</v>
      </c>
      <c r="AB167" s="406" t="e">
        <f t="shared" ca="1" si="91"/>
        <v>#N/A</v>
      </c>
      <c r="AC167" s="406" t="e">
        <f t="shared" ca="1" si="91"/>
        <v>#N/A</v>
      </c>
      <c r="AD167" s="406" t="e">
        <f t="shared" ca="1" si="91"/>
        <v>#N/A</v>
      </c>
      <c r="AE167" s="406" t="e">
        <f t="shared" ca="1" si="91"/>
        <v>#N/A</v>
      </c>
      <c r="AF167" s="406" t="e">
        <f t="shared" ca="1" si="91"/>
        <v>#N/A</v>
      </c>
      <c r="AG167" s="406" t="e">
        <f t="shared" ca="1" si="91"/>
        <v>#N/A</v>
      </c>
      <c r="AH167" s="406" t="e">
        <f t="shared" ca="1" si="92"/>
        <v>#N/A</v>
      </c>
      <c r="AI167" s="406" t="e">
        <f t="shared" ca="1" si="92"/>
        <v>#N/A</v>
      </c>
      <c r="AJ167" s="406" t="e">
        <f t="shared" ca="1" si="92"/>
        <v>#N/A</v>
      </c>
      <c r="AK167" s="406" t="e">
        <f t="shared" ca="1" si="92"/>
        <v>#N/A</v>
      </c>
      <c r="AL167" s="406" t="e">
        <f t="shared" ca="1" si="92"/>
        <v>#N/A</v>
      </c>
      <c r="AM167" s="406" t="e">
        <f t="shared" ca="1" si="92"/>
        <v>#N/A</v>
      </c>
      <c r="AN167" s="406" t="e">
        <f t="shared" ca="1" si="92"/>
        <v>#N/A</v>
      </c>
      <c r="AO167" s="406" t="e">
        <f t="shared" ca="1" si="92"/>
        <v>#N/A</v>
      </c>
      <c r="AP167" s="406" t="e">
        <f t="shared" ca="1" si="92"/>
        <v>#N/A</v>
      </c>
      <c r="AQ167" s="406" t="e">
        <f t="shared" ca="1" si="92"/>
        <v>#N/A</v>
      </c>
      <c r="AR167" s="406" t="e">
        <f t="shared" ca="1" si="93"/>
        <v>#N/A</v>
      </c>
      <c r="AS167" s="406" t="e">
        <f t="shared" ca="1" si="93"/>
        <v>#N/A</v>
      </c>
      <c r="AT167" s="406" t="e">
        <f t="shared" ca="1" si="93"/>
        <v>#N/A</v>
      </c>
      <c r="AU167" s="406" t="e">
        <f t="shared" ca="1" si="93"/>
        <v>#N/A</v>
      </c>
      <c r="AV167" s="406" t="e">
        <f t="shared" ca="1" si="93"/>
        <v>#N/A</v>
      </c>
      <c r="AW167" s="406" t="e">
        <f t="shared" ca="1" si="93"/>
        <v>#N/A</v>
      </c>
      <c r="AX167" s="406" t="e">
        <f t="shared" ca="1" si="93"/>
        <v>#N/A</v>
      </c>
      <c r="AY167" s="406" t="e">
        <f t="shared" ca="1" si="93"/>
        <v>#N/A</v>
      </c>
      <c r="AZ167" s="406" t="e">
        <f t="shared" ca="1" si="93"/>
        <v>#N/A</v>
      </c>
      <c r="BA167" s="406" t="e">
        <f t="shared" ca="1" si="93"/>
        <v>#N/A</v>
      </c>
      <c r="BB167" s="412" t="s">
        <v>1238</v>
      </c>
      <c r="BC167" s="407" t="str">
        <f t="shared" ca="1" si="72"/>
        <v/>
      </c>
      <c r="BD167" s="410"/>
      <c r="BE167" s="410"/>
    </row>
    <row r="168" spans="3:57" x14ac:dyDescent="0.25">
      <c r="C168" s="406">
        <f t="shared" si="73"/>
        <v>166</v>
      </c>
      <c r="D168" s="406" t="e">
        <f t="shared" ca="1" si="89"/>
        <v>#N/A</v>
      </c>
      <c r="E168" s="406" t="e">
        <f t="shared" ca="1" si="89"/>
        <v>#N/A</v>
      </c>
      <c r="F168" s="406" t="e">
        <f t="shared" ca="1" si="89"/>
        <v>#N/A</v>
      </c>
      <c r="G168" s="406" t="e">
        <f t="shared" ca="1" si="89"/>
        <v>#N/A</v>
      </c>
      <c r="H168" s="406" t="e">
        <f t="shared" ca="1" si="89"/>
        <v>#N/A</v>
      </c>
      <c r="I168" s="406" t="e">
        <f t="shared" ca="1" si="89"/>
        <v>#N/A</v>
      </c>
      <c r="J168" s="406" t="e">
        <f t="shared" ca="1" si="89"/>
        <v>#N/A</v>
      </c>
      <c r="K168" s="406" t="e">
        <f t="shared" ca="1" si="89"/>
        <v>#N/A</v>
      </c>
      <c r="L168" s="406" t="e">
        <f t="shared" ca="1" si="89"/>
        <v>#N/A</v>
      </c>
      <c r="M168" s="406" t="e">
        <f t="shared" ca="1" si="89"/>
        <v>#N/A</v>
      </c>
      <c r="N168" s="406" t="e">
        <f t="shared" ca="1" si="90"/>
        <v>#N/A</v>
      </c>
      <c r="O168" s="406" t="e">
        <f t="shared" ca="1" si="90"/>
        <v>#N/A</v>
      </c>
      <c r="P168" s="406" t="e">
        <f t="shared" ca="1" si="90"/>
        <v>#N/A</v>
      </c>
      <c r="Q168" s="406" t="e">
        <f t="shared" ca="1" si="90"/>
        <v>#N/A</v>
      </c>
      <c r="R168" s="406" t="e">
        <f t="shared" ca="1" si="90"/>
        <v>#N/A</v>
      </c>
      <c r="S168" s="406" t="e">
        <f t="shared" ca="1" si="90"/>
        <v>#N/A</v>
      </c>
      <c r="T168" s="406" t="e">
        <f t="shared" ca="1" si="90"/>
        <v>#N/A</v>
      </c>
      <c r="U168" s="406" t="e">
        <f t="shared" ca="1" si="90"/>
        <v>#N/A</v>
      </c>
      <c r="V168" s="406" t="e">
        <f t="shared" ca="1" si="90"/>
        <v>#N/A</v>
      </c>
      <c r="W168" s="406" t="e">
        <f t="shared" ca="1" si="90"/>
        <v>#N/A</v>
      </c>
      <c r="X168" s="406" t="e">
        <f t="shared" ca="1" si="91"/>
        <v>#N/A</v>
      </c>
      <c r="Y168" s="406" t="e">
        <f t="shared" ca="1" si="91"/>
        <v>#N/A</v>
      </c>
      <c r="Z168" s="406" t="e">
        <f t="shared" ca="1" si="91"/>
        <v>#N/A</v>
      </c>
      <c r="AA168" s="406" t="e">
        <f t="shared" ca="1" si="91"/>
        <v>#N/A</v>
      </c>
      <c r="AB168" s="406" t="e">
        <f t="shared" ca="1" si="91"/>
        <v>#N/A</v>
      </c>
      <c r="AC168" s="406" t="e">
        <f t="shared" ca="1" si="91"/>
        <v>#N/A</v>
      </c>
      <c r="AD168" s="406" t="e">
        <f t="shared" ca="1" si="91"/>
        <v>#N/A</v>
      </c>
      <c r="AE168" s="406" t="e">
        <f t="shared" ca="1" si="91"/>
        <v>#N/A</v>
      </c>
      <c r="AF168" s="406" t="e">
        <f t="shared" ca="1" si="91"/>
        <v>#N/A</v>
      </c>
      <c r="AG168" s="406" t="e">
        <f t="shared" ca="1" si="91"/>
        <v>#N/A</v>
      </c>
      <c r="AH168" s="406" t="e">
        <f t="shared" ca="1" si="92"/>
        <v>#N/A</v>
      </c>
      <c r="AI168" s="406" t="e">
        <f t="shared" ca="1" si="92"/>
        <v>#N/A</v>
      </c>
      <c r="AJ168" s="406" t="e">
        <f t="shared" ca="1" si="92"/>
        <v>#N/A</v>
      </c>
      <c r="AK168" s="406" t="e">
        <f t="shared" ca="1" si="92"/>
        <v>#N/A</v>
      </c>
      <c r="AL168" s="406" t="e">
        <f t="shared" ca="1" si="92"/>
        <v>#N/A</v>
      </c>
      <c r="AM168" s="406" t="e">
        <f t="shared" ca="1" si="92"/>
        <v>#N/A</v>
      </c>
      <c r="AN168" s="406" t="e">
        <f t="shared" ca="1" si="92"/>
        <v>#N/A</v>
      </c>
      <c r="AO168" s="406" t="e">
        <f t="shared" ca="1" si="92"/>
        <v>#N/A</v>
      </c>
      <c r="AP168" s="406" t="e">
        <f t="shared" ca="1" si="92"/>
        <v>#N/A</v>
      </c>
      <c r="AQ168" s="406" t="e">
        <f t="shared" ca="1" si="92"/>
        <v>#N/A</v>
      </c>
      <c r="AR168" s="406" t="e">
        <f t="shared" ca="1" si="93"/>
        <v>#N/A</v>
      </c>
      <c r="AS168" s="406" t="e">
        <f t="shared" ca="1" si="93"/>
        <v>#N/A</v>
      </c>
      <c r="AT168" s="406" t="e">
        <f t="shared" ca="1" si="93"/>
        <v>#N/A</v>
      </c>
      <c r="AU168" s="406" t="e">
        <f t="shared" ca="1" si="93"/>
        <v>#N/A</v>
      </c>
      <c r="AV168" s="406" t="e">
        <f t="shared" ca="1" si="93"/>
        <v>#N/A</v>
      </c>
      <c r="AW168" s="406" t="e">
        <f t="shared" ca="1" si="93"/>
        <v>#N/A</v>
      </c>
      <c r="AX168" s="406" t="e">
        <f t="shared" ca="1" si="93"/>
        <v>#N/A</v>
      </c>
      <c r="AY168" s="406" t="e">
        <f t="shared" ca="1" si="93"/>
        <v>#N/A</v>
      </c>
      <c r="AZ168" s="406" t="e">
        <f t="shared" ca="1" si="93"/>
        <v>#N/A</v>
      </c>
      <c r="BA168" s="406" t="e">
        <f t="shared" ca="1" si="93"/>
        <v>#N/A</v>
      </c>
      <c r="BB168" s="412" t="s">
        <v>1239</v>
      </c>
      <c r="BC168" s="407" t="str">
        <f t="shared" ca="1" si="72"/>
        <v/>
      </c>
      <c r="BD168" s="410"/>
      <c r="BE168" s="410"/>
    </row>
    <row r="169" spans="3:57" x14ac:dyDescent="0.25">
      <c r="C169" s="406">
        <f t="shared" si="73"/>
        <v>167</v>
      </c>
      <c r="D169" s="406" t="e">
        <f t="shared" ca="1" si="89"/>
        <v>#N/A</v>
      </c>
      <c r="E169" s="406" t="e">
        <f t="shared" ca="1" si="89"/>
        <v>#N/A</v>
      </c>
      <c r="F169" s="406" t="e">
        <f t="shared" ca="1" si="89"/>
        <v>#N/A</v>
      </c>
      <c r="G169" s="406" t="e">
        <f t="shared" ca="1" si="89"/>
        <v>#N/A</v>
      </c>
      <c r="H169" s="406" t="e">
        <f t="shared" ca="1" si="89"/>
        <v>#N/A</v>
      </c>
      <c r="I169" s="406" t="e">
        <f t="shared" ca="1" si="89"/>
        <v>#N/A</v>
      </c>
      <c r="J169" s="406" t="e">
        <f t="shared" ca="1" si="89"/>
        <v>#N/A</v>
      </c>
      <c r="K169" s="406" t="e">
        <f t="shared" ca="1" si="89"/>
        <v>#N/A</v>
      </c>
      <c r="L169" s="406" t="e">
        <f t="shared" ca="1" si="89"/>
        <v>#N/A</v>
      </c>
      <c r="M169" s="406" t="e">
        <f t="shared" ca="1" si="89"/>
        <v>#N/A</v>
      </c>
      <c r="N169" s="406" t="e">
        <f t="shared" ca="1" si="90"/>
        <v>#N/A</v>
      </c>
      <c r="O169" s="406" t="e">
        <f t="shared" ca="1" si="90"/>
        <v>#N/A</v>
      </c>
      <c r="P169" s="406" t="e">
        <f t="shared" ca="1" si="90"/>
        <v>#N/A</v>
      </c>
      <c r="Q169" s="406" t="e">
        <f t="shared" ca="1" si="90"/>
        <v>#N/A</v>
      </c>
      <c r="R169" s="406" t="e">
        <f t="shared" ca="1" si="90"/>
        <v>#N/A</v>
      </c>
      <c r="S169" s="406" t="e">
        <f t="shared" ca="1" si="90"/>
        <v>#N/A</v>
      </c>
      <c r="T169" s="406" t="e">
        <f t="shared" ca="1" si="90"/>
        <v>#N/A</v>
      </c>
      <c r="U169" s="406" t="e">
        <f t="shared" ca="1" si="90"/>
        <v>#N/A</v>
      </c>
      <c r="V169" s="406" t="e">
        <f t="shared" ca="1" si="90"/>
        <v>#N/A</v>
      </c>
      <c r="W169" s="406" t="e">
        <f t="shared" ca="1" si="90"/>
        <v>#N/A</v>
      </c>
      <c r="X169" s="406" t="e">
        <f t="shared" ca="1" si="91"/>
        <v>#N/A</v>
      </c>
      <c r="Y169" s="406" t="e">
        <f t="shared" ca="1" si="91"/>
        <v>#N/A</v>
      </c>
      <c r="Z169" s="406" t="e">
        <f t="shared" ca="1" si="91"/>
        <v>#N/A</v>
      </c>
      <c r="AA169" s="406" t="e">
        <f t="shared" ca="1" si="91"/>
        <v>#N/A</v>
      </c>
      <c r="AB169" s="406" t="e">
        <f t="shared" ca="1" si="91"/>
        <v>#N/A</v>
      </c>
      <c r="AC169" s="406" t="e">
        <f t="shared" ca="1" si="91"/>
        <v>#N/A</v>
      </c>
      <c r="AD169" s="406" t="e">
        <f t="shared" ca="1" si="91"/>
        <v>#N/A</v>
      </c>
      <c r="AE169" s="406" t="e">
        <f t="shared" ca="1" si="91"/>
        <v>#N/A</v>
      </c>
      <c r="AF169" s="406" t="e">
        <f t="shared" ca="1" si="91"/>
        <v>#N/A</v>
      </c>
      <c r="AG169" s="406" t="e">
        <f t="shared" ca="1" si="91"/>
        <v>#N/A</v>
      </c>
      <c r="AH169" s="406" t="e">
        <f t="shared" ca="1" si="92"/>
        <v>#N/A</v>
      </c>
      <c r="AI169" s="406" t="e">
        <f t="shared" ca="1" si="92"/>
        <v>#N/A</v>
      </c>
      <c r="AJ169" s="406" t="e">
        <f t="shared" ca="1" si="92"/>
        <v>#N/A</v>
      </c>
      <c r="AK169" s="406" t="e">
        <f t="shared" ca="1" si="92"/>
        <v>#N/A</v>
      </c>
      <c r="AL169" s="406" t="e">
        <f t="shared" ca="1" si="92"/>
        <v>#N/A</v>
      </c>
      <c r="AM169" s="406" t="e">
        <f t="shared" ca="1" si="92"/>
        <v>#N/A</v>
      </c>
      <c r="AN169" s="406" t="e">
        <f t="shared" ca="1" si="92"/>
        <v>#N/A</v>
      </c>
      <c r="AO169" s="406" t="e">
        <f t="shared" ca="1" si="92"/>
        <v>#N/A</v>
      </c>
      <c r="AP169" s="406" t="e">
        <f t="shared" ca="1" si="92"/>
        <v>#N/A</v>
      </c>
      <c r="AQ169" s="406" t="e">
        <f t="shared" ca="1" si="92"/>
        <v>#N/A</v>
      </c>
      <c r="AR169" s="406" t="e">
        <f t="shared" ca="1" si="93"/>
        <v>#N/A</v>
      </c>
      <c r="AS169" s="406" t="e">
        <f t="shared" ca="1" si="93"/>
        <v>#N/A</v>
      </c>
      <c r="AT169" s="406" t="e">
        <f t="shared" ca="1" si="93"/>
        <v>#N/A</v>
      </c>
      <c r="AU169" s="406" t="e">
        <f t="shared" ca="1" si="93"/>
        <v>#N/A</v>
      </c>
      <c r="AV169" s="406" t="e">
        <f t="shared" ca="1" si="93"/>
        <v>#N/A</v>
      </c>
      <c r="AW169" s="406" t="e">
        <f t="shared" ca="1" si="93"/>
        <v>#N/A</v>
      </c>
      <c r="AX169" s="406" t="e">
        <f t="shared" ca="1" si="93"/>
        <v>#N/A</v>
      </c>
      <c r="AY169" s="406" t="e">
        <f t="shared" ca="1" si="93"/>
        <v>#N/A</v>
      </c>
      <c r="AZ169" s="406" t="e">
        <f t="shared" ca="1" si="93"/>
        <v>#N/A</v>
      </c>
      <c r="BA169" s="406" t="e">
        <f t="shared" ca="1" si="93"/>
        <v>#N/A</v>
      </c>
      <c r="BB169" s="412" t="s">
        <v>1240</v>
      </c>
      <c r="BC169" s="407" t="str">
        <f t="shared" ca="1" si="72"/>
        <v/>
      </c>
      <c r="BD169" s="410"/>
      <c r="BE169" s="410"/>
    </row>
    <row r="170" spans="3:57" x14ac:dyDescent="0.25">
      <c r="C170" s="406">
        <f t="shared" si="73"/>
        <v>168</v>
      </c>
      <c r="D170" s="406" t="e">
        <f t="shared" ca="1" si="89"/>
        <v>#N/A</v>
      </c>
      <c r="E170" s="406" t="e">
        <f t="shared" ca="1" si="89"/>
        <v>#N/A</v>
      </c>
      <c r="F170" s="406" t="e">
        <f t="shared" ca="1" si="89"/>
        <v>#N/A</v>
      </c>
      <c r="G170" s="406" t="e">
        <f t="shared" ca="1" si="89"/>
        <v>#N/A</v>
      </c>
      <c r="H170" s="406" t="e">
        <f t="shared" ca="1" si="89"/>
        <v>#N/A</v>
      </c>
      <c r="I170" s="406" t="e">
        <f t="shared" ca="1" si="89"/>
        <v>#N/A</v>
      </c>
      <c r="J170" s="406" t="e">
        <f t="shared" ca="1" si="89"/>
        <v>#N/A</v>
      </c>
      <c r="K170" s="406" t="e">
        <f t="shared" ca="1" si="89"/>
        <v>#N/A</v>
      </c>
      <c r="L170" s="406" t="e">
        <f t="shared" ca="1" si="89"/>
        <v>#N/A</v>
      </c>
      <c r="M170" s="406" t="e">
        <f t="shared" ca="1" si="89"/>
        <v>#N/A</v>
      </c>
      <c r="N170" s="406" t="e">
        <f t="shared" ca="1" si="90"/>
        <v>#N/A</v>
      </c>
      <c r="O170" s="406" t="e">
        <f t="shared" ca="1" si="90"/>
        <v>#N/A</v>
      </c>
      <c r="P170" s="406" t="e">
        <f t="shared" ca="1" si="90"/>
        <v>#N/A</v>
      </c>
      <c r="Q170" s="406" t="e">
        <f t="shared" ca="1" si="90"/>
        <v>#N/A</v>
      </c>
      <c r="R170" s="406" t="e">
        <f t="shared" ca="1" si="90"/>
        <v>#N/A</v>
      </c>
      <c r="S170" s="406" t="e">
        <f t="shared" ca="1" si="90"/>
        <v>#N/A</v>
      </c>
      <c r="T170" s="406" t="e">
        <f t="shared" ca="1" si="90"/>
        <v>#N/A</v>
      </c>
      <c r="U170" s="406" t="e">
        <f t="shared" ca="1" si="90"/>
        <v>#N/A</v>
      </c>
      <c r="V170" s="406" t="e">
        <f t="shared" ca="1" si="90"/>
        <v>#N/A</v>
      </c>
      <c r="W170" s="406" t="e">
        <f t="shared" ca="1" si="90"/>
        <v>#N/A</v>
      </c>
      <c r="X170" s="406" t="e">
        <f t="shared" ca="1" si="91"/>
        <v>#N/A</v>
      </c>
      <c r="Y170" s="406" t="e">
        <f t="shared" ca="1" si="91"/>
        <v>#N/A</v>
      </c>
      <c r="Z170" s="406" t="e">
        <f t="shared" ca="1" si="91"/>
        <v>#N/A</v>
      </c>
      <c r="AA170" s="406" t="e">
        <f t="shared" ca="1" si="91"/>
        <v>#N/A</v>
      </c>
      <c r="AB170" s="406" t="e">
        <f t="shared" ca="1" si="91"/>
        <v>#N/A</v>
      </c>
      <c r="AC170" s="406" t="e">
        <f t="shared" ca="1" si="91"/>
        <v>#N/A</v>
      </c>
      <c r="AD170" s="406" t="e">
        <f t="shared" ca="1" si="91"/>
        <v>#N/A</v>
      </c>
      <c r="AE170" s="406" t="e">
        <f t="shared" ca="1" si="91"/>
        <v>#N/A</v>
      </c>
      <c r="AF170" s="406" t="e">
        <f t="shared" ca="1" si="91"/>
        <v>#N/A</v>
      </c>
      <c r="AG170" s="406" t="e">
        <f t="shared" ca="1" si="91"/>
        <v>#N/A</v>
      </c>
      <c r="AH170" s="406" t="e">
        <f t="shared" ca="1" si="92"/>
        <v>#N/A</v>
      </c>
      <c r="AI170" s="406" t="e">
        <f t="shared" ca="1" si="92"/>
        <v>#N/A</v>
      </c>
      <c r="AJ170" s="406" t="e">
        <f t="shared" ca="1" si="92"/>
        <v>#N/A</v>
      </c>
      <c r="AK170" s="406" t="e">
        <f t="shared" ca="1" si="92"/>
        <v>#N/A</v>
      </c>
      <c r="AL170" s="406" t="e">
        <f t="shared" ca="1" si="92"/>
        <v>#N/A</v>
      </c>
      <c r="AM170" s="406" t="e">
        <f t="shared" ca="1" si="92"/>
        <v>#N/A</v>
      </c>
      <c r="AN170" s="406" t="e">
        <f t="shared" ca="1" si="92"/>
        <v>#N/A</v>
      </c>
      <c r="AO170" s="406" t="e">
        <f t="shared" ca="1" si="92"/>
        <v>#N/A</v>
      </c>
      <c r="AP170" s="406" t="e">
        <f t="shared" ca="1" si="92"/>
        <v>#N/A</v>
      </c>
      <c r="AQ170" s="406" t="e">
        <f t="shared" ca="1" si="92"/>
        <v>#N/A</v>
      </c>
      <c r="AR170" s="406" t="e">
        <f t="shared" ca="1" si="93"/>
        <v>#N/A</v>
      </c>
      <c r="AS170" s="406" t="e">
        <f t="shared" ca="1" si="93"/>
        <v>#N/A</v>
      </c>
      <c r="AT170" s="406" t="e">
        <f t="shared" ca="1" si="93"/>
        <v>#N/A</v>
      </c>
      <c r="AU170" s="406" t="e">
        <f t="shared" ca="1" si="93"/>
        <v>#N/A</v>
      </c>
      <c r="AV170" s="406" t="e">
        <f t="shared" ca="1" si="93"/>
        <v>#N/A</v>
      </c>
      <c r="AW170" s="406" t="e">
        <f t="shared" ca="1" si="93"/>
        <v>#N/A</v>
      </c>
      <c r="AX170" s="406" t="e">
        <f t="shared" ca="1" si="93"/>
        <v>#N/A</v>
      </c>
      <c r="AY170" s="406" t="e">
        <f t="shared" ca="1" si="93"/>
        <v>#N/A</v>
      </c>
      <c r="AZ170" s="406" t="e">
        <f t="shared" ca="1" si="93"/>
        <v>#N/A</v>
      </c>
      <c r="BA170" s="406" t="e">
        <f t="shared" ca="1" si="93"/>
        <v>#N/A</v>
      </c>
      <c r="BB170" s="412" t="s">
        <v>1241</v>
      </c>
      <c r="BC170" s="407" t="str">
        <f t="shared" ca="1" si="72"/>
        <v/>
      </c>
      <c r="BD170" s="410"/>
      <c r="BE170" s="410"/>
    </row>
    <row r="171" spans="3:57" x14ac:dyDescent="0.25">
      <c r="C171" s="406">
        <f t="shared" si="73"/>
        <v>169</v>
      </c>
      <c r="D171" s="406" t="e">
        <f t="shared" ca="1" si="89"/>
        <v>#N/A</v>
      </c>
      <c r="E171" s="406" t="e">
        <f t="shared" ca="1" si="89"/>
        <v>#N/A</v>
      </c>
      <c r="F171" s="406" t="e">
        <f t="shared" ca="1" si="89"/>
        <v>#N/A</v>
      </c>
      <c r="G171" s="406" t="e">
        <f t="shared" ca="1" si="89"/>
        <v>#N/A</v>
      </c>
      <c r="H171" s="406" t="e">
        <f t="shared" ca="1" si="89"/>
        <v>#N/A</v>
      </c>
      <c r="I171" s="406" t="e">
        <f t="shared" ca="1" si="89"/>
        <v>#N/A</v>
      </c>
      <c r="J171" s="406" t="e">
        <f t="shared" ca="1" si="89"/>
        <v>#N/A</v>
      </c>
      <c r="K171" s="406" t="e">
        <f t="shared" ca="1" si="89"/>
        <v>#N/A</v>
      </c>
      <c r="L171" s="406" t="e">
        <f t="shared" ca="1" si="89"/>
        <v>#N/A</v>
      </c>
      <c r="M171" s="406" t="e">
        <f t="shared" ca="1" si="89"/>
        <v>#N/A</v>
      </c>
      <c r="N171" s="406" t="e">
        <f t="shared" ca="1" si="90"/>
        <v>#N/A</v>
      </c>
      <c r="O171" s="406" t="e">
        <f t="shared" ca="1" si="90"/>
        <v>#N/A</v>
      </c>
      <c r="P171" s="406" t="e">
        <f t="shared" ca="1" si="90"/>
        <v>#N/A</v>
      </c>
      <c r="Q171" s="406" t="e">
        <f t="shared" ca="1" si="90"/>
        <v>#N/A</v>
      </c>
      <c r="R171" s="406" t="e">
        <f t="shared" ca="1" si="90"/>
        <v>#N/A</v>
      </c>
      <c r="S171" s="406" t="e">
        <f t="shared" ca="1" si="90"/>
        <v>#N/A</v>
      </c>
      <c r="T171" s="406" t="e">
        <f t="shared" ca="1" si="90"/>
        <v>#N/A</v>
      </c>
      <c r="U171" s="406" t="e">
        <f t="shared" ca="1" si="90"/>
        <v>#N/A</v>
      </c>
      <c r="V171" s="406" t="e">
        <f t="shared" ca="1" si="90"/>
        <v>#N/A</v>
      </c>
      <c r="W171" s="406" t="e">
        <f t="shared" ca="1" si="90"/>
        <v>#N/A</v>
      </c>
      <c r="X171" s="406" t="e">
        <f t="shared" ca="1" si="91"/>
        <v>#N/A</v>
      </c>
      <c r="Y171" s="406" t="e">
        <f t="shared" ca="1" si="91"/>
        <v>#N/A</v>
      </c>
      <c r="Z171" s="406" t="e">
        <f t="shared" ca="1" si="91"/>
        <v>#N/A</v>
      </c>
      <c r="AA171" s="406" t="e">
        <f t="shared" ca="1" si="91"/>
        <v>#N/A</v>
      </c>
      <c r="AB171" s="406" t="e">
        <f t="shared" ca="1" si="91"/>
        <v>#N/A</v>
      </c>
      <c r="AC171" s="406" t="e">
        <f t="shared" ca="1" si="91"/>
        <v>#N/A</v>
      </c>
      <c r="AD171" s="406" t="e">
        <f t="shared" ca="1" si="91"/>
        <v>#N/A</v>
      </c>
      <c r="AE171" s="406" t="e">
        <f t="shared" ca="1" si="91"/>
        <v>#N/A</v>
      </c>
      <c r="AF171" s="406" t="e">
        <f t="shared" ca="1" si="91"/>
        <v>#N/A</v>
      </c>
      <c r="AG171" s="406" t="e">
        <f t="shared" ca="1" si="91"/>
        <v>#N/A</v>
      </c>
      <c r="AH171" s="406" t="e">
        <f t="shared" ca="1" si="92"/>
        <v>#N/A</v>
      </c>
      <c r="AI171" s="406" t="e">
        <f t="shared" ca="1" si="92"/>
        <v>#N/A</v>
      </c>
      <c r="AJ171" s="406" t="e">
        <f t="shared" ca="1" si="92"/>
        <v>#N/A</v>
      </c>
      <c r="AK171" s="406" t="e">
        <f t="shared" ca="1" si="92"/>
        <v>#N/A</v>
      </c>
      <c r="AL171" s="406" t="e">
        <f t="shared" ca="1" si="92"/>
        <v>#N/A</v>
      </c>
      <c r="AM171" s="406" t="e">
        <f t="shared" ca="1" si="92"/>
        <v>#N/A</v>
      </c>
      <c r="AN171" s="406" t="e">
        <f t="shared" ca="1" si="92"/>
        <v>#N/A</v>
      </c>
      <c r="AO171" s="406" t="e">
        <f t="shared" ca="1" si="92"/>
        <v>#N/A</v>
      </c>
      <c r="AP171" s="406" t="e">
        <f t="shared" ca="1" si="92"/>
        <v>#N/A</v>
      </c>
      <c r="AQ171" s="406" t="e">
        <f t="shared" ca="1" si="92"/>
        <v>#N/A</v>
      </c>
      <c r="AR171" s="406" t="e">
        <f t="shared" ca="1" si="93"/>
        <v>#N/A</v>
      </c>
      <c r="AS171" s="406" t="e">
        <f t="shared" ca="1" si="93"/>
        <v>#N/A</v>
      </c>
      <c r="AT171" s="406" t="e">
        <f t="shared" ca="1" si="93"/>
        <v>#N/A</v>
      </c>
      <c r="AU171" s="406" t="e">
        <f t="shared" ca="1" si="93"/>
        <v>#N/A</v>
      </c>
      <c r="AV171" s="406" t="e">
        <f t="shared" ca="1" si="93"/>
        <v>#N/A</v>
      </c>
      <c r="AW171" s="406" t="e">
        <f t="shared" ca="1" si="93"/>
        <v>#N/A</v>
      </c>
      <c r="AX171" s="406" t="e">
        <f t="shared" ca="1" si="93"/>
        <v>#N/A</v>
      </c>
      <c r="AY171" s="406" t="e">
        <f t="shared" ca="1" si="93"/>
        <v>#N/A</v>
      </c>
      <c r="AZ171" s="406" t="e">
        <f t="shared" ca="1" si="93"/>
        <v>#N/A</v>
      </c>
      <c r="BA171" s="406" t="e">
        <f t="shared" ca="1" si="93"/>
        <v>#N/A</v>
      </c>
      <c r="BB171" s="412" t="s">
        <v>1242</v>
      </c>
      <c r="BC171" s="407" t="str">
        <f t="shared" ca="1" si="72"/>
        <v/>
      </c>
      <c r="BD171" s="410"/>
      <c r="BE171" s="410"/>
    </row>
    <row r="172" spans="3:57" x14ac:dyDescent="0.25">
      <c r="C172" s="406">
        <f t="shared" si="73"/>
        <v>170</v>
      </c>
      <c r="D172" s="406" t="e">
        <f t="shared" ref="D172:M181" ca="1" si="94">TRIM(INDIRECT("'" &amp; "TNX RTF" &amp; "'!" &amp; ADDRESS($A$3+$C172,D$1)))</f>
        <v>#N/A</v>
      </c>
      <c r="E172" s="406" t="e">
        <f t="shared" ca="1" si="94"/>
        <v>#N/A</v>
      </c>
      <c r="F172" s="406" t="e">
        <f t="shared" ca="1" si="94"/>
        <v>#N/A</v>
      </c>
      <c r="G172" s="406" t="e">
        <f t="shared" ca="1" si="94"/>
        <v>#N/A</v>
      </c>
      <c r="H172" s="406" t="e">
        <f t="shared" ca="1" si="94"/>
        <v>#N/A</v>
      </c>
      <c r="I172" s="406" t="e">
        <f t="shared" ca="1" si="94"/>
        <v>#N/A</v>
      </c>
      <c r="J172" s="406" t="e">
        <f t="shared" ca="1" si="94"/>
        <v>#N/A</v>
      </c>
      <c r="K172" s="406" t="e">
        <f t="shared" ca="1" si="94"/>
        <v>#N/A</v>
      </c>
      <c r="L172" s="406" t="e">
        <f t="shared" ca="1" si="94"/>
        <v>#N/A</v>
      </c>
      <c r="M172" s="406" t="e">
        <f t="shared" ca="1" si="94"/>
        <v>#N/A</v>
      </c>
      <c r="N172" s="406" t="e">
        <f t="shared" ref="N172:W181" ca="1" si="95">TRIM(INDIRECT("'" &amp; "TNX RTF" &amp; "'!" &amp; ADDRESS($A$3+$C172,N$1)))</f>
        <v>#N/A</v>
      </c>
      <c r="O172" s="406" t="e">
        <f t="shared" ca="1" si="95"/>
        <v>#N/A</v>
      </c>
      <c r="P172" s="406" t="e">
        <f t="shared" ca="1" si="95"/>
        <v>#N/A</v>
      </c>
      <c r="Q172" s="406" t="e">
        <f t="shared" ca="1" si="95"/>
        <v>#N/A</v>
      </c>
      <c r="R172" s="406" t="e">
        <f t="shared" ca="1" si="95"/>
        <v>#N/A</v>
      </c>
      <c r="S172" s="406" t="e">
        <f t="shared" ca="1" si="95"/>
        <v>#N/A</v>
      </c>
      <c r="T172" s="406" t="e">
        <f t="shared" ca="1" si="95"/>
        <v>#N/A</v>
      </c>
      <c r="U172" s="406" t="e">
        <f t="shared" ca="1" si="95"/>
        <v>#N/A</v>
      </c>
      <c r="V172" s="406" t="e">
        <f t="shared" ca="1" si="95"/>
        <v>#N/A</v>
      </c>
      <c r="W172" s="406" t="e">
        <f t="shared" ca="1" si="95"/>
        <v>#N/A</v>
      </c>
      <c r="X172" s="406" t="e">
        <f t="shared" ref="X172:AG181" ca="1" si="96">TRIM(INDIRECT("'" &amp; "TNX RTF" &amp; "'!" &amp; ADDRESS($A$3+$C172,X$1)))</f>
        <v>#N/A</v>
      </c>
      <c r="Y172" s="406" t="e">
        <f t="shared" ca="1" si="96"/>
        <v>#N/A</v>
      </c>
      <c r="Z172" s="406" t="e">
        <f t="shared" ca="1" si="96"/>
        <v>#N/A</v>
      </c>
      <c r="AA172" s="406" t="e">
        <f t="shared" ca="1" si="96"/>
        <v>#N/A</v>
      </c>
      <c r="AB172" s="406" t="e">
        <f t="shared" ca="1" si="96"/>
        <v>#N/A</v>
      </c>
      <c r="AC172" s="406" t="e">
        <f t="shared" ca="1" si="96"/>
        <v>#N/A</v>
      </c>
      <c r="AD172" s="406" t="e">
        <f t="shared" ca="1" si="96"/>
        <v>#N/A</v>
      </c>
      <c r="AE172" s="406" t="e">
        <f t="shared" ca="1" si="96"/>
        <v>#N/A</v>
      </c>
      <c r="AF172" s="406" t="e">
        <f t="shared" ca="1" si="96"/>
        <v>#N/A</v>
      </c>
      <c r="AG172" s="406" t="e">
        <f t="shared" ca="1" si="96"/>
        <v>#N/A</v>
      </c>
      <c r="AH172" s="406" t="e">
        <f t="shared" ref="AH172:AQ181" ca="1" si="97">TRIM(INDIRECT("'" &amp; "TNX RTF" &amp; "'!" &amp; ADDRESS($A$3+$C172,AH$1)))</f>
        <v>#N/A</v>
      </c>
      <c r="AI172" s="406" t="e">
        <f t="shared" ca="1" si="97"/>
        <v>#N/A</v>
      </c>
      <c r="AJ172" s="406" t="e">
        <f t="shared" ca="1" si="97"/>
        <v>#N/A</v>
      </c>
      <c r="AK172" s="406" t="e">
        <f t="shared" ca="1" si="97"/>
        <v>#N/A</v>
      </c>
      <c r="AL172" s="406" t="e">
        <f t="shared" ca="1" si="97"/>
        <v>#N/A</v>
      </c>
      <c r="AM172" s="406" t="e">
        <f t="shared" ca="1" si="97"/>
        <v>#N/A</v>
      </c>
      <c r="AN172" s="406" t="e">
        <f t="shared" ca="1" si="97"/>
        <v>#N/A</v>
      </c>
      <c r="AO172" s="406" t="e">
        <f t="shared" ca="1" si="97"/>
        <v>#N/A</v>
      </c>
      <c r="AP172" s="406" t="e">
        <f t="shared" ca="1" si="97"/>
        <v>#N/A</v>
      </c>
      <c r="AQ172" s="406" t="e">
        <f t="shared" ca="1" si="97"/>
        <v>#N/A</v>
      </c>
      <c r="AR172" s="406" t="e">
        <f t="shared" ref="AR172:BA181" ca="1" si="98">TRIM(INDIRECT("'" &amp; "TNX RTF" &amp; "'!" &amp; ADDRESS($A$3+$C172,AR$1)))</f>
        <v>#N/A</v>
      </c>
      <c r="AS172" s="406" t="e">
        <f t="shared" ca="1" si="98"/>
        <v>#N/A</v>
      </c>
      <c r="AT172" s="406" t="e">
        <f t="shared" ca="1" si="98"/>
        <v>#N/A</v>
      </c>
      <c r="AU172" s="406" t="e">
        <f t="shared" ca="1" si="98"/>
        <v>#N/A</v>
      </c>
      <c r="AV172" s="406" t="e">
        <f t="shared" ca="1" si="98"/>
        <v>#N/A</v>
      </c>
      <c r="AW172" s="406" t="e">
        <f t="shared" ca="1" si="98"/>
        <v>#N/A</v>
      </c>
      <c r="AX172" s="406" t="e">
        <f t="shared" ca="1" si="98"/>
        <v>#N/A</v>
      </c>
      <c r="AY172" s="406" t="e">
        <f t="shared" ca="1" si="98"/>
        <v>#N/A</v>
      </c>
      <c r="AZ172" s="406" t="e">
        <f t="shared" ca="1" si="98"/>
        <v>#N/A</v>
      </c>
      <c r="BA172" s="406" t="e">
        <f t="shared" ca="1" si="98"/>
        <v>#N/A</v>
      </c>
      <c r="BB172" s="412" t="s">
        <v>1243</v>
      </c>
      <c r="BC172" s="407" t="str">
        <f t="shared" ca="1" si="72"/>
        <v/>
      </c>
      <c r="BD172" s="410"/>
      <c r="BE172" s="410"/>
    </row>
    <row r="173" spans="3:57" x14ac:dyDescent="0.25">
      <c r="C173" s="406">
        <f t="shared" si="73"/>
        <v>171</v>
      </c>
      <c r="D173" s="406" t="e">
        <f t="shared" ca="1" si="94"/>
        <v>#N/A</v>
      </c>
      <c r="E173" s="406" t="e">
        <f t="shared" ca="1" si="94"/>
        <v>#N/A</v>
      </c>
      <c r="F173" s="406" t="e">
        <f t="shared" ca="1" si="94"/>
        <v>#N/A</v>
      </c>
      <c r="G173" s="406" t="e">
        <f t="shared" ca="1" si="94"/>
        <v>#N/A</v>
      </c>
      <c r="H173" s="406" t="e">
        <f t="shared" ca="1" si="94"/>
        <v>#N/A</v>
      </c>
      <c r="I173" s="406" t="e">
        <f t="shared" ca="1" si="94"/>
        <v>#N/A</v>
      </c>
      <c r="J173" s="406" t="e">
        <f t="shared" ca="1" si="94"/>
        <v>#N/A</v>
      </c>
      <c r="K173" s="406" t="e">
        <f t="shared" ca="1" si="94"/>
        <v>#N/A</v>
      </c>
      <c r="L173" s="406" t="e">
        <f t="shared" ca="1" si="94"/>
        <v>#N/A</v>
      </c>
      <c r="M173" s="406" t="e">
        <f t="shared" ca="1" si="94"/>
        <v>#N/A</v>
      </c>
      <c r="N173" s="406" t="e">
        <f t="shared" ca="1" si="95"/>
        <v>#N/A</v>
      </c>
      <c r="O173" s="406" t="e">
        <f t="shared" ca="1" si="95"/>
        <v>#N/A</v>
      </c>
      <c r="P173" s="406" t="e">
        <f t="shared" ca="1" si="95"/>
        <v>#N/A</v>
      </c>
      <c r="Q173" s="406" t="e">
        <f t="shared" ca="1" si="95"/>
        <v>#N/A</v>
      </c>
      <c r="R173" s="406" t="e">
        <f t="shared" ca="1" si="95"/>
        <v>#N/A</v>
      </c>
      <c r="S173" s="406" t="e">
        <f t="shared" ca="1" si="95"/>
        <v>#N/A</v>
      </c>
      <c r="T173" s="406" t="e">
        <f t="shared" ca="1" si="95"/>
        <v>#N/A</v>
      </c>
      <c r="U173" s="406" t="e">
        <f t="shared" ca="1" si="95"/>
        <v>#N/A</v>
      </c>
      <c r="V173" s="406" t="e">
        <f t="shared" ca="1" si="95"/>
        <v>#N/A</v>
      </c>
      <c r="W173" s="406" t="e">
        <f t="shared" ca="1" si="95"/>
        <v>#N/A</v>
      </c>
      <c r="X173" s="406" t="e">
        <f t="shared" ca="1" si="96"/>
        <v>#N/A</v>
      </c>
      <c r="Y173" s="406" t="e">
        <f t="shared" ca="1" si="96"/>
        <v>#N/A</v>
      </c>
      <c r="Z173" s="406" t="e">
        <f t="shared" ca="1" si="96"/>
        <v>#N/A</v>
      </c>
      <c r="AA173" s="406" t="e">
        <f t="shared" ca="1" si="96"/>
        <v>#N/A</v>
      </c>
      <c r="AB173" s="406" t="e">
        <f t="shared" ca="1" si="96"/>
        <v>#N/A</v>
      </c>
      <c r="AC173" s="406" t="e">
        <f t="shared" ca="1" si="96"/>
        <v>#N/A</v>
      </c>
      <c r="AD173" s="406" t="e">
        <f t="shared" ca="1" si="96"/>
        <v>#N/A</v>
      </c>
      <c r="AE173" s="406" t="e">
        <f t="shared" ca="1" si="96"/>
        <v>#N/A</v>
      </c>
      <c r="AF173" s="406" t="e">
        <f t="shared" ca="1" si="96"/>
        <v>#N/A</v>
      </c>
      <c r="AG173" s="406" t="e">
        <f t="shared" ca="1" si="96"/>
        <v>#N/A</v>
      </c>
      <c r="AH173" s="406" t="e">
        <f t="shared" ca="1" si="97"/>
        <v>#N/A</v>
      </c>
      <c r="AI173" s="406" t="e">
        <f t="shared" ca="1" si="97"/>
        <v>#N/A</v>
      </c>
      <c r="AJ173" s="406" t="e">
        <f t="shared" ca="1" si="97"/>
        <v>#N/A</v>
      </c>
      <c r="AK173" s="406" t="e">
        <f t="shared" ca="1" si="97"/>
        <v>#N/A</v>
      </c>
      <c r="AL173" s="406" t="e">
        <f t="shared" ca="1" si="97"/>
        <v>#N/A</v>
      </c>
      <c r="AM173" s="406" t="e">
        <f t="shared" ca="1" si="97"/>
        <v>#N/A</v>
      </c>
      <c r="AN173" s="406" t="e">
        <f t="shared" ca="1" si="97"/>
        <v>#N/A</v>
      </c>
      <c r="AO173" s="406" t="e">
        <f t="shared" ca="1" si="97"/>
        <v>#N/A</v>
      </c>
      <c r="AP173" s="406" t="e">
        <f t="shared" ca="1" si="97"/>
        <v>#N/A</v>
      </c>
      <c r="AQ173" s="406" t="e">
        <f t="shared" ca="1" si="97"/>
        <v>#N/A</v>
      </c>
      <c r="AR173" s="406" t="e">
        <f t="shared" ca="1" si="98"/>
        <v>#N/A</v>
      </c>
      <c r="AS173" s="406" t="e">
        <f t="shared" ca="1" si="98"/>
        <v>#N/A</v>
      </c>
      <c r="AT173" s="406" t="e">
        <f t="shared" ca="1" si="98"/>
        <v>#N/A</v>
      </c>
      <c r="AU173" s="406" t="e">
        <f t="shared" ca="1" si="98"/>
        <v>#N/A</v>
      </c>
      <c r="AV173" s="406" t="e">
        <f t="shared" ca="1" si="98"/>
        <v>#N/A</v>
      </c>
      <c r="AW173" s="406" t="e">
        <f t="shared" ca="1" si="98"/>
        <v>#N/A</v>
      </c>
      <c r="AX173" s="406" t="e">
        <f t="shared" ca="1" si="98"/>
        <v>#N/A</v>
      </c>
      <c r="AY173" s="406" t="e">
        <f t="shared" ca="1" si="98"/>
        <v>#N/A</v>
      </c>
      <c r="AZ173" s="406" t="e">
        <f t="shared" ca="1" si="98"/>
        <v>#N/A</v>
      </c>
      <c r="BA173" s="406" t="e">
        <f t="shared" ca="1" si="98"/>
        <v>#N/A</v>
      </c>
      <c r="BB173" s="412" t="s">
        <v>1244</v>
      </c>
      <c r="BC173" s="407" t="str">
        <f t="shared" ca="1" si="72"/>
        <v/>
      </c>
      <c r="BD173" s="410"/>
      <c r="BE173" s="410"/>
    </row>
    <row r="174" spans="3:57" x14ac:dyDescent="0.25">
      <c r="C174" s="406">
        <f t="shared" si="73"/>
        <v>172</v>
      </c>
      <c r="D174" s="406" t="e">
        <f t="shared" ca="1" si="94"/>
        <v>#N/A</v>
      </c>
      <c r="E174" s="406" t="e">
        <f t="shared" ca="1" si="94"/>
        <v>#N/A</v>
      </c>
      <c r="F174" s="406" t="e">
        <f t="shared" ca="1" si="94"/>
        <v>#N/A</v>
      </c>
      <c r="G174" s="406" t="e">
        <f t="shared" ca="1" si="94"/>
        <v>#N/A</v>
      </c>
      <c r="H174" s="406" t="e">
        <f t="shared" ca="1" si="94"/>
        <v>#N/A</v>
      </c>
      <c r="I174" s="406" t="e">
        <f t="shared" ca="1" si="94"/>
        <v>#N/A</v>
      </c>
      <c r="J174" s="406" t="e">
        <f t="shared" ca="1" si="94"/>
        <v>#N/A</v>
      </c>
      <c r="K174" s="406" t="e">
        <f t="shared" ca="1" si="94"/>
        <v>#N/A</v>
      </c>
      <c r="L174" s="406" t="e">
        <f t="shared" ca="1" si="94"/>
        <v>#N/A</v>
      </c>
      <c r="M174" s="406" t="e">
        <f t="shared" ca="1" si="94"/>
        <v>#N/A</v>
      </c>
      <c r="N174" s="406" t="e">
        <f t="shared" ca="1" si="95"/>
        <v>#N/A</v>
      </c>
      <c r="O174" s="406" t="e">
        <f t="shared" ca="1" si="95"/>
        <v>#N/A</v>
      </c>
      <c r="P174" s="406" t="e">
        <f t="shared" ca="1" si="95"/>
        <v>#N/A</v>
      </c>
      <c r="Q174" s="406" t="e">
        <f t="shared" ca="1" si="95"/>
        <v>#N/A</v>
      </c>
      <c r="R174" s="406" t="e">
        <f t="shared" ca="1" si="95"/>
        <v>#N/A</v>
      </c>
      <c r="S174" s="406" t="e">
        <f t="shared" ca="1" si="95"/>
        <v>#N/A</v>
      </c>
      <c r="T174" s="406" t="e">
        <f t="shared" ca="1" si="95"/>
        <v>#N/A</v>
      </c>
      <c r="U174" s="406" t="e">
        <f t="shared" ca="1" si="95"/>
        <v>#N/A</v>
      </c>
      <c r="V174" s="406" t="e">
        <f t="shared" ca="1" si="95"/>
        <v>#N/A</v>
      </c>
      <c r="W174" s="406" t="e">
        <f t="shared" ca="1" si="95"/>
        <v>#N/A</v>
      </c>
      <c r="X174" s="406" t="e">
        <f t="shared" ca="1" si="96"/>
        <v>#N/A</v>
      </c>
      <c r="Y174" s="406" t="e">
        <f t="shared" ca="1" si="96"/>
        <v>#N/A</v>
      </c>
      <c r="Z174" s="406" t="e">
        <f t="shared" ca="1" si="96"/>
        <v>#N/A</v>
      </c>
      <c r="AA174" s="406" t="e">
        <f t="shared" ca="1" si="96"/>
        <v>#N/A</v>
      </c>
      <c r="AB174" s="406" t="e">
        <f t="shared" ca="1" si="96"/>
        <v>#N/A</v>
      </c>
      <c r="AC174" s="406" t="e">
        <f t="shared" ca="1" si="96"/>
        <v>#N/A</v>
      </c>
      <c r="AD174" s="406" t="e">
        <f t="shared" ca="1" si="96"/>
        <v>#N/A</v>
      </c>
      <c r="AE174" s="406" t="e">
        <f t="shared" ca="1" si="96"/>
        <v>#N/A</v>
      </c>
      <c r="AF174" s="406" t="e">
        <f t="shared" ca="1" si="96"/>
        <v>#N/A</v>
      </c>
      <c r="AG174" s="406" t="e">
        <f t="shared" ca="1" si="96"/>
        <v>#N/A</v>
      </c>
      <c r="AH174" s="406" t="e">
        <f t="shared" ca="1" si="97"/>
        <v>#N/A</v>
      </c>
      <c r="AI174" s="406" t="e">
        <f t="shared" ca="1" si="97"/>
        <v>#N/A</v>
      </c>
      <c r="AJ174" s="406" t="e">
        <f t="shared" ca="1" si="97"/>
        <v>#N/A</v>
      </c>
      <c r="AK174" s="406" t="e">
        <f t="shared" ca="1" si="97"/>
        <v>#N/A</v>
      </c>
      <c r="AL174" s="406" t="e">
        <f t="shared" ca="1" si="97"/>
        <v>#N/A</v>
      </c>
      <c r="AM174" s="406" t="e">
        <f t="shared" ca="1" si="97"/>
        <v>#N/A</v>
      </c>
      <c r="AN174" s="406" t="e">
        <f t="shared" ca="1" si="97"/>
        <v>#N/A</v>
      </c>
      <c r="AO174" s="406" t="e">
        <f t="shared" ca="1" si="97"/>
        <v>#N/A</v>
      </c>
      <c r="AP174" s="406" t="e">
        <f t="shared" ca="1" si="97"/>
        <v>#N/A</v>
      </c>
      <c r="AQ174" s="406" t="e">
        <f t="shared" ca="1" si="97"/>
        <v>#N/A</v>
      </c>
      <c r="AR174" s="406" t="e">
        <f t="shared" ca="1" si="98"/>
        <v>#N/A</v>
      </c>
      <c r="AS174" s="406" t="e">
        <f t="shared" ca="1" si="98"/>
        <v>#N/A</v>
      </c>
      <c r="AT174" s="406" t="e">
        <f t="shared" ca="1" si="98"/>
        <v>#N/A</v>
      </c>
      <c r="AU174" s="406" t="e">
        <f t="shared" ca="1" si="98"/>
        <v>#N/A</v>
      </c>
      <c r="AV174" s="406" t="e">
        <f t="shared" ca="1" si="98"/>
        <v>#N/A</v>
      </c>
      <c r="AW174" s="406" t="e">
        <f t="shared" ca="1" si="98"/>
        <v>#N/A</v>
      </c>
      <c r="AX174" s="406" t="e">
        <f t="shared" ca="1" si="98"/>
        <v>#N/A</v>
      </c>
      <c r="AY174" s="406" t="e">
        <f t="shared" ca="1" si="98"/>
        <v>#N/A</v>
      </c>
      <c r="AZ174" s="406" t="e">
        <f t="shared" ca="1" si="98"/>
        <v>#N/A</v>
      </c>
      <c r="BA174" s="406" t="e">
        <f t="shared" ca="1" si="98"/>
        <v>#N/A</v>
      </c>
      <c r="BB174" s="412" t="s">
        <v>1245</v>
      </c>
      <c r="BC174" s="407" t="str">
        <f t="shared" ca="1" si="72"/>
        <v/>
      </c>
      <c r="BD174" s="410"/>
      <c r="BE174" s="410"/>
    </row>
    <row r="175" spans="3:57" x14ac:dyDescent="0.25">
      <c r="C175" s="406">
        <f t="shared" si="73"/>
        <v>173</v>
      </c>
      <c r="D175" s="406" t="e">
        <f t="shared" ca="1" si="94"/>
        <v>#N/A</v>
      </c>
      <c r="E175" s="406" t="e">
        <f t="shared" ca="1" si="94"/>
        <v>#N/A</v>
      </c>
      <c r="F175" s="406" t="e">
        <f t="shared" ca="1" si="94"/>
        <v>#N/A</v>
      </c>
      <c r="G175" s="406" t="e">
        <f t="shared" ca="1" si="94"/>
        <v>#N/A</v>
      </c>
      <c r="H175" s="406" t="e">
        <f t="shared" ca="1" si="94"/>
        <v>#N/A</v>
      </c>
      <c r="I175" s="406" t="e">
        <f t="shared" ca="1" si="94"/>
        <v>#N/A</v>
      </c>
      <c r="J175" s="406" t="e">
        <f t="shared" ca="1" si="94"/>
        <v>#N/A</v>
      </c>
      <c r="K175" s="406" t="e">
        <f t="shared" ca="1" si="94"/>
        <v>#N/A</v>
      </c>
      <c r="L175" s="406" t="e">
        <f t="shared" ca="1" si="94"/>
        <v>#N/A</v>
      </c>
      <c r="M175" s="406" t="e">
        <f t="shared" ca="1" si="94"/>
        <v>#N/A</v>
      </c>
      <c r="N175" s="406" t="e">
        <f t="shared" ca="1" si="95"/>
        <v>#N/A</v>
      </c>
      <c r="O175" s="406" t="e">
        <f t="shared" ca="1" si="95"/>
        <v>#N/A</v>
      </c>
      <c r="P175" s="406" t="e">
        <f t="shared" ca="1" si="95"/>
        <v>#N/A</v>
      </c>
      <c r="Q175" s="406" t="e">
        <f t="shared" ca="1" si="95"/>
        <v>#N/A</v>
      </c>
      <c r="R175" s="406" t="e">
        <f t="shared" ca="1" si="95"/>
        <v>#N/A</v>
      </c>
      <c r="S175" s="406" t="e">
        <f t="shared" ca="1" si="95"/>
        <v>#N/A</v>
      </c>
      <c r="T175" s="406" t="e">
        <f t="shared" ca="1" si="95"/>
        <v>#N/A</v>
      </c>
      <c r="U175" s="406" t="e">
        <f t="shared" ca="1" si="95"/>
        <v>#N/A</v>
      </c>
      <c r="V175" s="406" t="e">
        <f t="shared" ca="1" si="95"/>
        <v>#N/A</v>
      </c>
      <c r="W175" s="406" t="e">
        <f t="shared" ca="1" si="95"/>
        <v>#N/A</v>
      </c>
      <c r="X175" s="406" t="e">
        <f t="shared" ca="1" si="96"/>
        <v>#N/A</v>
      </c>
      <c r="Y175" s="406" t="e">
        <f t="shared" ca="1" si="96"/>
        <v>#N/A</v>
      </c>
      <c r="Z175" s="406" t="e">
        <f t="shared" ca="1" si="96"/>
        <v>#N/A</v>
      </c>
      <c r="AA175" s="406" t="e">
        <f t="shared" ca="1" si="96"/>
        <v>#N/A</v>
      </c>
      <c r="AB175" s="406" t="e">
        <f t="shared" ca="1" si="96"/>
        <v>#N/A</v>
      </c>
      <c r="AC175" s="406" t="e">
        <f t="shared" ca="1" si="96"/>
        <v>#N/A</v>
      </c>
      <c r="AD175" s="406" t="e">
        <f t="shared" ca="1" si="96"/>
        <v>#N/A</v>
      </c>
      <c r="AE175" s="406" t="e">
        <f t="shared" ca="1" si="96"/>
        <v>#N/A</v>
      </c>
      <c r="AF175" s="406" t="e">
        <f t="shared" ca="1" si="96"/>
        <v>#N/A</v>
      </c>
      <c r="AG175" s="406" t="e">
        <f t="shared" ca="1" si="96"/>
        <v>#N/A</v>
      </c>
      <c r="AH175" s="406" t="e">
        <f t="shared" ca="1" si="97"/>
        <v>#N/A</v>
      </c>
      <c r="AI175" s="406" t="e">
        <f t="shared" ca="1" si="97"/>
        <v>#N/A</v>
      </c>
      <c r="AJ175" s="406" t="e">
        <f t="shared" ca="1" si="97"/>
        <v>#N/A</v>
      </c>
      <c r="AK175" s="406" t="e">
        <f t="shared" ca="1" si="97"/>
        <v>#N/A</v>
      </c>
      <c r="AL175" s="406" t="e">
        <f t="shared" ca="1" si="97"/>
        <v>#N/A</v>
      </c>
      <c r="AM175" s="406" t="e">
        <f t="shared" ca="1" si="97"/>
        <v>#N/A</v>
      </c>
      <c r="AN175" s="406" t="e">
        <f t="shared" ca="1" si="97"/>
        <v>#N/A</v>
      </c>
      <c r="AO175" s="406" t="e">
        <f t="shared" ca="1" si="97"/>
        <v>#N/A</v>
      </c>
      <c r="AP175" s="406" t="e">
        <f t="shared" ca="1" si="97"/>
        <v>#N/A</v>
      </c>
      <c r="AQ175" s="406" t="e">
        <f t="shared" ca="1" si="97"/>
        <v>#N/A</v>
      </c>
      <c r="AR175" s="406" t="e">
        <f t="shared" ca="1" si="98"/>
        <v>#N/A</v>
      </c>
      <c r="AS175" s="406" t="e">
        <f t="shared" ca="1" si="98"/>
        <v>#N/A</v>
      </c>
      <c r="AT175" s="406" t="e">
        <f t="shared" ca="1" si="98"/>
        <v>#N/A</v>
      </c>
      <c r="AU175" s="406" t="e">
        <f t="shared" ca="1" si="98"/>
        <v>#N/A</v>
      </c>
      <c r="AV175" s="406" t="e">
        <f t="shared" ca="1" si="98"/>
        <v>#N/A</v>
      </c>
      <c r="AW175" s="406" t="e">
        <f t="shared" ca="1" si="98"/>
        <v>#N/A</v>
      </c>
      <c r="AX175" s="406" t="e">
        <f t="shared" ca="1" si="98"/>
        <v>#N/A</v>
      </c>
      <c r="AY175" s="406" t="e">
        <f t="shared" ca="1" si="98"/>
        <v>#N/A</v>
      </c>
      <c r="AZ175" s="406" t="e">
        <f t="shared" ca="1" si="98"/>
        <v>#N/A</v>
      </c>
      <c r="BA175" s="406" t="e">
        <f t="shared" ca="1" si="98"/>
        <v>#N/A</v>
      </c>
      <c r="BB175" s="412" t="s">
        <v>1246</v>
      </c>
      <c r="BC175" s="407" t="str">
        <f t="shared" ca="1" si="72"/>
        <v/>
      </c>
      <c r="BD175" s="410"/>
      <c r="BE175" s="410"/>
    </row>
    <row r="176" spans="3:57" x14ac:dyDescent="0.25">
      <c r="C176" s="406">
        <f t="shared" si="73"/>
        <v>174</v>
      </c>
      <c r="D176" s="406" t="e">
        <f t="shared" ca="1" si="94"/>
        <v>#N/A</v>
      </c>
      <c r="E176" s="406" t="e">
        <f t="shared" ca="1" si="94"/>
        <v>#N/A</v>
      </c>
      <c r="F176" s="406" t="e">
        <f t="shared" ca="1" si="94"/>
        <v>#N/A</v>
      </c>
      <c r="G176" s="406" t="e">
        <f t="shared" ca="1" si="94"/>
        <v>#N/A</v>
      </c>
      <c r="H176" s="406" t="e">
        <f t="shared" ca="1" si="94"/>
        <v>#N/A</v>
      </c>
      <c r="I176" s="406" t="e">
        <f t="shared" ca="1" si="94"/>
        <v>#N/A</v>
      </c>
      <c r="J176" s="406" t="e">
        <f t="shared" ca="1" si="94"/>
        <v>#N/A</v>
      </c>
      <c r="K176" s="406" t="e">
        <f t="shared" ca="1" si="94"/>
        <v>#N/A</v>
      </c>
      <c r="L176" s="406" t="e">
        <f t="shared" ca="1" si="94"/>
        <v>#N/A</v>
      </c>
      <c r="M176" s="406" t="e">
        <f t="shared" ca="1" si="94"/>
        <v>#N/A</v>
      </c>
      <c r="N176" s="406" t="e">
        <f t="shared" ca="1" si="95"/>
        <v>#N/A</v>
      </c>
      <c r="O176" s="406" t="e">
        <f t="shared" ca="1" si="95"/>
        <v>#N/A</v>
      </c>
      <c r="P176" s="406" t="e">
        <f t="shared" ca="1" si="95"/>
        <v>#N/A</v>
      </c>
      <c r="Q176" s="406" t="e">
        <f t="shared" ca="1" si="95"/>
        <v>#N/A</v>
      </c>
      <c r="R176" s="406" t="e">
        <f t="shared" ca="1" si="95"/>
        <v>#N/A</v>
      </c>
      <c r="S176" s="406" t="e">
        <f t="shared" ca="1" si="95"/>
        <v>#N/A</v>
      </c>
      <c r="T176" s="406" t="e">
        <f t="shared" ca="1" si="95"/>
        <v>#N/A</v>
      </c>
      <c r="U176" s="406" t="e">
        <f t="shared" ca="1" si="95"/>
        <v>#N/A</v>
      </c>
      <c r="V176" s="406" t="e">
        <f t="shared" ca="1" si="95"/>
        <v>#N/A</v>
      </c>
      <c r="W176" s="406" t="e">
        <f t="shared" ca="1" si="95"/>
        <v>#N/A</v>
      </c>
      <c r="X176" s="406" t="e">
        <f t="shared" ca="1" si="96"/>
        <v>#N/A</v>
      </c>
      <c r="Y176" s="406" t="e">
        <f t="shared" ca="1" si="96"/>
        <v>#N/A</v>
      </c>
      <c r="Z176" s="406" t="e">
        <f t="shared" ca="1" si="96"/>
        <v>#N/A</v>
      </c>
      <c r="AA176" s="406" t="e">
        <f t="shared" ca="1" si="96"/>
        <v>#N/A</v>
      </c>
      <c r="AB176" s="406" t="e">
        <f t="shared" ca="1" si="96"/>
        <v>#N/A</v>
      </c>
      <c r="AC176" s="406" t="e">
        <f t="shared" ca="1" si="96"/>
        <v>#N/A</v>
      </c>
      <c r="AD176" s="406" t="e">
        <f t="shared" ca="1" si="96"/>
        <v>#N/A</v>
      </c>
      <c r="AE176" s="406" t="e">
        <f t="shared" ca="1" si="96"/>
        <v>#N/A</v>
      </c>
      <c r="AF176" s="406" t="e">
        <f t="shared" ca="1" si="96"/>
        <v>#N/A</v>
      </c>
      <c r="AG176" s="406" t="e">
        <f t="shared" ca="1" si="96"/>
        <v>#N/A</v>
      </c>
      <c r="AH176" s="406" t="e">
        <f t="shared" ca="1" si="97"/>
        <v>#N/A</v>
      </c>
      <c r="AI176" s="406" t="e">
        <f t="shared" ca="1" si="97"/>
        <v>#N/A</v>
      </c>
      <c r="AJ176" s="406" t="e">
        <f t="shared" ca="1" si="97"/>
        <v>#N/A</v>
      </c>
      <c r="AK176" s="406" t="e">
        <f t="shared" ca="1" si="97"/>
        <v>#N/A</v>
      </c>
      <c r="AL176" s="406" t="e">
        <f t="shared" ca="1" si="97"/>
        <v>#N/A</v>
      </c>
      <c r="AM176" s="406" t="e">
        <f t="shared" ca="1" si="97"/>
        <v>#N/A</v>
      </c>
      <c r="AN176" s="406" t="e">
        <f t="shared" ca="1" si="97"/>
        <v>#N/A</v>
      </c>
      <c r="AO176" s="406" t="e">
        <f t="shared" ca="1" si="97"/>
        <v>#N/A</v>
      </c>
      <c r="AP176" s="406" t="e">
        <f t="shared" ca="1" si="97"/>
        <v>#N/A</v>
      </c>
      <c r="AQ176" s="406" t="e">
        <f t="shared" ca="1" si="97"/>
        <v>#N/A</v>
      </c>
      <c r="AR176" s="406" t="e">
        <f t="shared" ca="1" si="98"/>
        <v>#N/A</v>
      </c>
      <c r="AS176" s="406" t="e">
        <f t="shared" ca="1" si="98"/>
        <v>#N/A</v>
      </c>
      <c r="AT176" s="406" t="e">
        <f t="shared" ca="1" si="98"/>
        <v>#N/A</v>
      </c>
      <c r="AU176" s="406" t="e">
        <f t="shared" ca="1" si="98"/>
        <v>#N/A</v>
      </c>
      <c r="AV176" s="406" t="e">
        <f t="shared" ca="1" si="98"/>
        <v>#N/A</v>
      </c>
      <c r="AW176" s="406" t="e">
        <f t="shared" ca="1" si="98"/>
        <v>#N/A</v>
      </c>
      <c r="AX176" s="406" t="e">
        <f t="shared" ca="1" si="98"/>
        <v>#N/A</v>
      </c>
      <c r="AY176" s="406" t="e">
        <f t="shared" ca="1" si="98"/>
        <v>#N/A</v>
      </c>
      <c r="AZ176" s="406" t="e">
        <f t="shared" ca="1" si="98"/>
        <v>#N/A</v>
      </c>
      <c r="BA176" s="406" t="e">
        <f t="shared" ca="1" si="98"/>
        <v>#N/A</v>
      </c>
      <c r="BB176" s="412" t="s">
        <v>1247</v>
      </c>
      <c r="BC176" s="407" t="str">
        <f t="shared" ca="1" si="72"/>
        <v/>
      </c>
      <c r="BD176" s="410"/>
      <c r="BE176" s="410"/>
    </row>
    <row r="177" spans="3:57" x14ac:dyDescent="0.25">
      <c r="C177" s="406">
        <f t="shared" si="73"/>
        <v>175</v>
      </c>
      <c r="D177" s="406" t="e">
        <f t="shared" ca="1" si="94"/>
        <v>#N/A</v>
      </c>
      <c r="E177" s="406" t="e">
        <f t="shared" ca="1" si="94"/>
        <v>#N/A</v>
      </c>
      <c r="F177" s="406" t="e">
        <f t="shared" ca="1" si="94"/>
        <v>#N/A</v>
      </c>
      <c r="G177" s="406" t="e">
        <f t="shared" ca="1" si="94"/>
        <v>#N/A</v>
      </c>
      <c r="H177" s="406" t="e">
        <f t="shared" ca="1" si="94"/>
        <v>#N/A</v>
      </c>
      <c r="I177" s="406" t="e">
        <f t="shared" ca="1" si="94"/>
        <v>#N/A</v>
      </c>
      <c r="J177" s="406" t="e">
        <f t="shared" ca="1" si="94"/>
        <v>#N/A</v>
      </c>
      <c r="K177" s="406" t="e">
        <f t="shared" ca="1" si="94"/>
        <v>#N/A</v>
      </c>
      <c r="L177" s="406" t="e">
        <f t="shared" ca="1" si="94"/>
        <v>#N/A</v>
      </c>
      <c r="M177" s="406" t="e">
        <f t="shared" ca="1" si="94"/>
        <v>#N/A</v>
      </c>
      <c r="N177" s="406" t="e">
        <f t="shared" ca="1" si="95"/>
        <v>#N/A</v>
      </c>
      <c r="O177" s="406" t="e">
        <f t="shared" ca="1" si="95"/>
        <v>#N/A</v>
      </c>
      <c r="P177" s="406" t="e">
        <f t="shared" ca="1" si="95"/>
        <v>#N/A</v>
      </c>
      <c r="Q177" s="406" t="e">
        <f t="shared" ca="1" si="95"/>
        <v>#N/A</v>
      </c>
      <c r="R177" s="406" t="e">
        <f t="shared" ca="1" si="95"/>
        <v>#N/A</v>
      </c>
      <c r="S177" s="406" t="e">
        <f t="shared" ca="1" si="95"/>
        <v>#N/A</v>
      </c>
      <c r="T177" s="406" t="e">
        <f t="shared" ca="1" si="95"/>
        <v>#N/A</v>
      </c>
      <c r="U177" s="406" t="e">
        <f t="shared" ca="1" si="95"/>
        <v>#N/A</v>
      </c>
      <c r="V177" s="406" t="e">
        <f t="shared" ca="1" si="95"/>
        <v>#N/A</v>
      </c>
      <c r="W177" s="406" t="e">
        <f t="shared" ca="1" si="95"/>
        <v>#N/A</v>
      </c>
      <c r="X177" s="406" t="e">
        <f t="shared" ca="1" si="96"/>
        <v>#N/A</v>
      </c>
      <c r="Y177" s="406" t="e">
        <f t="shared" ca="1" si="96"/>
        <v>#N/A</v>
      </c>
      <c r="Z177" s="406" t="e">
        <f t="shared" ca="1" si="96"/>
        <v>#N/A</v>
      </c>
      <c r="AA177" s="406" t="e">
        <f t="shared" ca="1" si="96"/>
        <v>#N/A</v>
      </c>
      <c r="AB177" s="406" t="e">
        <f t="shared" ca="1" si="96"/>
        <v>#N/A</v>
      </c>
      <c r="AC177" s="406" t="e">
        <f t="shared" ca="1" si="96"/>
        <v>#N/A</v>
      </c>
      <c r="AD177" s="406" t="e">
        <f t="shared" ca="1" si="96"/>
        <v>#N/A</v>
      </c>
      <c r="AE177" s="406" t="e">
        <f t="shared" ca="1" si="96"/>
        <v>#N/A</v>
      </c>
      <c r="AF177" s="406" t="e">
        <f t="shared" ca="1" si="96"/>
        <v>#N/A</v>
      </c>
      <c r="AG177" s="406" t="e">
        <f t="shared" ca="1" si="96"/>
        <v>#N/A</v>
      </c>
      <c r="AH177" s="406" t="e">
        <f t="shared" ca="1" si="97"/>
        <v>#N/A</v>
      </c>
      <c r="AI177" s="406" t="e">
        <f t="shared" ca="1" si="97"/>
        <v>#N/A</v>
      </c>
      <c r="AJ177" s="406" t="e">
        <f t="shared" ca="1" si="97"/>
        <v>#N/A</v>
      </c>
      <c r="AK177" s="406" t="e">
        <f t="shared" ca="1" si="97"/>
        <v>#N/A</v>
      </c>
      <c r="AL177" s="406" t="e">
        <f t="shared" ca="1" si="97"/>
        <v>#N/A</v>
      </c>
      <c r="AM177" s="406" t="e">
        <f t="shared" ca="1" si="97"/>
        <v>#N/A</v>
      </c>
      <c r="AN177" s="406" t="e">
        <f t="shared" ca="1" si="97"/>
        <v>#N/A</v>
      </c>
      <c r="AO177" s="406" t="e">
        <f t="shared" ca="1" si="97"/>
        <v>#N/A</v>
      </c>
      <c r="AP177" s="406" t="e">
        <f t="shared" ca="1" si="97"/>
        <v>#N/A</v>
      </c>
      <c r="AQ177" s="406" t="e">
        <f t="shared" ca="1" si="97"/>
        <v>#N/A</v>
      </c>
      <c r="AR177" s="406" t="e">
        <f t="shared" ca="1" si="98"/>
        <v>#N/A</v>
      </c>
      <c r="AS177" s="406" t="e">
        <f t="shared" ca="1" si="98"/>
        <v>#N/A</v>
      </c>
      <c r="AT177" s="406" t="e">
        <f t="shared" ca="1" si="98"/>
        <v>#N/A</v>
      </c>
      <c r="AU177" s="406" t="e">
        <f t="shared" ca="1" si="98"/>
        <v>#N/A</v>
      </c>
      <c r="AV177" s="406" t="e">
        <f t="shared" ca="1" si="98"/>
        <v>#N/A</v>
      </c>
      <c r="AW177" s="406" t="e">
        <f t="shared" ca="1" si="98"/>
        <v>#N/A</v>
      </c>
      <c r="AX177" s="406" t="e">
        <f t="shared" ca="1" si="98"/>
        <v>#N/A</v>
      </c>
      <c r="AY177" s="406" t="e">
        <f t="shared" ca="1" si="98"/>
        <v>#N/A</v>
      </c>
      <c r="AZ177" s="406" t="e">
        <f t="shared" ca="1" si="98"/>
        <v>#N/A</v>
      </c>
      <c r="BA177" s="406" t="e">
        <f t="shared" ca="1" si="98"/>
        <v>#N/A</v>
      </c>
      <c r="BB177" s="412" t="s">
        <v>1248</v>
      </c>
      <c r="BC177" s="407" t="str">
        <f t="shared" ca="1" si="72"/>
        <v/>
      </c>
      <c r="BD177" s="410"/>
      <c r="BE177" s="410"/>
    </row>
    <row r="178" spans="3:57" x14ac:dyDescent="0.25">
      <c r="C178" s="406">
        <f t="shared" si="73"/>
        <v>176</v>
      </c>
      <c r="D178" s="406" t="e">
        <f t="shared" ca="1" si="94"/>
        <v>#N/A</v>
      </c>
      <c r="E178" s="406" t="e">
        <f t="shared" ca="1" si="94"/>
        <v>#N/A</v>
      </c>
      <c r="F178" s="406" t="e">
        <f t="shared" ca="1" si="94"/>
        <v>#N/A</v>
      </c>
      <c r="G178" s="406" t="e">
        <f t="shared" ca="1" si="94"/>
        <v>#N/A</v>
      </c>
      <c r="H178" s="406" t="e">
        <f t="shared" ca="1" si="94"/>
        <v>#N/A</v>
      </c>
      <c r="I178" s="406" t="e">
        <f t="shared" ca="1" si="94"/>
        <v>#N/A</v>
      </c>
      <c r="J178" s="406" t="e">
        <f t="shared" ca="1" si="94"/>
        <v>#N/A</v>
      </c>
      <c r="K178" s="406" t="e">
        <f t="shared" ca="1" si="94"/>
        <v>#N/A</v>
      </c>
      <c r="L178" s="406" t="e">
        <f t="shared" ca="1" si="94"/>
        <v>#N/A</v>
      </c>
      <c r="M178" s="406" t="e">
        <f t="shared" ca="1" si="94"/>
        <v>#N/A</v>
      </c>
      <c r="N178" s="406" t="e">
        <f t="shared" ca="1" si="95"/>
        <v>#N/A</v>
      </c>
      <c r="O178" s="406" t="e">
        <f t="shared" ca="1" si="95"/>
        <v>#N/A</v>
      </c>
      <c r="P178" s="406" t="e">
        <f t="shared" ca="1" si="95"/>
        <v>#N/A</v>
      </c>
      <c r="Q178" s="406" t="e">
        <f t="shared" ca="1" si="95"/>
        <v>#N/A</v>
      </c>
      <c r="R178" s="406" t="e">
        <f t="shared" ca="1" si="95"/>
        <v>#N/A</v>
      </c>
      <c r="S178" s="406" t="e">
        <f t="shared" ca="1" si="95"/>
        <v>#N/A</v>
      </c>
      <c r="T178" s="406" t="e">
        <f t="shared" ca="1" si="95"/>
        <v>#N/A</v>
      </c>
      <c r="U178" s="406" t="e">
        <f t="shared" ca="1" si="95"/>
        <v>#N/A</v>
      </c>
      <c r="V178" s="406" t="e">
        <f t="shared" ca="1" si="95"/>
        <v>#N/A</v>
      </c>
      <c r="W178" s="406" t="e">
        <f t="shared" ca="1" si="95"/>
        <v>#N/A</v>
      </c>
      <c r="X178" s="406" t="e">
        <f t="shared" ca="1" si="96"/>
        <v>#N/A</v>
      </c>
      <c r="Y178" s="406" t="e">
        <f t="shared" ca="1" si="96"/>
        <v>#N/A</v>
      </c>
      <c r="Z178" s="406" t="e">
        <f t="shared" ca="1" si="96"/>
        <v>#N/A</v>
      </c>
      <c r="AA178" s="406" t="e">
        <f t="shared" ca="1" si="96"/>
        <v>#N/A</v>
      </c>
      <c r="AB178" s="406" t="e">
        <f t="shared" ca="1" si="96"/>
        <v>#N/A</v>
      </c>
      <c r="AC178" s="406" t="e">
        <f t="shared" ca="1" si="96"/>
        <v>#N/A</v>
      </c>
      <c r="AD178" s="406" t="e">
        <f t="shared" ca="1" si="96"/>
        <v>#N/A</v>
      </c>
      <c r="AE178" s="406" t="e">
        <f t="shared" ca="1" si="96"/>
        <v>#N/A</v>
      </c>
      <c r="AF178" s="406" t="e">
        <f t="shared" ca="1" si="96"/>
        <v>#N/A</v>
      </c>
      <c r="AG178" s="406" t="e">
        <f t="shared" ca="1" si="96"/>
        <v>#N/A</v>
      </c>
      <c r="AH178" s="406" t="e">
        <f t="shared" ca="1" si="97"/>
        <v>#N/A</v>
      </c>
      <c r="AI178" s="406" t="e">
        <f t="shared" ca="1" si="97"/>
        <v>#N/A</v>
      </c>
      <c r="AJ178" s="406" t="e">
        <f t="shared" ca="1" si="97"/>
        <v>#N/A</v>
      </c>
      <c r="AK178" s="406" t="e">
        <f t="shared" ca="1" si="97"/>
        <v>#N/A</v>
      </c>
      <c r="AL178" s="406" t="e">
        <f t="shared" ca="1" si="97"/>
        <v>#N/A</v>
      </c>
      <c r="AM178" s="406" t="e">
        <f t="shared" ca="1" si="97"/>
        <v>#N/A</v>
      </c>
      <c r="AN178" s="406" t="e">
        <f t="shared" ca="1" si="97"/>
        <v>#N/A</v>
      </c>
      <c r="AO178" s="406" t="e">
        <f t="shared" ca="1" si="97"/>
        <v>#N/A</v>
      </c>
      <c r="AP178" s="406" t="e">
        <f t="shared" ca="1" si="97"/>
        <v>#N/A</v>
      </c>
      <c r="AQ178" s="406" t="e">
        <f t="shared" ca="1" si="97"/>
        <v>#N/A</v>
      </c>
      <c r="AR178" s="406" t="e">
        <f t="shared" ca="1" si="98"/>
        <v>#N/A</v>
      </c>
      <c r="AS178" s="406" t="e">
        <f t="shared" ca="1" si="98"/>
        <v>#N/A</v>
      </c>
      <c r="AT178" s="406" t="e">
        <f t="shared" ca="1" si="98"/>
        <v>#N/A</v>
      </c>
      <c r="AU178" s="406" t="e">
        <f t="shared" ca="1" si="98"/>
        <v>#N/A</v>
      </c>
      <c r="AV178" s="406" t="e">
        <f t="shared" ca="1" si="98"/>
        <v>#N/A</v>
      </c>
      <c r="AW178" s="406" t="e">
        <f t="shared" ca="1" si="98"/>
        <v>#N/A</v>
      </c>
      <c r="AX178" s="406" t="e">
        <f t="shared" ca="1" si="98"/>
        <v>#N/A</v>
      </c>
      <c r="AY178" s="406" t="e">
        <f t="shared" ca="1" si="98"/>
        <v>#N/A</v>
      </c>
      <c r="AZ178" s="406" t="e">
        <f t="shared" ca="1" si="98"/>
        <v>#N/A</v>
      </c>
      <c r="BA178" s="406" t="e">
        <f t="shared" ca="1" si="98"/>
        <v>#N/A</v>
      </c>
      <c r="BB178" s="412" t="s">
        <v>1249</v>
      </c>
      <c r="BC178" s="407" t="str">
        <f t="shared" ca="1" si="72"/>
        <v/>
      </c>
      <c r="BD178" s="410"/>
      <c r="BE178" s="410"/>
    </row>
    <row r="179" spans="3:57" x14ac:dyDescent="0.25">
      <c r="C179" s="406">
        <f t="shared" si="73"/>
        <v>177</v>
      </c>
      <c r="D179" s="406" t="e">
        <f t="shared" ca="1" si="94"/>
        <v>#N/A</v>
      </c>
      <c r="E179" s="406" t="e">
        <f t="shared" ca="1" si="94"/>
        <v>#N/A</v>
      </c>
      <c r="F179" s="406" t="e">
        <f t="shared" ca="1" si="94"/>
        <v>#N/A</v>
      </c>
      <c r="G179" s="406" t="e">
        <f t="shared" ca="1" si="94"/>
        <v>#N/A</v>
      </c>
      <c r="H179" s="406" t="e">
        <f t="shared" ca="1" si="94"/>
        <v>#N/A</v>
      </c>
      <c r="I179" s="406" t="e">
        <f t="shared" ca="1" si="94"/>
        <v>#N/A</v>
      </c>
      <c r="J179" s="406" t="e">
        <f t="shared" ca="1" si="94"/>
        <v>#N/A</v>
      </c>
      <c r="K179" s="406" t="e">
        <f t="shared" ca="1" si="94"/>
        <v>#N/A</v>
      </c>
      <c r="L179" s="406" t="e">
        <f t="shared" ca="1" si="94"/>
        <v>#N/A</v>
      </c>
      <c r="M179" s="406" t="e">
        <f t="shared" ca="1" si="94"/>
        <v>#N/A</v>
      </c>
      <c r="N179" s="406" t="e">
        <f t="shared" ca="1" si="95"/>
        <v>#N/A</v>
      </c>
      <c r="O179" s="406" t="e">
        <f t="shared" ca="1" si="95"/>
        <v>#N/A</v>
      </c>
      <c r="P179" s="406" t="e">
        <f t="shared" ca="1" si="95"/>
        <v>#N/A</v>
      </c>
      <c r="Q179" s="406" t="e">
        <f t="shared" ca="1" si="95"/>
        <v>#N/A</v>
      </c>
      <c r="R179" s="406" t="e">
        <f t="shared" ca="1" si="95"/>
        <v>#N/A</v>
      </c>
      <c r="S179" s="406" t="e">
        <f t="shared" ca="1" si="95"/>
        <v>#N/A</v>
      </c>
      <c r="T179" s="406" t="e">
        <f t="shared" ca="1" si="95"/>
        <v>#N/A</v>
      </c>
      <c r="U179" s="406" t="e">
        <f t="shared" ca="1" si="95"/>
        <v>#N/A</v>
      </c>
      <c r="V179" s="406" t="e">
        <f t="shared" ca="1" si="95"/>
        <v>#N/A</v>
      </c>
      <c r="W179" s="406" t="e">
        <f t="shared" ca="1" si="95"/>
        <v>#N/A</v>
      </c>
      <c r="X179" s="406" t="e">
        <f t="shared" ca="1" si="96"/>
        <v>#N/A</v>
      </c>
      <c r="Y179" s="406" t="e">
        <f t="shared" ca="1" si="96"/>
        <v>#N/A</v>
      </c>
      <c r="Z179" s="406" t="e">
        <f t="shared" ca="1" si="96"/>
        <v>#N/A</v>
      </c>
      <c r="AA179" s="406" t="e">
        <f t="shared" ca="1" si="96"/>
        <v>#N/A</v>
      </c>
      <c r="AB179" s="406" t="e">
        <f t="shared" ca="1" si="96"/>
        <v>#N/A</v>
      </c>
      <c r="AC179" s="406" t="e">
        <f t="shared" ca="1" si="96"/>
        <v>#N/A</v>
      </c>
      <c r="AD179" s="406" t="e">
        <f t="shared" ca="1" si="96"/>
        <v>#N/A</v>
      </c>
      <c r="AE179" s="406" t="e">
        <f t="shared" ca="1" si="96"/>
        <v>#N/A</v>
      </c>
      <c r="AF179" s="406" t="e">
        <f t="shared" ca="1" si="96"/>
        <v>#N/A</v>
      </c>
      <c r="AG179" s="406" t="e">
        <f t="shared" ca="1" si="96"/>
        <v>#N/A</v>
      </c>
      <c r="AH179" s="406" t="e">
        <f t="shared" ca="1" si="97"/>
        <v>#N/A</v>
      </c>
      <c r="AI179" s="406" t="e">
        <f t="shared" ca="1" si="97"/>
        <v>#N/A</v>
      </c>
      <c r="AJ179" s="406" t="e">
        <f t="shared" ca="1" si="97"/>
        <v>#N/A</v>
      </c>
      <c r="AK179" s="406" t="e">
        <f t="shared" ca="1" si="97"/>
        <v>#N/A</v>
      </c>
      <c r="AL179" s="406" t="e">
        <f t="shared" ca="1" si="97"/>
        <v>#N/A</v>
      </c>
      <c r="AM179" s="406" t="e">
        <f t="shared" ca="1" si="97"/>
        <v>#N/A</v>
      </c>
      <c r="AN179" s="406" t="e">
        <f t="shared" ca="1" si="97"/>
        <v>#N/A</v>
      </c>
      <c r="AO179" s="406" t="e">
        <f t="shared" ca="1" si="97"/>
        <v>#N/A</v>
      </c>
      <c r="AP179" s="406" t="e">
        <f t="shared" ca="1" si="97"/>
        <v>#N/A</v>
      </c>
      <c r="AQ179" s="406" t="e">
        <f t="shared" ca="1" si="97"/>
        <v>#N/A</v>
      </c>
      <c r="AR179" s="406" t="e">
        <f t="shared" ca="1" si="98"/>
        <v>#N/A</v>
      </c>
      <c r="AS179" s="406" t="e">
        <f t="shared" ca="1" si="98"/>
        <v>#N/A</v>
      </c>
      <c r="AT179" s="406" t="e">
        <f t="shared" ca="1" si="98"/>
        <v>#N/A</v>
      </c>
      <c r="AU179" s="406" t="e">
        <f t="shared" ca="1" si="98"/>
        <v>#N/A</v>
      </c>
      <c r="AV179" s="406" t="e">
        <f t="shared" ca="1" si="98"/>
        <v>#N/A</v>
      </c>
      <c r="AW179" s="406" t="e">
        <f t="shared" ca="1" si="98"/>
        <v>#N/A</v>
      </c>
      <c r="AX179" s="406" t="e">
        <f t="shared" ca="1" si="98"/>
        <v>#N/A</v>
      </c>
      <c r="AY179" s="406" t="e">
        <f t="shared" ca="1" si="98"/>
        <v>#N/A</v>
      </c>
      <c r="AZ179" s="406" t="e">
        <f t="shared" ca="1" si="98"/>
        <v>#N/A</v>
      </c>
      <c r="BA179" s="406" t="e">
        <f t="shared" ca="1" si="98"/>
        <v>#N/A</v>
      </c>
      <c r="BB179" s="412" t="s">
        <v>1250</v>
      </c>
      <c r="BC179" s="407" t="str">
        <f t="shared" ca="1" si="72"/>
        <v/>
      </c>
      <c r="BD179" s="410"/>
      <c r="BE179" s="410"/>
    </row>
    <row r="180" spans="3:57" x14ac:dyDescent="0.25">
      <c r="C180" s="406">
        <f t="shared" si="73"/>
        <v>178</v>
      </c>
      <c r="D180" s="406" t="e">
        <f t="shared" ca="1" si="94"/>
        <v>#N/A</v>
      </c>
      <c r="E180" s="406" t="e">
        <f t="shared" ca="1" si="94"/>
        <v>#N/A</v>
      </c>
      <c r="F180" s="406" t="e">
        <f t="shared" ca="1" si="94"/>
        <v>#N/A</v>
      </c>
      <c r="G180" s="406" t="e">
        <f t="shared" ca="1" si="94"/>
        <v>#N/A</v>
      </c>
      <c r="H180" s="406" t="e">
        <f t="shared" ca="1" si="94"/>
        <v>#N/A</v>
      </c>
      <c r="I180" s="406" t="e">
        <f t="shared" ca="1" si="94"/>
        <v>#N/A</v>
      </c>
      <c r="J180" s="406" t="e">
        <f t="shared" ca="1" si="94"/>
        <v>#N/A</v>
      </c>
      <c r="K180" s="406" t="e">
        <f t="shared" ca="1" si="94"/>
        <v>#N/A</v>
      </c>
      <c r="L180" s="406" t="e">
        <f t="shared" ca="1" si="94"/>
        <v>#N/A</v>
      </c>
      <c r="M180" s="406" t="e">
        <f t="shared" ca="1" si="94"/>
        <v>#N/A</v>
      </c>
      <c r="N180" s="406" t="e">
        <f t="shared" ca="1" si="95"/>
        <v>#N/A</v>
      </c>
      <c r="O180" s="406" t="e">
        <f t="shared" ca="1" si="95"/>
        <v>#N/A</v>
      </c>
      <c r="P180" s="406" t="e">
        <f t="shared" ca="1" si="95"/>
        <v>#N/A</v>
      </c>
      <c r="Q180" s="406" t="e">
        <f t="shared" ca="1" si="95"/>
        <v>#N/A</v>
      </c>
      <c r="R180" s="406" t="e">
        <f t="shared" ca="1" si="95"/>
        <v>#N/A</v>
      </c>
      <c r="S180" s="406" t="e">
        <f t="shared" ca="1" si="95"/>
        <v>#N/A</v>
      </c>
      <c r="T180" s="406" t="e">
        <f t="shared" ca="1" si="95"/>
        <v>#N/A</v>
      </c>
      <c r="U180" s="406" t="e">
        <f t="shared" ca="1" si="95"/>
        <v>#N/A</v>
      </c>
      <c r="V180" s="406" t="e">
        <f t="shared" ca="1" si="95"/>
        <v>#N/A</v>
      </c>
      <c r="W180" s="406" t="e">
        <f t="shared" ca="1" si="95"/>
        <v>#N/A</v>
      </c>
      <c r="X180" s="406" t="e">
        <f t="shared" ca="1" si="96"/>
        <v>#N/A</v>
      </c>
      <c r="Y180" s="406" t="e">
        <f t="shared" ca="1" si="96"/>
        <v>#N/A</v>
      </c>
      <c r="Z180" s="406" t="e">
        <f t="shared" ca="1" si="96"/>
        <v>#N/A</v>
      </c>
      <c r="AA180" s="406" t="e">
        <f t="shared" ca="1" si="96"/>
        <v>#N/A</v>
      </c>
      <c r="AB180" s="406" t="e">
        <f t="shared" ca="1" si="96"/>
        <v>#N/A</v>
      </c>
      <c r="AC180" s="406" t="e">
        <f t="shared" ca="1" si="96"/>
        <v>#N/A</v>
      </c>
      <c r="AD180" s="406" t="e">
        <f t="shared" ca="1" si="96"/>
        <v>#N/A</v>
      </c>
      <c r="AE180" s="406" t="e">
        <f t="shared" ca="1" si="96"/>
        <v>#N/A</v>
      </c>
      <c r="AF180" s="406" t="e">
        <f t="shared" ca="1" si="96"/>
        <v>#N/A</v>
      </c>
      <c r="AG180" s="406" t="e">
        <f t="shared" ca="1" si="96"/>
        <v>#N/A</v>
      </c>
      <c r="AH180" s="406" t="e">
        <f t="shared" ca="1" si="97"/>
        <v>#N/A</v>
      </c>
      <c r="AI180" s="406" t="e">
        <f t="shared" ca="1" si="97"/>
        <v>#N/A</v>
      </c>
      <c r="AJ180" s="406" t="e">
        <f t="shared" ca="1" si="97"/>
        <v>#N/A</v>
      </c>
      <c r="AK180" s="406" t="e">
        <f t="shared" ca="1" si="97"/>
        <v>#N/A</v>
      </c>
      <c r="AL180" s="406" t="e">
        <f t="shared" ca="1" si="97"/>
        <v>#N/A</v>
      </c>
      <c r="AM180" s="406" t="e">
        <f t="shared" ca="1" si="97"/>
        <v>#N/A</v>
      </c>
      <c r="AN180" s="406" t="e">
        <f t="shared" ca="1" si="97"/>
        <v>#N/A</v>
      </c>
      <c r="AO180" s="406" t="e">
        <f t="shared" ca="1" si="97"/>
        <v>#N/A</v>
      </c>
      <c r="AP180" s="406" t="e">
        <f t="shared" ca="1" si="97"/>
        <v>#N/A</v>
      </c>
      <c r="AQ180" s="406" t="e">
        <f t="shared" ca="1" si="97"/>
        <v>#N/A</v>
      </c>
      <c r="AR180" s="406" t="e">
        <f t="shared" ca="1" si="98"/>
        <v>#N/A</v>
      </c>
      <c r="AS180" s="406" t="e">
        <f t="shared" ca="1" si="98"/>
        <v>#N/A</v>
      </c>
      <c r="AT180" s="406" t="e">
        <f t="shared" ca="1" si="98"/>
        <v>#N/A</v>
      </c>
      <c r="AU180" s="406" t="e">
        <f t="shared" ca="1" si="98"/>
        <v>#N/A</v>
      </c>
      <c r="AV180" s="406" t="e">
        <f t="shared" ca="1" si="98"/>
        <v>#N/A</v>
      </c>
      <c r="AW180" s="406" t="e">
        <f t="shared" ca="1" si="98"/>
        <v>#N/A</v>
      </c>
      <c r="AX180" s="406" t="e">
        <f t="shared" ca="1" si="98"/>
        <v>#N/A</v>
      </c>
      <c r="AY180" s="406" t="e">
        <f t="shared" ca="1" si="98"/>
        <v>#N/A</v>
      </c>
      <c r="AZ180" s="406" t="e">
        <f t="shared" ca="1" si="98"/>
        <v>#N/A</v>
      </c>
      <c r="BA180" s="406" t="e">
        <f t="shared" ca="1" si="98"/>
        <v>#N/A</v>
      </c>
      <c r="BB180" s="412" t="s">
        <v>1251</v>
      </c>
      <c r="BC180" s="407" t="str">
        <f t="shared" ca="1" si="72"/>
        <v/>
      </c>
      <c r="BD180" s="410"/>
      <c r="BE180" s="410"/>
    </row>
    <row r="181" spans="3:57" x14ac:dyDescent="0.25">
      <c r="C181" s="406">
        <f t="shared" si="73"/>
        <v>179</v>
      </c>
      <c r="D181" s="406" t="e">
        <f t="shared" ca="1" si="94"/>
        <v>#N/A</v>
      </c>
      <c r="E181" s="406" t="e">
        <f t="shared" ca="1" si="94"/>
        <v>#N/A</v>
      </c>
      <c r="F181" s="406" t="e">
        <f t="shared" ca="1" si="94"/>
        <v>#N/A</v>
      </c>
      <c r="G181" s="406" t="e">
        <f t="shared" ca="1" si="94"/>
        <v>#N/A</v>
      </c>
      <c r="H181" s="406" t="e">
        <f t="shared" ca="1" si="94"/>
        <v>#N/A</v>
      </c>
      <c r="I181" s="406" t="e">
        <f t="shared" ca="1" si="94"/>
        <v>#N/A</v>
      </c>
      <c r="J181" s="406" t="e">
        <f t="shared" ca="1" si="94"/>
        <v>#N/A</v>
      </c>
      <c r="K181" s="406" t="e">
        <f t="shared" ca="1" si="94"/>
        <v>#N/A</v>
      </c>
      <c r="L181" s="406" t="e">
        <f t="shared" ca="1" si="94"/>
        <v>#N/A</v>
      </c>
      <c r="M181" s="406" t="e">
        <f t="shared" ca="1" si="94"/>
        <v>#N/A</v>
      </c>
      <c r="N181" s="406" t="e">
        <f t="shared" ca="1" si="95"/>
        <v>#N/A</v>
      </c>
      <c r="O181" s="406" t="e">
        <f t="shared" ca="1" si="95"/>
        <v>#N/A</v>
      </c>
      <c r="P181" s="406" t="e">
        <f t="shared" ca="1" si="95"/>
        <v>#N/A</v>
      </c>
      <c r="Q181" s="406" t="e">
        <f t="shared" ca="1" si="95"/>
        <v>#N/A</v>
      </c>
      <c r="R181" s="406" t="e">
        <f t="shared" ca="1" si="95"/>
        <v>#N/A</v>
      </c>
      <c r="S181" s="406" t="e">
        <f t="shared" ca="1" si="95"/>
        <v>#N/A</v>
      </c>
      <c r="T181" s="406" t="e">
        <f t="shared" ca="1" si="95"/>
        <v>#N/A</v>
      </c>
      <c r="U181" s="406" t="e">
        <f t="shared" ca="1" si="95"/>
        <v>#N/A</v>
      </c>
      <c r="V181" s="406" t="e">
        <f t="shared" ca="1" si="95"/>
        <v>#N/A</v>
      </c>
      <c r="W181" s="406" t="e">
        <f t="shared" ca="1" si="95"/>
        <v>#N/A</v>
      </c>
      <c r="X181" s="406" t="e">
        <f t="shared" ca="1" si="96"/>
        <v>#N/A</v>
      </c>
      <c r="Y181" s="406" t="e">
        <f t="shared" ca="1" si="96"/>
        <v>#N/A</v>
      </c>
      <c r="Z181" s="406" t="e">
        <f t="shared" ca="1" si="96"/>
        <v>#N/A</v>
      </c>
      <c r="AA181" s="406" t="e">
        <f t="shared" ca="1" si="96"/>
        <v>#N/A</v>
      </c>
      <c r="AB181" s="406" t="e">
        <f t="shared" ca="1" si="96"/>
        <v>#N/A</v>
      </c>
      <c r="AC181" s="406" t="e">
        <f t="shared" ca="1" si="96"/>
        <v>#N/A</v>
      </c>
      <c r="AD181" s="406" t="e">
        <f t="shared" ca="1" si="96"/>
        <v>#N/A</v>
      </c>
      <c r="AE181" s="406" t="e">
        <f t="shared" ca="1" si="96"/>
        <v>#N/A</v>
      </c>
      <c r="AF181" s="406" t="e">
        <f t="shared" ca="1" si="96"/>
        <v>#N/A</v>
      </c>
      <c r="AG181" s="406" t="e">
        <f t="shared" ca="1" si="96"/>
        <v>#N/A</v>
      </c>
      <c r="AH181" s="406" t="e">
        <f t="shared" ca="1" si="97"/>
        <v>#N/A</v>
      </c>
      <c r="AI181" s="406" t="e">
        <f t="shared" ca="1" si="97"/>
        <v>#N/A</v>
      </c>
      <c r="AJ181" s="406" t="e">
        <f t="shared" ca="1" si="97"/>
        <v>#N/A</v>
      </c>
      <c r="AK181" s="406" t="e">
        <f t="shared" ca="1" si="97"/>
        <v>#N/A</v>
      </c>
      <c r="AL181" s="406" t="e">
        <f t="shared" ca="1" si="97"/>
        <v>#N/A</v>
      </c>
      <c r="AM181" s="406" t="e">
        <f t="shared" ca="1" si="97"/>
        <v>#N/A</v>
      </c>
      <c r="AN181" s="406" t="e">
        <f t="shared" ca="1" si="97"/>
        <v>#N/A</v>
      </c>
      <c r="AO181" s="406" t="e">
        <f t="shared" ca="1" si="97"/>
        <v>#N/A</v>
      </c>
      <c r="AP181" s="406" t="e">
        <f t="shared" ca="1" si="97"/>
        <v>#N/A</v>
      </c>
      <c r="AQ181" s="406" t="e">
        <f t="shared" ca="1" si="97"/>
        <v>#N/A</v>
      </c>
      <c r="AR181" s="406" t="e">
        <f t="shared" ca="1" si="98"/>
        <v>#N/A</v>
      </c>
      <c r="AS181" s="406" t="e">
        <f t="shared" ca="1" si="98"/>
        <v>#N/A</v>
      </c>
      <c r="AT181" s="406" t="e">
        <f t="shared" ca="1" si="98"/>
        <v>#N/A</v>
      </c>
      <c r="AU181" s="406" t="e">
        <f t="shared" ca="1" si="98"/>
        <v>#N/A</v>
      </c>
      <c r="AV181" s="406" t="e">
        <f t="shared" ca="1" si="98"/>
        <v>#N/A</v>
      </c>
      <c r="AW181" s="406" t="e">
        <f t="shared" ca="1" si="98"/>
        <v>#N/A</v>
      </c>
      <c r="AX181" s="406" t="e">
        <f t="shared" ca="1" si="98"/>
        <v>#N/A</v>
      </c>
      <c r="AY181" s="406" t="e">
        <f t="shared" ca="1" si="98"/>
        <v>#N/A</v>
      </c>
      <c r="AZ181" s="406" t="e">
        <f t="shared" ca="1" si="98"/>
        <v>#N/A</v>
      </c>
      <c r="BA181" s="406" t="e">
        <f t="shared" ca="1" si="98"/>
        <v>#N/A</v>
      </c>
      <c r="BB181" s="412" t="s">
        <v>1252</v>
      </c>
      <c r="BC181" s="407" t="str">
        <f t="shared" ca="1" si="72"/>
        <v/>
      </c>
      <c r="BD181" s="410"/>
      <c r="BE181" s="410"/>
    </row>
    <row r="182" spans="3:57" x14ac:dyDescent="0.25">
      <c r="C182" s="406">
        <f t="shared" si="73"/>
        <v>180</v>
      </c>
      <c r="D182" s="406" t="e">
        <f t="shared" ref="D182:M191" ca="1" si="99">TRIM(INDIRECT("'" &amp; "TNX RTF" &amp; "'!" &amp; ADDRESS($A$3+$C182,D$1)))</f>
        <v>#N/A</v>
      </c>
      <c r="E182" s="406" t="e">
        <f t="shared" ca="1" si="99"/>
        <v>#N/A</v>
      </c>
      <c r="F182" s="406" t="e">
        <f t="shared" ca="1" si="99"/>
        <v>#N/A</v>
      </c>
      <c r="G182" s="406" t="e">
        <f t="shared" ca="1" si="99"/>
        <v>#N/A</v>
      </c>
      <c r="H182" s="406" t="e">
        <f t="shared" ca="1" si="99"/>
        <v>#N/A</v>
      </c>
      <c r="I182" s="406" t="e">
        <f t="shared" ca="1" si="99"/>
        <v>#N/A</v>
      </c>
      <c r="J182" s="406" t="e">
        <f t="shared" ca="1" si="99"/>
        <v>#N/A</v>
      </c>
      <c r="K182" s="406" t="e">
        <f t="shared" ca="1" si="99"/>
        <v>#N/A</v>
      </c>
      <c r="L182" s="406" t="e">
        <f t="shared" ca="1" si="99"/>
        <v>#N/A</v>
      </c>
      <c r="M182" s="406" t="e">
        <f t="shared" ca="1" si="99"/>
        <v>#N/A</v>
      </c>
      <c r="N182" s="406" t="e">
        <f t="shared" ref="N182:W191" ca="1" si="100">TRIM(INDIRECT("'" &amp; "TNX RTF" &amp; "'!" &amp; ADDRESS($A$3+$C182,N$1)))</f>
        <v>#N/A</v>
      </c>
      <c r="O182" s="406" t="e">
        <f t="shared" ca="1" si="100"/>
        <v>#N/A</v>
      </c>
      <c r="P182" s="406" t="e">
        <f t="shared" ca="1" si="100"/>
        <v>#N/A</v>
      </c>
      <c r="Q182" s="406" t="e">
        <f t="shared" ca="1" si="100"/>
        <v>#N/A</v>
      </c>
      <c r="R182" s="406" t="e">
        <f t="shared" ca="1" si="100"/>
        <v>#N/A</v>
      </c>
      <c r="S182" s="406" t="e">
        <f t="shared" ca="1" si="100"/>
        <v>#N/A</v>
      </c>
      <c r="T182" s="406" t="e">
        <f t="shared" ca="1" si="100"/>
        <v>#N/A</v>
      </c>
      <c r="U182" s="406" t="e">
        <f t="shared" ca="1" si="100"/>
        <v>#N/A</v>
      </c>
      <c r="V182" s="406" t="e">
        <f t="shared" ca="1" si="100"/>
        <v>#N/A</v>
      </c>
      <c r="W182" s="406" t="e">
        <f t="shared" ca="1" si="100"/>
        <v>#N/A</v>
      </c>
      <c r="X182" s="406" t="e">
        <f t="shared" ref="X182:AG191" ca="1" si="101">TRIM(INDIRECT("'" &amp; "TNX RTF" &amp; "'!" &amp; ADDRESS($A$3+$C182,X$1)))</f>
        <v>#N/A</v>
      </c>
      <c r="Y182" s="406" t="e">
        <f t="shared" ca="1" si="101"/>
        <v>#N/A</v>
      </c>
      <c r="Z182" s="406" t="e">
        <f t="shared" ca="1" si="101"/>
        <v>#N/A</v>
      </c>
      <c r="AA182" s="406" t="e">
        <f t="shared" ca="1" si="101"/>
        <v>#N/A</v>
      </c>
      <c r="AB182" s="406" t="e">
        <f t="shared" ca="1" si="101"/>
        <v>#N/A</v>
      </c>
      <c r="AC182" s="406" t="e">
        <f t="shared" ca="1" si="101"/>
        <v>#N/A</v>
      </c>
      <c r="AD182" s="406" t="e">
        <f t="shared" ca="1" si="101"/>
        <v>#N/A</v>
      </c>
      <c r="AE182" s="406" t="e">
        <f t="shared" ca="1" si="101"/>
        <v>#N/A</v>
      </c>
      <c r="AF182" s="406" t="e">
        <f t="shared" ca="1" si="101"/>
        <v>#N/A</v>
      </c>
      <c r="AG182" s="406" t="e">
        <f t="shared" ca="1" si="101"/>
        <v>#N/A</v>
      </c>
      <c r="AH182" s="406" t="e">
        <f t="shared" ref="AH182:AQ191" ca="1" si="102">TRIM(INDIRECT("'" &amp; "TNX RTF" &amp; "'!" &amp; ADDRESS($A$3+$C182,AH$1)))</f>
        <v>#N/A</v>
      </c>
      <c r="AI182" s="406" t="e">
        <f t="shared" ca="1" si="102"/>
        <v>#N/A</v>
      </c>
      <c r="AJ182" s="406" t="e">
        <f t="shared" ca="1" si="102"/>
        <v>#N/A</v>
      </c>
      <c r="AK182" s="406" t="e">
        <f t="shared" ca="1" si="102"/>
        <v>#N/A</v>
      </c>
      <c r="AL182" s="406" t="e">
        <f t="shared" ca="1" si="102"/>
        <v>#N/A</v>
      </c>
      <c r="AM182" s="406" t="e">
        <f t="shared" ca="1" si="102"/>
        <v>#N/A</v>
      </c>
      <c r="AN182" s="406" t="e">
        <f t="shared" ca="1" si="102"/>
        <v>#N/A</v>
      </c>
      <c r="AO182" s="406" t="e">
        <f t="shared" ca="1" si="102"/>
        <v>#N/A</v>
      </c>
      <c r="AP182" s="406" t="e">
        <f t="shared" ca="1" si="102"/>
        <v>#N/A</v>
      </c>
      <c r="AQ182" s="406" t="e">
        <f t="shared" ca="1" si="102"/>
        <v>#N/A</v>
      </c>
      <c r="AR182" s="406" t="e">
        <f t="shared" ref="AR182:BA191" ca="1" si="103">TRIM(INDIRECT("'" &amp; "TNX RTF" &amp; "'!" &amp; ADDRESS($A$3+$C182,AR$1)))</f>
        <v>#N/A</v>
      </c>
      <c r="AS182" s="406" t="e">
        <f t="shared" ca="1" si="103"/>
        <v>#N/A</v>
      </c>
      <c r="AT182" s="406" t="e">
        <f t="shared" ca="1" si="103"/>
        <v>#N/A</v>
      </c>
      <c r="AU182" s="406" t="e">
        <f t="shared" ca="1" si="103"/>
        <v>#N/A</v>
      </c>
      <c r="AV182" s="406" t="e">
        <f t="shared" ca="1" si="103"/>
        <v>#N/A</v>
      </c>
      <c r="AW182" s="406" t="e">
        <f t="shared" ca="1" si="103"/>
        <v>#N/A</v>
      </c>
      <c r="AX182" s="406" t="e">
        <f t="shared" ca="1" si="103"/>
        <v>#N/A</v>
      </c>
      <c r="AY182" s="406" t="e">
        <f t="shared" ca="1" si="103"/>
        <v>#N/A</v>
      </c>
      <c r="AZ182" s="406" t="e">
        <f t="shared" ca="1" si="103"/>
        <v>#N/A</v>
      </c>
      <c r="BA182" s="406" t="e">
        <f t="shared" ca="1" si="103"/>
        <v>#N/A</v>
      </c>
      <c r="BB182" s="412" t="s">
        <v>1253</v>
      </c>
      <c r="BC182" s="407" t="str">
        <f t="shared" ca="1" si="72"/>
        <v/>
      </c>
      <c r="BD182" s="410"/>
      <c r="BE182" s="410"/>
    </row>
    <row r="183" spans="3:57" x14ac:dyDescent="0.25">
      <c r="C183" s="406">
        <f t="shared" si="73"/>
        <v>181</v>
      </c>
      <c r="D183" s="406" t="e">
        <f t="shared" ca="1" si="99"/>
        <v>#N/A</v>
      </c>
      <c r="E183" s="406" t="e">
        <f t="shared" ca="1" si="99"/>
        <v>#N/A</v>
      </c>
      <c r="F183" s="406" t="e">
        <f t="shared" ca="1" si="99"/>
        <v>#N/A</v>
      </c>
      <c r="G183" s="406" t="e">
        <f t="shared" ca="1" si="99"/>
        <v>#N/A</v>
      </c>
      <c r="H183" s="406" t="e">
        <f t="shared" ca="1" si="99"/>
        <v>#N/A</v>
      </c>
      <c r="I183" s="406" t="e">
        <f t="shared" ca="1" si="99"/>
        <v>#N/A</v>
      </c>
      <c r="J183" s="406" t="e">
        <f t="shared" ca="1" si="99"/>
        <v>#N/A</v>
      </c>
      <c r="K183" s="406" t="e">
        <f t="shared" ca="1" si="99"/>
        <v>#N/A</v>
      </c>
      <c r="L183" s="406" t="e">
        <f t="shared" ca="1" si="99"/>
        <v>#N/A</v>
      </c>
      <c r="M183" s="406" t="e">
        <f t="shared" ca="1" si="99"/>
        <v>#N/A</v>
      </c>
      <c r="N183" s="406" t="e">
        <f t="shared" ca="1" si="100"/>
        <v>#N/A</v>
      </c>
      <c r="O183" s="406" t="e">
        <f t="shared" ca="1" si="100"/>
        <v>#N/A</v>
      </c>
      <c r="P183" s="406" t="e">
        <f t="shared" ca="1" si="100"/>
        <v>#N/A</v>
      </c>
      <c r="Q183" s="406" t="e">
        <f t="shared" ca="1" si="100"/>
        <v>#N/A</v>
      </c>
      <c r="R183" s="406" t="e">
        <f t="shared" ca="1" si="100"/>
        <v>#N/A</v>
      </c>
      <c r="S183" s="406" t="e">
        <f t="shared" ca="1" si="100"/>
        <v>#N/A</v>
      </c>
      <c r="T183" s="406" t="e">
        <f t="shared" ca="1" si="100"/>
        <v>#N/A</v>
      </c>
      <c r="U183" s="406" t="e">
        <f t="shared" ca="1" si="100"/>
        <v>#N/A</v>
      </c>
      <c r="V183" s="406" t="e">
        <f t="shared" ca="1" si="100"/>
        <v>#N/A</v>
      </c>
      <c r="W183" s="406" t="e">
        <f t="shared" ca="1" si="100"/>
        <v>#N/A</v>
      </c>
      <c r="X183" s="406" t="e">
        <f t="shared" ca="1" si="101"/>
        <v>#N/A</v>
      </c>
      <c r="Y183" s="406" t="e">
        <f t="shared" ca="1" si="101"/>
        <v>#N/A</v>
      </c>
      <c r="Z183" s="406" t="e">
        <f t="shared" ca="1" si="101"/>
        <v>#N/A</v>
      </c>
      <c r="AA183" s="406" t="e">
        <f t="shared" ca="1" si="101"/>
        <v>#N/A</v>
      </c>
      <c r="AB183" s="406" t="e">
        <f t="shared" ca="1" si="101"/>
        <v>#N/A</v>
      </c>
      <c r="AC183" s="406" t="e">
        <f t="shared" ca="1" si="101"/>
        <v>#N/A</v>
      </c>
      <c r="AD183" s="406" t="e">
        <f t="shared" ca="1" si="101"/>
        <v>#N/A</v>
      </c>
      <c r="AE183" s="406" t="e">
        <f t="shared" ca="1" si="101"/>
        <v>#N/A</v>
      </c>
      <c r="AF183" s="406" t="e">
        <f t="shared" ca="1" si="101"/>
        <v>#N/A</v>
      </c>
      <c r="AG183" s="406" t="e">
        <f t="shared" ca="1" si="101"/>
        <v>#N/A</v>
      </c>
      <c r="AH183" s="406" t="e">
        <f t="shared" ca="1" si="102"/>
        <v>#N/A</v>
      </c>
      <c r="AI183" s="406" t="e">
        <f t="shared" ca="1" si="102"/>
        <v>#N/A</v>
      </c>
      <c r="AJ183" s="406" t="e">
        <f t="shared" ca="1" si="102"/>
        <v>#N/A</v>
      </c>
      <c r="AK183" s="406" t="e">
        <f t="shared" ca="1" si="102"/>
        <v>#N/A</v>
      </c>
      <c r="AL183" s="406" t="e">
        <f t="shared" ca="1" si="102"/>
        <v>#N/A</v>
      </c>
      <c r="AM183" s="406" t="e">
        <f t="shared" ca="1" si="102"/>
        <v>#N/A</v>
      </c>
      <c r="AN183" s="406" t="e">
        <f t="shared" ca="1" si="102"/>
        <v>#N/A</v>
      </c>
      <c r="AO183" s="406" t="e">
        <f t="shared" ca="1" si="102"/>
        <v>#N/A</v>
      </c>
      <c r="AP183" s="406" t="e">
        <f t="shared" ca="1" si="102"/>
        <v>#N/A</v>
      </c>
      <c r="AQ183" s="406" t="e">
        <f t="shared" ca="1" si="102"/>
        <v>#N/A</v>
      </c>
      <c r="AR183" s="406" t="e">
        <f t="shared" ca="1" si="103"/>
        <v>#N/A</v>
      </c>
      <c r="AS183" s="406" t="e">
        <f t="shared" ca="1" si="103"/>
        <v>#N/A</v>
      </c>
      <c r="AT183" s="406" t="e">
        <f t="shared" ca="1" si="103"/>
        <v>#N/A</v>
      </c>
      <c r="AU183" s="406" t="e">
        <f t="shared" ca="1" si="103"/>
        <v>#N/A</v>
      </c>
      <c r="AV183" s="406" t="e">
        <f t="shared" ca="1" si="103"/>
        <v>#N/A</v>
      </c>
      <c r="AW183" s="406" t="e">
        <f t="shared" ca="1" si="103"/>
        <v>#N/A</v>
      </c>
      <c r="AX183" s="406" t="e">
        <f t="shared" ca="1" si="103"/>
        <v>#N/A</v>
      </c>
      <c r="AY183" s="406" t="e">
        <f t="shared" ca="1" si="103"/>
        <v>#N/A</v>
      </c>
      <c r="AZ183" s="406" t="e">
        <f t="shared" ca="1" si="103"/>
        <v>#N/A</v>
      </c>
      <c r="BA183" s="406" t="e">
        <f t="shared" ca="1" si="103"/>
        <v>#N/A</v>
      </c>
      <c r="BB183" s="412" t="s">
        <v>1254</v>
      </c>
      <c r="BC183" s="407" t="str">
        <f t="shared" ca="1" si="72"/>
        <v/>
      </c>
      <c r="BD183" s="410"/>
      <c r="BE183" s="410"/>
    </row>
    <row r="184" spans="3:57" x14ac:dyDescent="0.25">
      <c r="C184" s="406">
        <f t="shared" si="73"/>
        <v>182</v>
      </c>
      <c r="D184" s="406" t="e">
        <f t="shared" ca="1" si="99"/>
        <v>#N/A</v>
      </c>
      <c r="E184" s="406" t="e">
        <f t="shared" ca="1" si="99"/>
        <v>#N/A</v>
      </c>
      <c r="F184" s="406" t="e">
        <f t="shared" ca="1" si="99"/>
        <v>#N/A</v>
      </c>
      <c r="G184" s="406" t="e">
        <f t="shared" ca="1" si="99"/>
        <v>#N/A</v>
      </c>
      <c r="H184" s="406" t="e">
        <f t="shared" ca="1" si="99"/>
        <v>#N/A</v>
      </c>
      <c r="I184" s="406" t="e">
        <f t="shared" ca="1" si="99"/>
        <v>#N/A</v>
      </c>
      <c r="J184" s="406" t="e">
        <f t="shared" ca="1" si="99"/>
        <v>#N/A</v>
      </c>
      <c r="K184" s="406" t="e">
        <f t="shared" ca="1" si="99"/>
        <v>#N/A</v>
      </c>
      <c r="L184" s="406" t="e">
        <f t="shared" ca="1" si="99"/>
        <v>#N/A</v>
      </c>
      <c r="M184" s="406" t="e">
        <f t="shared" ca="1" si="99"/>
        <v>#N/A</v>
      </c>
      <c r="N184" s="406" t="e">
        <f t="shared" ca="1" si="100"/>
        <v>#N/A</v>
      </c>
      <c r="O184" s="406" t="e">
        <f t="shared" ca="1" si="100"/>
        <v>#N/A</v>
      </c>
      <c r="P184" s="406" t="e">
        <f t="shared" ca="1" si="100"/>
        <v>#N/A</v>
      </c>
      <c r="Q184" s="406" t="e">
        <f t="shared" ca="1" si="100"/>
        <v>#N/A</v>
      </c>
      <c r="R184" s="406" t="e">
        <f t="shared" ca="1" si="100"/>
        <v>#N/A</v>
      </c>
      <c r="S184" s="406" t="e">
        <f t="shared" ca="1" si="100"/>
        <v>#N/A</v>
      </c>
      <c r="T184" s="406" t="e">
        <f t="shared" ca="1" si="100"/>
        <v>#N/A</v>
      </c>
      <c r="U184" s="406" t="e">
        <f t="shared" ca="1" si="100"/>
        <v>#N/A</v>
      </c>
      <c r="V184" s="406" t="e">
        <f t="shared" ca="1" si="100"/>
        <v>#N/A</v>
      </c>
      <c r="W184" s="406" t="e">
        <f t="shared" ca="1" si="100"/>
        <v>#N/A</v>
      </c>
      <c r="X184" s="406" t="e">
        <f t="shared" ca="1" si="101"/>
        <v>#N/A</v>
      </c>
      <c r="Y184" s="406" t="e">
        <f t="shared" ca="1" si="101"/>
        <v>#N/A</v>
      </c>
      <c r="Z184" s="406" t="e">
        <f t="shared" ca="1" si="101"/>
        <v>#N/A</v>
      </c>
      <c r="AA184" s="406" t="e">
        <f t="shared" ca="1" si="101"/>
        <v>#N/A</v>
      </c>
      <c r="AB184" s="406" t="e">
        <f t="shared" ca="1" si="101"/>
        <v>#N/A</v>
      </c>
      <c r="AC184" s="406" t="e">
        <f t="shared" ca="1" si="101"/>
        <v>#N/A</v>
      </c>
      <c r="AD184" s="406" t="e">
        <f t="shared" ca="1" si="101"/>
        <v>#N/A</v>
      </c>
      <c r="AE184" s="406" t="e">
        <f t="shared" ca="1" si="101"/>
        <v>#N/A</v>
      </c>
      <c r="AF184" s="406" t="e">
        <f t="shared" ca="1" si="101"/>
        <v>#N/A</v>
      </c>
      <c r="AG184" s="406" t="e">
        <f t="shared" ca="1" si="101"/>
        <v>#N/A</v>
      </c>
      <c r="AH184" s="406" t="e">
        <f t="shared" ca="1" si="102"/>
        <v>#N/A</v>
      </c>
      <c r="AI184" s="406" t="e">
        <f t="shared" ca="1" si="102"/>
        <v>#N/A</v>
      </c>
      <c r="AJ184" s="406" t="e">
        <f t="shared" ca="1" si="102"/>
        <v>#N/A</v>
      </c>
      <c r="AK184" s="406" t="e">
        <f t="shared" ca="1" si="102"/>
        <v>#N/A</v>
      </c>
      <c r="AL184" s="406" t="e">
        <f t="shared" ca="1" si="102"/>
        <v>#N/A</v>
      </c>
      <c r="AM184" s="406" t="e">
        <f t="shared" ca="1" si="102"/>
        <v>#N/A</v>
      </c>
      <c r="AN184" s="406" t="e">
        <f t="shared" ca="1" si="102"/>
        <v>#N/A</v>
      </c>
      <c r="AO184" s="406" t="e">
        <f t="shared" ca="1" si="102"/>
        <v>#N/A</v>
      </c>
      <c r="AP184" s="406" t="e">
        <f t="shared" ca="1" si="102"/>
        <v>#N/A</v>
      </c>
      <c r="AQ184" s="406" t="e">
        <f t="shared" ca="1" si="102"/>
        <v>#N/A</v>
      </c>
      <c r="AR184" s="406" t="e">
        <f t="shared" ca="1" si="103"/>
        <v>#N/A</v>
      </c>
      <c r="AS184" s="406" t="e">
        <f t="shared" ca="1" si="103"/>
        <v>#N/A</v>
      </c>
      <c r="AT184" s="406" t="e">
        <f t="shared" ca="1" si="103"/>
        <v>#N/A</v>
      </c>
      <c r="AU184" s="406" t="e">
        <f t="shared" ca="1" si="103"/>
        <v>#N/A</v>
      </c>
      <c r="AV184" s="406" t="e">
        <f t="shared" ca="1" si="103"/>
        <v>#N/A</v>
      </c>
      <c r="AW184" s="406" t="e">
        <f t="shared" ca="1" si="103"/>
        <v>#N/A</v>
      </c>
      <c r="AX184" s="406" t="e">
        <f t="shared" ca="1" si="103"/>
        <v>#N/A</v>
      </c>
      <c r="AY184" s="406" t="e">
        <f t="shared" ca="1" si="103"/>
        <v>#N/A</v>
      </c>
      <c r="AZ184" s="406" t="e">
        <f t="shared" ca="1" si="103"/>
        <v>#N/A</v>
      </c>
      <c r="BA184" s="406" t="e">
        <f t="shared" ca="1" si="103"/>
        <v>#N/A</v>
      </c>
      <c r="BB184" s="412" t="s">
        <v>1255</v>
      </c>
      <c r="BC184" s="407" t="str">
        <f t="shared" ca="1" si="72"/>
        <v/>
      </c>
      <c r="BD184" s="410"/>
      <c r="BE184" s="410"/>
    </row>
    <row r="185" spans="3:57" x14ac:dyDescent="0.25">
      <c r="C185" s="406">
        <f t="shared" si="73"/>
        <v>183</v>
      </c>
      <c r="D185" s="406" t="e">
        <f t="shared" ca="1" si="99"/>
        <v>#N/A</v>
      </c>
      <c r="E185" s="406" t="e">
        <f t="shared" ca="1" si="99"/>
        <v>#N/A</v>
      </c>
      <c r="F185" s="406" t="e">
        <f t="shared" ca="1" si="99"/>
        <v>#N/A</v>
      </c>
      <c r="G185" s="406" t="e">
        <f t="shared" ca="1" si="99"/>
        <v>#N/A</v>
      </c>
      <c r="H185" s="406" t="e">
        <f t="shared" ca="1" si="99"/>
        <v>#N/A</v>
      </c>
      <c r="I185" s="406" t="e">
        <f t="shared" ca="1" si="99"/>
        <v>#N/A</v>
      </c>
      <c r="J185" s="406" t="e">
        <f t="shared" ca="1" si="99"/>
        <v>#N/A</v>
      </c>
      <c r="K185" s="406" t="e">
        <f t="shared" ca="1" si="99"/>
        <v>#N/A</v>
      </c>
      <c r="L185" s="406" t="e">
        <f t="shared" ca="1" si="99"/>
        <v>#N/A</v>
      </c>
      <c r="M185" s="406" t="e">
        <f t="shared" ca="1" si="99"/>
        <v>#N/A</v>
      </c>
      <c r="N185" s="406" t="e">
        <f t="shared" ca="1" si="100"/>
        <v>#N/A</v>
      </c>
      <c r="O185" s="406" t="e">
        <f t="shared" ca="1" si="100"/>
        <v>#N/A</v>
      </c>
      <c r="P185" s="406" t="e">
        <f t="shared" ca="1" si="100"/>
        <v>#N/A</v>
      </c>
      <c r="Q185" s="406" t="e">
        <f t="shared" ca="1" si="100"/>
        <v>#N/A</v>
      </c>
      <c r="R185" s="406" t="e">
        <f t="shared" ca="1" si="100"/>
        <v>#N/A</v>
      </c>
      <c r="S185" s="406" t="e">
        <f t="shared" ca="1" si="100"/>
        <v>#N/A</v>
      </c>
      <c r="T185" s="406" t="e">
        <f t="shared" ca="1" si="100"/>
        <v>#N/A</v>
      </c>
      <c r="U185" s="406" t="e">
        <f t="shared" ca="1" si="100"/>
        <v>#N/A</v>
      </c>
      <c r="V185" s="406" t="e">
        <f t="shared" ca="1" si="100"/>
        <v>#N/A</v>
      </c>
      <c r="W185" s="406" t="e">
        <f t="shared" ca="1" si="100"/>
        <v>#N/A</v>
      </c>
      <c r="X185" s="406" t="e">
        <f t="shared" ca="1" si="101"/>
        <v>#N/A</v>
      </c>
      <c r="Y185" s="406" t="e">
        <f t="shared" ca="1" si="101"/>
        <v>#N/A</v>
      </c>
      <c r="Z185" s="406" t="e">
        <f t="shared" ca="1" si="101"/>
        <v>#N/A</v>
      </c>
      <c r="AA185" s="406" t="e">
        <f t="shared" ca="1" si="101"/>
        <v>#N/A</v>
      </c>
      <c r="AB185" s="406" t="e">
        <f t="shared" ca="1" si="101"/>
        <v>#N/A</v>
      </c>
      <c r="AC185" s="406" t="e">
        <f t="shared" ca="1" si="101"/>
        <v>#N/A</v>
      </c>
      <c r="AD185" s="406" t="e">
        <f t="shared" ca="1" si="101"/>
        <v>#N/A</v>
      </c>
      <c r="AE185" s="406" t="e">
        <f t="shared" ca="1" si="101"/>
        <v>#N/A</v>
      </c>
      <c r="AF185" s="406" t="e">
        <f t="shared" ca="1" si="101"/>
        <v>#N/A</v>
      </c>
      <c r="AG185" s="406" t="e">
        <f t="shared" ca="1" si="101"/>
        <v>#N/A</v>
      </c>
      <c r="AH185" s="406" t="e">
        <f t="shared" ca="1" si="102"/>
        <v>#N/A</v>
      </c>
      <c r="AI185" s="406" t="e">
        <f t="shared" ca="1" si="102"/>
        <v>#N/A</v>
      </c>
      <c r="AJ185" s="406" t="e">
        <f t="shared" ca="1" si="102"/>
        <v>#N/A</v>
      </c>
      <c r="AK185" s="406" t="e">
        <f t="shared" ca="1" si="102"/>
        <v>#N/A</v>
      </c>
      <c r="AL185" s="406" t="e">
        <f t="shared" ca="1" si="102"/>
        <v>#N/A</v>
      </c>
      <c r="AM185" s="406" t="e">
        <f t="shared" ca="1" si="102"/>
        <v>#N/A</v>
      </c>
      <c r="AN185" s="406" t="e">
        <f t="shared" ca="1" si="102"/>
        <v>#N/A</v>
      </c>
      <c r="AO185" s="406" t="e">
        <f t="shared" ca="1" si="102"/>
        <v>#N/A</v>
      </c>
      <c r="AP185" s="406" t="e">
        <f t="shared" ca="1" si="102"/>
        <v>#N/A</v>
      </c>
      <c r="AQ185" s="406" t="e">
        <f t="shared" ca="1" si="102"/>
        <v>#N/A</v>
      </c>
      <c r="AR185" s="406" t="e">
        <f t="shared" ca="1" si="103"/>
        <v>#N/A</v>
      </c>
      <c r="AS185" s="406" t="e">
        <f t="shared" ca="1" si="103"/>
        <v>#N/A</v>
      </c>
      <c r="AT185" s="406" t="e">
        <f t="shared" ca="1" si="103"/>
        <v>#N/A</v>
      </c>
      <c r="AU185" s="406" t="e">
        <f t="shared" ca="1" si="103"/>
        <v>#N/A</v>
      </c>
      <c r="AV185" s="406" t="e">
        <f t="shared" ca="1" si="103"/>
        <v>#N/A</v>
      </c>
      <c r="AW185" s="406" t="e">
        <f t="shared" ca="1" si="103"/>
        <v>#N/A</v>
      </c>
      <c r="AX185" s="406" t="e">
        <f t="shared" ca="1" si="103"/>
        <v>#N/A</v>
      </c>
      <c r="AY185" s="406" t="e">
        <f t="shared" ca="1" si="103"/>
        <v>#N/A</v>
      </c>
      <c r="AZ185" s="406" t="e">
        <f t="shared" ca="1" si="103"/>
        <v>#N/A</v>
      </c>
      <c r="BA185" s="406" t="e">
        <f t="shared" ca="1" si="103"/>
        <v>#N/A</v>
      </c>
      <c r="BB185" s="412" t="s">
        <v>1256</v>
      </c>
      <c r="BC185" s="407" t="str">
        <f t="shared" ca="1" si="72"/>
        <v/>
      </c>
      <c r="BD185" s="410"/>
      <c r="BE185" s="410"/>
    </row>
    <row r="186" spans="3:57" x14ac:dyDescent="0.25">
      <c r="C186" s="406">
        <f t="shared" si="73"/>
        <v>184</v>
      </c>
      <c r="D186" s="406" t="e">
        <f t="shared" ca="1" si="99"/>
        <v>#N/A</v>
      </c>
      <c r="E186" s="406" t="e">
        <f t="shared" ca="1" si="99"/>
        <v>#N/A</v>
      </c>
      <c r="F186" s="406" t="e">
        <f t="shared" ca="1" si="99"/>
        <v>#N/A</v>
      </c>
      <c r="G186" s="406" t="e">
        <f t="shared" ca="1" si="99"/>
        <v>#N/A</v>
      </c>
      <c r="H186" s="406" t="e">
        <f t="shared" ca="1" si="99"/>
        <v>#N/A</v>
      </c>
      <c r="I186" s="406" t="e">
        <f t="shared" ca="1" si="99"/>
        <v>#N/A</v>
      </c>
      <c r="J186" s="406" t="e">
        <f t="shared" ca="1" si="99"/>
        <v>#N/A</v>
      </c>
      <c r="K186" s="406" t="e">
        <f t="shared" ca="1" si="99"/>
        <v>#N/A</v>
      </c>
      <c r="L186" s="406" t="e">
        <f t="shared" ca="1" si="99"/>
        <v>#N/A</v>
      </c>
      <c r="M186" s="406" t="e">
        <f t="shared" ca="1" si="99"/>
        <v>#N/A</v>
      </c>
      <c r="N186" s="406" t="e">
        <f t="shared" ca="1" si="100"/>
        <v>#N/A</v>
      </c>
      <c r="O186" s="406" t="e">
        <f t="shared" ca="1" si="100"/>
        <v>#N/A</v>
      </c>
      <c r="P186" s="406" t="e">
        <f t="shared" ca="1" si="100"/>
        <v>#N/A</v>
      </c>
      <c r="Q186" s="406" t="e">
        <f t="shared" ca="1" si="100"/>
        <v>#N/A</v>
      </c>
      <c r="R186" s="406" t="e">
        <f t="shared" ca="1" si="100"/>
        <v>#N/A</v>
      </c>
      <c r="S186" s="406" t="e">
        <f t="shared" ca="1" si="100"/>
        <v>#N/A</v>
      </c>
      <c r="T186" s="406" t="e">
        <f t="shared" ca="1" si="100"/>
        <v>#N/A</v>
      </c>
      <c r="U186" s="406" t="e">
        <f t="shared" ca="1" si="100"/>
        <v>#N/A</v>
      </c>
      <c r="V186" s="406" t="e">
        <f t="shared" ca="1" si="100"/>
        <v>#N/A</v>
      </c>
      <c r="W186" s="406" t="e">
        <f t="shared" ca="1" si="100"/>
        <v>#N/A</v>
      </c>
      <c r="X186" s="406" t="e">
        <f t="shared" ca="1" si="101"/>
        <v>#N/A</v>
      </c>
      <c r="Y186" s="406" t="e">
        <f t="shared" ca="1" si="101"/>
        <v>#N/A</v>
      </c>
      <c r="Z186" s="406" t="e">
        <f t="shared" ca="1" si="101"/>
        <v>#N/A</v>
      </c>
      <c r="AA186" s="406" t="e">
        <f t="shared" ca="1" si="101"/>
        <v>#N/A</v>
      </c>
      <c r="AB186" s="406" t="e">
        <f t="shared" ca="1" si="101"/>
        <v>#N/A</v>
      </c>
      <c r="AC186" s="406" t="e">
        <f t="shared" ca="1" si="101"/>
        <v>#N/A</v>
      </c>
      <c r="AD186" s="406" t="e">
        <f t="shared" ca="1" si="101"/>
        <v>#N/A</v>
      </c>
      <c r="AE186" s="406" t="e">
        <f t="shared" ca="1" si="101"/>
        <v>#N/A</v>
      </c>
      <c r="AF186" s="406" t="e">
        <f t="shared" ca="1" si="101"/>
        <v>#N/A</v>
      </c>
      <c r="AG186" s="406" t="e">
        <f t="shared" ca="1" si="101"/>
        <v>#N/A</v>
      </c>
      <c r="AH186" s="406" t="e">
        <f t="shared" ca="1" si="102"/>
        <v>#N/A</v>
      </c>
      <c r="AI186" s="406" t="e">
        <f t="shared" ca="1" si="102"/>
        <v>#N/A</v>
      </c>
      <c r="AJ186" s="406" t="e">
        <f t="shared" ca="1" si="102"/>
        <v>#N/A</v>
      </c>
      <c r="AK186" s="406" t="e">
        <f t="shared" ca="1" si="102"/>
        <v>#N/A</v>
      </c>
      <c r="AL186" s="406" t="e">
        <f t="shared" ca="1" si="102"/>
        <v>#N/A</v>
      </c>
      <c r="AM186" s="406" t="e">
        <f t="shared" ca="1" si="102"/>
        <v>#N/A</v>
      </c>
      <c r="AN186" s="406" t="e">
        <f t="shared" ca="1" si="102"/>
        <v>#N/A</v>
      </c>
      <c r="AO186" s="406" t="e">
        <f t="shared" ca="1" si="102"/>
        <v>#N/A</v>
      </c>
      <c r="AP186" s="406" t="e">
        <f t="shared" ca="1" si="102"/>
        <v>#N/A</v>
      </c>
      <c r="AQ186" s="406" t="e">
        <f t="shared" ca="1" si="102"/>
        <v>#N/A</v>
      </c>
      <c r="AR186" s="406" t="e">
        <f t="shared" ca="1" si="103"/>
        <v>#N/A</v>
      </c>
      <c r="AS186" s="406" t="e">
        <f t="shared" ca="1" si="103"/>
        <v>#N/A</v>
      </c>
      <c r="AT186" s="406" t="e">
        <f t="shared" ca="1" si="103"/>
        <v>#N/A</v>
      </c>
      <c r="AU186" s="406" t="e">
        <f t="shared" ca="1" si="103"/>
        <v>#N/A</v>
      </c>
      <c r="AV186" s="406" t="e">
        <f t="shared" ca="1" si="103"/>
        <v>#N/A</v>
      </c>
      <c r="AW186" s="406" t="e">
        <f t="shared" ca="1" si="103"/>
        <v>#N/A</v>
      </c>
      <c r="AX186" s="406" t="e">
        <f t="shared" ca="1" si="103"/>
        <v>#N/A</v>
      </c>
      <c r="AY186" s="406" t="e">
        <f t="shared" ca="1" si="103"/>
        <v>#N/A</v>
      </c>
      <c r="AZ186" s="406" t="e">
        <f t="shared" ca="1" si="103"/>
        <v>#N/A</v>
      </c>
      <c r="BA186" s="406" t="e">
        <f t="shared" ca="1" si="103"/>
        <v>#N/A</v>
      </c>
      <c r="BB186" s="412" t="s">
        <v>1257</v>
      </c>
      <c r="BC186" s="407" t="str">
        <f t="shared" ca="1" si="72"/>
        <v/>
      </c>
      <c r="BD186" s="410"/>
      <c r="BE186" s="410"/>
    </row>
    <row r="187" spans="3:57" x14ac:dyDescent="0.25">
      <c r="C187" s="406">
        <f t="shared" si="73"/>
        <v>185</v>
      </c>
      <c r="D187" s="406" t="e">
        <f t="shared" ca="1" si="99"/>
        <v>#N/A</v>
      </c>
      <c r="E187" s="406" t="e">
        <f t="shared" ca="1" si="99"/>
        <v>#N/A</v>
      </c>
      <c r="F187" s="406" t="e">
        <f t="shared" ca="1" si="99"/>
        <v>#N/A</v>
      </c>
      <c r="G187" s="406" t="e">
        <f t="shared" ca="1" si="99"/>
        <v>#N/A</v>
      </c>
      <c r="H187" s="406" t="e">
        <f t="shared" ca="1" si="99"/>
        <v>#N/A</v>
      </c>
      <c r="I187" s="406" t="e">
        <f t="shared" ca="1" si="99"/>
        <v>#N/A</v>
      </c>
      <c r="J187" s="406" t="e">
        <f t="shared" ca="1" si="99"/>
        <v>#N/A</v>
      </c>
      <c r="K187" s="406" t="e">
        <f t="shared" ca="1" si="99"/>
        <v>#N/A</v>
      </c>
      <c r="L187" s="406" t="e">
        <f t="shared" ca="1" si="99"/>
        <v>#N/A</v>
      </c>
      <c r="M187" s="406" t="e">
        <f t="shared" ca="1" si="99"/>
        <v>#N/A</v>
      </c>
      <c r="N187" s="406" t="e">
        <f t="shared" ca="1" si="100"/>
        <v>#N/A</v>
      </c>
      <c r="O187" s="406" t="e">
        <f t="shared" ca="1" si="100"/>
        <v>#N/A</v>
      </c>
      <c r="P187" s="406" t="e">
        <f t="shared" ca="1" si="100"/>
        <v>#N/A</v>
      </c>
      <c r="Q187" s="406" t="e">
        <f t="shared" ca="1" si="100"/>
        <v>#N/A</v>
      </c>
      <c r="R187" s="406" t="e">
        <f t="shared" ca="1" si="100"/>
        <v>#N/A</v>
      </c>
      <c r="S187" s="406" t="e">
        <f t="shared" ca="1" si="100"/>
        <v>#N/A</v>
      </c>
      <c r="T187" s="406" t="e">
        <f t="shared" ca="1" si="100"/>
        <v>#N/A</v>
      </c>
      <c r="U187" s="406" t="e">
        <f t="shared" ca="1" si="100"/>
        <v>#N/A</v>
      </c>
      <c r="V187" s="406" t="e">
        <f t="shared" ca="1" si="100"/>
        <v>#N/A</v>
      </c>
      <c r="W187" s="406" t="e">
        <f t="shared" ca="1" si="100"/>
        <v>#N/A</v>
      </c>
      <c r="X187" s="406" t="e">
        <f t="shared" ca="1" si="101"/>
        <v>#N/A</v>
      </c>
      <c r="Y187" s="406" t="e">
        <f t="shared" ca="1" si="101"/>
        <v>#N/A</v>
      </c>
      <c r="Z187" s="406" t="e">
        <f t="shared" ca="1" si="101"/>
        <v>#N/A</v>
      </c>
      <c r="AA187" s="406" t="e">
        <f t="shared" ca="1" si="101"/>
        <v>#N/A</v>
      </c>
      <c r="AB187" s="406" t="e">
        <f t="shared" ca="1" si="101"/>
        <v>#N/A</v>
      </c>
      <c r="AC187" s="406" t="e">
        <f t="shared" ca="1" si="101"/>
        <v>#N/A</v>
      </c>
      <c r="AD187" s="406" t="e">
        <f t="shared" ca="1" si="101"/>
        <v>#N/A</v>
      </c>
      <c r="AE187" s="406" t="e">
        <f t="shared" ca="1" si="101"/>
        <v>#N/A</v>
      </c>
      <c r="AF187" s="406" t="e">
        <f t="shared" ca="1" si="101"/>
        <v>#N/A</v>
      </c>
      <c r="AG187" s="406" t="e">
        <f t="shared" ca="1" si="101"/>
        <v>#N/A</v>
      </c>
      <c r="AH187" s="406" t="e">
        <f t="shared" ca="1" si="102"/>
        <v>#N/A</v>
      </c>
      <c r="AI187" s="406" t="e">
        <f t="shared" ca="1" si="102"/>
        <v>#N/A</v>
      </c>
      <c r="AJ187" s="406" t="e">
        <f t="shared" ca="1" si="102"/>
        <v>#N/A</v>
      </c>
      <c r="AK187" s="406" t="e">
        <f t="shared" ca="1" si="102"/>
        <v>#N/A</v>
      </c>
      <c r="AL187" s="406" t="e">
        <f t="shared" ca="1" si="102"/>
        <v>#N/A</v>
      </c>
      <c r="AM187" s="406" t="e">
        <f t="shared" ca="1" si="102"/>
        <v>#N/A</v>
      </c>
      <c r="AN187" s="406" t="e">
        <f t="shared" ca="1" si="102"/>
        <v>#N/A</v>
      </c>
      <c r="AO187" s="406" t="e">
        <f t="shared" ca="1" si="102"/>
        <v>#N/A</v>
      </c>
      <c r="AP187" s="406" t="e">
        <f t="shared" ca="1" si="102"/>
        <v>#N/A</v>
      </c>
      <c r="AQ187" s="406" t="e">
        <f t="shared" ca="1" si="102"/>
        <v>#N/A</v>
      </c>
      <c r="AR187" s="406" t="e">
        <f t="shared" ca="1" si="103"/>
        <v>#N/A</v>
      </c>
      <c r="AS187" s="406" t="e">
        <f t="shared" ca="1" si="103"/>
        <v>#N/A</v>
      </c>
      <c r="AT187" s="406" t="e">
        <f t="shared" ca="1" si="103"/>
        <v>#N/A</v>
      </c>
      <c r="AU187" s="406" t="e">
        <f t="shared" ca="1" si="103"/>
        <v>#N/A</v>
      </c>
      <c r="AV187" s="406" t="e">
        <f t="shared" ca="1" si="103"/>
        <v>#N/A</v>
      </c>
      <c r="AW187" s="406" t="e">
        <f t="shared" ca="1" si="103"/>
        <v>#N/A</v>
      </c>
      <c r="AX187" s="406" t="e">
        <f t="shared" ca="1" si="103"/>
        <v>#N/A</v>
      </c>
      <c r="AY187" s="406" t="e">
        <f t="shared" ca="1" si="103"/>
        <v>#N/A</v>
      </c>
      <c r="AZ187" s="406" t="e">
        <f t="shared" ca="1" si="103"/>
        <v>#N/A</v>
      </c>
      <c r="BA187" s="406" t="e">
        <f t="shared" ca="1" si="103"/>
        <v>#N/A</v>
      </c>
      <c r="BB187" s="412" t="s">
        <v>1258</v>
      </c>
      <c r="BC187" s="407" t="str">
        <f t="shared" ca="1" si="72"/>
        <v/>
      </c>
      <c r="BD187" s="410"/>
      <c r="BE187" s="410"/>
    </row>
    <row r="188" spans="3:57" x14ac:dyDescent="0.25">
      <c r="C188" s="406">
        <f t="shared" si="73"/>
        <v>186</v>
      </c>
      <c r="D188" s="406" t="e">
        <f t="shared" ca="1" si="99"/>
        <v>#N/A</v>
      </c>
      <c r="E188" s="406" t="e">
        <f t="shared" ca="1" si="99"/>
        <v>#N/A</v>
      </c>
      <c r="F188" s="406" t="e">
        <f t="shared" ca="1" si="99"/>
        <v>#N/A</v>
      </c>
      <c r="G188" s="406" t="e">
        <f t="shared" ca="1" si="99"/>
        <v>#N/A</v>
      </c>
      <c r="H188" s="406" t="e">
        <f t="shared" ca="1" si="99"/>
        <v>#N/A</v>
      </c>
      <c r="I188" s="406" t="e">
        <f t="shared" ca="1" si="99"/>
        <v>#N/A</v>
      </c>
      <c r="J188" s="406" t="e">
        <f t="shared" ca="1" si="99"/>
        <v>#N/A</v>
      </c>
      <c r="K188" s="406" t="e">
        <f t="shared" ca="1" si="99"/>
        <v>#N/A</v>
      </c>
      <c r="L188" s="406" t="e">
        <f t="shared" ca="1" si="99"/>
        <v>#N/A</v>
      </c>
      <c r="M188" s="406" t="e">
        <f t="shared" ca="1" si="99"/>
        <v>#N/A</v>
      </c>
      <c r="N188" s="406" t="e">
        <f t="shared" ca="1" si="100"/>
        <v>#N/A</v>
      </c>
      <c r="O188" s="406" t="e">
        <f t="shared" ca="1" si="100"/>
        <v>#N/A</v>
      </c>
      <c r="P188" s="406" t="e">
        <f t="shared" ca="1" si="100"/>
        <v>#N/A</v>
      </c>
      <c r="Q188" s="406" t="e">
        <f t="shared" ca="1" si="100"/>
        <v>#N/A</v>
      </c>
      <c r="R188" s="406" t="e">
        <f t="shared" ca="1" si="100"/>
        <v>#N/A</v>
      </c>
      <c r="S188" s="406" t="e">
        <f t="shared" ca="1" si="100"/>
        <v>#N/A</v>
      </c>
      <c r="T188" s="406" t="e">
        <f t="shared" ca="1" si="100"/>
        <v>#N/A</v>
      </c>
      <c r="U188" s="406" t="e">
        <f t="shared" ca="1" si="100"/>
        <v>#N/A</v>
      </c>
      <c r="V188" s="406" t="e">
        <f t="shared" ca="1" si="100"/>
        <v>#N/A</v>
      </c>
      <c r="W188" s="406" t="e">
        <f t="shared" ca="1" si="100"/>
        <v>#N/A</v>
      </c>
      <c r="X188" s="406" t="e">
        <f t="shared" ca="1" si="101"/>
        <v>#N/A</v>
      </c>
      <c r="Y188" s="406" t="e">
        <f t="shared" ca="1" si="101"/>
        <v>#N/A</v>
      </c>
      <c r="Z188" s="406" t="e">
        <f t="shared" ca="1" si="101"/>
        <v>#N/A</v>
      </c>
      <c r="AA188" s="406" t="e">
        <f t="shared" ca="1" si="101"/>
        <v>#N/A</v>
      </c>
      <c r="AB188" s="406" t="e">
        <f t="shared" ca="1" si="101"/>
        <v>#N/A</v>
      </c>
      <c r="AC188" s="406" t="e">
        <f t="shared" ca="1" si="101"/>
        <v>#N/A</v>
      </c>
      <c r="AD188" s="406" t="e">
        <f t="shared" ca="1" si="101"/>
        <v>#N/A</v>
      </c>
      <c r="AE188" s="406" t="e">
        <f t="shared" ca="1" si="101"/>
        <v>#N/A</v>
      </c>
      <c r="AF188" s="406" t="e">
        <f t="shared" ca="1" si="101"/>
        <v>#N/A</v>
      </c>
      <c r="AG188" s="406" t="e">
        <f t="shared" ca="1" si="101"/>
        <v>#N/A</v>
      </c>
      <c r="AH188" s="406" t="e">
        <f t="shared" ca="1" si="102"/>
        <v>#N/A</v>
      </c>
      <c r="AI188" s="406" t="e">
        <f t="shared" ca="1" si="102"/>
        <v>#N/A</v>
      </c>
      <c r="AJ188" s="406" t="e">
        <f t="shared" ca="1" si="102"/>
        <v>#N/A</v>
      </c>
      <c r="AK188" s="406" t="e">
        <f t="shared" ca="1" si="102"/>
        <v>#N/A</v>
      </c>
      <c r="AL188" s="406" t="e">
        <f t="shared" ca="1" si="102"/>
        <v>#N/A</v>
      </c>
      <c r="AM188" s="406" t="e">
        <f t="shared" ca="1" si="102"/>
        <v>#N/A</v>
      </c>
      <c r="AN188" s="406" t="e">
        <f t="shared" ca="1" si="102"/>
        <v>#N/A</v>
      </c>
      <c r="AO188" s="406" t="e">
        <f t="shared" ca="1" si="102"/>
        <v>#N/A</v>
      </c>
      <c r="AP188" s="406" t="e">
        <f t="shared" ca="1" si="102"/>
        <v>#N/A</v>
      </c>
      <c r="AQ188" s="406" t="e">
        <f t="shared" ca="1" si="102"/>
        <v>#N/A</v>
      </c>
      <c r="AR188" s="406" t="e">
        <f t="shared" ca="1" si="103"/>
        <v>#N/A</v>
      </c>
      <c r="AS188" s="406" t="e">
        <f t="shared" ca="1" si="103"/>
        <v>#N/A</v>
      </c>
      <c r="AT188" s="406" t="e">
        <f t="shared" ca="1" si="103"/>
        <v>#N/A</v>
      </c>
      <c r="AU188" s="406" t="e">
        <f t="shared" ca="1" si="103"/>
        <v>#N/A</v>
      </c>
      <c r="AV188" s="406" t="e">
        <f t="shared" ca="1" si="103"/>
        <v>#N/A</v>
      </c>
      <c r="AW188" s="406" t="e">
        <f t="shared" ca="1" si="103"/>
        <v>#N/A</v>
      </c>
      <c r="AX188" s="406" t="e">
        <f t="shared" ca="1" si="103"/>
        <v>#N/A</v>
      </c>
      <c r="AY188" s="406" t="e">
        <f t="shared" ca="1" si="103"/>
        <v>#N/A</v>
      </c>
      <c r="AZ188" s="406" t="e">
        <f t="shared" ca="1" si="103"/>
        <v>#N/A</v>
      </c>
      <c r="BA188" s="406" t="e">
        <f t="shared" ca="1" si="103"/>
        <v>#N/A</v>
      </c>
      <c r="BB188" s="412" t="s">
        <v>1259</v>
      </c>
      <c r="BC188" s="407" t="str">
        <f t="shared" ca="1" si="72"/>
        <v/>
      </c>
      <c r="BD188" s="410"/>
      <c r="BE188" s="410"/>
    </row>
    <row r="189" spans="3:57" x14ac:dyDescent="0.25">
      <c r="C189" s="406">
        <f t="shared" si="73"/>
        <v>187</v>
      </c>
      <c r="D189" s="406" t="e">
        <f t="shared" ca="1" si="99"/>
        <v>#N/A</v>
      </c>
      <c r="E189" s="406" t="e">
        <f t="shared" ca="1" si="99"/>
        <v>#N/A</v>
      </c>
      <c r="F189" s="406" t="e">
        <f t="shared" ca="1" si="99"/>
        <v>#N/A</v>
      </c>
      <c r="G189" s="406" t="e">
        <f t="shared" ca="1" si="99"/>
        <v>#N/A</v>
      </c>
      <c r="H189" s="406" t="e">
        <f t="shared" ca="1" si="99"/>
        <v>#N/A</v>
      </c>
      <c r="I189" s="406" t="e">
        <f t="shared" ca="1" si="99"/>
        <v>#N/A</v>
      </c>
      <c r="J189" s="406" t="e">
        <f t="shared" ca="1" si="99"/>
        <v>#N/A</v>
      </c>
      <c r="K189" s="406" t="e">
        <f t="shared" ca="1" si="99"/>
        <v>#N/A</v>
      </c>
      <c r="L189" s="406" t="e">
        <f t="shared" ca="1" si="99"/>
        <v>#N/A</v>
      </c>
      <c r="M189" s="406" t="e">
        <f t="shared" ca="1" si="99"/>
        <v>#N/A</v>
      </c>
      <c r="N189" s="406" t="e">
        <f t="shared" ca="1" si="100"/>
        <v>#N/A</v>
      </c>
      <c r="O189" s="406" t="e">
        <f t="shared" ca="1" si="100"/>
        <v>#N/A</v>
      </c>
      <c r="P189" s="406" t="e">
        <f t="shared" ca="1" si="100"/>
        <v>#N/A</v>
      </c>
      <c r="Q189" s="406" t="e">
        <f t="shared" ca="1" si="100"/>
        <v>#N/A</v>
      </c>
      <c r="R189" s="406" t="e">
        <f t="shared" ca="1" si="100"/>
        <v>#N/A</v>
      </c>
      <c r="S189" s="406" t="e">
        <f t="shared" ca="1" si="100"/>
        <v>#N/A</v>
      </c>
      <c r="T189" s="406" t="e">
        <f t="shared" ca="1" si="100"/>
        <v>#N/A</v>
      </c>
      <c r="U189" s="406" t="e">
        <f t="shared" ca="1" si="100"/>
        <v>#N/A</v>
      </c>
      <c r="V189" s="406" t="e">
        <f t="shared" ca="1" si="100"/>
        <v>#N/A</v>
      </c>
      <c r="W189" s="406" t="e">
        <f t="shared" ca="1" si="100"/>
        <v>#N/A</v>
      </c>
      <c r="X189" s="406" t="e">
        <f t="shared" ca="1" si="101"/>
        <v>#N/A</v>
      </c>
      <c r="Y189" s="406" t="e">
        <f t="shared" ca="1" si="101"/>
        <v>#N/A</v>
      </c>
      <c r="Z189" s="406" t="e">
        <f t="shared" ca="1" si="101"/>
        <v>#N/A</v>
      </c>
      <c r="AA189" s="406" t="e">
        <f t="shared" ca="1" si="101"/>
        <v>#N/A</v>
      </c>
      <c r="AB189" s="406" t="e">
        <f t="shared" ca="1" si="101"/>
        <v>#N/A</v>
      </c>
      <c r="AC189" s="406" t="e">
        <f t="shared" ca="1" si="101"/>
        <v>#N/A</v>
      </c>
      <c r="AD189" s="406" t="e">
        <f t="shared" ca="1" si="101"/>
        <v>#N/A</v>
      </c>
      <c r="AE189" s="406" t="e">
        <f t="shared" ca="1" si="101"/>
        <v>#N/A</v>
      </c>
      <c r="AF189" s="406" t="e">
        <f t="shared" ca="1" si="101"/>
        <v>#N/A</v>
      </c>
      <c r="AG189" s="406" t="e">
        <f t="shared" ca="1" si="101"/>
        <v>#N/A</v>
      </c>
      <c r="AH189" s="406" t="e">
        <f t="shared" ca="1" si="102"/>
        <v>#N/A</v>
      </c>
      <c r="AI189" s="406" t="e">
        <f t="shared" ca="1" si="102"/>
        <v>#N/A</v>
      </c>
      <c r="AJ189" s="406" t="e">
        <f t="shared" ca="1" si="102"/>
        <v>#N/A</v>
      </c>
      <c r="AK189" s="406" t="e">
        <f t="shared" ca="1" si="102"/>
        <v>#N/A</v>
      </c>
      <c r="AL189" s="406" t="e">
        <f t="shared" ca="1" si="102"/>
        <v>#N/A</v>
      </c>
      <c r="AM189" s="406" t="e">
        <f t="shared" ca="1" si="102"/>
        <v>#N/A</v>
      </c>
      <c r="AN189" s="406" t="e">
        <f t="shared" ca="1" si="102"/>
        <v>#N/A</v>
      </c>
      <c r="AO189" s="406" t="e">
        <f t="shared" ca="1" si="102"/>
        <v>#N/A</v>
      </c>
      <c r="AP189" s="406" t="e">
        <f t="shared" ca="1" si="102"/>
        <v>#N/A</v>
      </c>
      <c r="AQ189" s="406" t="e">
        <f t="shared" ca="1" si="102"/>
        <v>#N/A</v>
      </c>
      <c r="AR189" s="406" t="e">
        <f t="shared" ca="1" si="103"/>
        <v>#N/A</v>
      </c>
      <c r="AS189" s="406" t="e">
        <f t="shared" ca="1" si="103"/>
        <v>#N/A</v>
      </c>
      <c r="AT189" s="406" t="e">
        <f t="shared" ca="1" si="103"/>
        <v>#N/A</v>
      </c>
      <c r="AU189" s="406" t="e">
        <f t="shared" ca="1" si="103"/>
        <v>#N/A</v>
      </c>
      <c r="AV189" s="406" t="e">
        <f t="shared" ca="1" si="103"/>
        <v>#N/A</v>
      </c>
      <c r="AW189" s="406" t="e">
        <f t="shared" ca="1" si="103"/>
        <v>#N/A</v>
      </c>
      <c r="AX189" s="406" t="e">
        <f t="shared" ca="1" si="103"/>
        <v>#N/A</v>
      </c>
      <c r="AY189" s="406" t="e">
        <f t="shared" ca="1" si="103"/>
        <v>#N/A</v>
      </c>
      <c r="AZ189" s="406" t="e">
        <f t="shared" ca="1" si="103"/>
        <v>#N/A</v>
      </c>
      <c r="BA189" s="406" t="e">
        <f t="shared" ca="1" si="103"/>
        <v>#N/A</v>
      </c>
      <c r="BB189" s="412" t="s">
        <v>1260</v>
      </c>
      <c r="BC189" s="407" t="str">
        <f t="shared" ca="1" si="72"/>
        <v/>
      </c>
      <c r="BD189" s="410"/>
      <c r="BE189" s="410"/>
    </row>
    <row r="190" spans="3:57" x14ac:dyDescent="0.25">
      <c r="C190" s="406">
        <f t="shared" si="73"/>
        <v>188</v>
      </c>
      <c r="D190" s="406" t="e">
        <f t="shared" ca="1" si="99"/>
        <v>#N/A</v>
      </c>
      <c r="E190" s="406" t="e">
        <f t="shared" ca="1" si="99"/>
        <v>#N/A</v>
      </c>
      <c r="F190" s="406" t="e">
        <f t="shared" ca="1" si="99"/>
        <v>#N/A</v>
      </c>
      <c r="G190" s="406" t="e">
        <f t="shared" ca="1" si="99"/>
        <v>#N/A</v>
      </c>
      <c r="H190" s="406" t="e">
        <f t="shared" ca="1" si="99"/>
        <v>#N/A</v>
      </c>
      <c r="I190" s="406" t="e">
        <f t="shared" ca="1" si="99"/>
        <v>#N/A</v>
      </c>
      <c r="J190" s="406" t="e">
        <f t="shared" ca="1" si="99"/>
        <v>#N/A</v>
      </c>
      <c r="K190" s="406" t="e">
        <f t="shared" ca="1" si="99"/>
        <v>#N/A</v>
      </c>
      <c r="L190" s="406" t="e">
        <f t="shared" ca="1" si="99"/>
        <v>#N/A</v>
      </c>
      <c r="M190" s="406" t="e">
        <f t="shared" ca="1" si="99"/>
        <v>#N/A</v>
      </c>
      <c r="N190" s="406" t="e">
        <f t="shared" ca="1" si="100"/>
        <v>#N/A</v>
      </c>
      <c r="O190" s="406" t="e">
        <f t="shared" ca="1" si="100"/>
        <v>#N/A</v>
      </c>
      <c r="P190" s="406" t="e">
        <f t="shared" ca="1" si="100"/>
        <v>#N/A</v>
      </c>
      <c r="Q190" s="406" t="e">
        <f t="shared" ca="1" si="100"/>
        <v>#N/A</v>
      </c>
      <c r="R190" s="406" t="e">
        <f t="shared" ca="1" si="100"/>
        <v>#N/A</v>
      </c>
      <c r="S190" s="406" t="e">
        <f t="shared" ca="1" si="100"/>
        <v>#N/A</v>
      </c>
      <c r="T190" s="406" t="e">
        <f t="shared" ca="1" si="100"/>
        <v>#N/A</v>
      </c>
      <c r="U190" s="406" t="e">
        <f t="shared" ca="1" si="100"/>
        <v>#N/A</v>
      </c>
      <c r="V190" s="406" t="e">
        <f t="shared" ca="1" si="100"/>
        <v>#N/A</v>
      </c>
      <c r="W190" s="406" t="e">
        <f t="shared" ca="1" si="100"/>
        <v>#N/A</v>
      </c>
      <c r="X190" s="406" t="e">
        <f t="shared" ca="1" si="101"/>
        <v>#N/A</v>
      </c>
      <c r="Y190" s="406" t="e">
        <f t="shared" ca="1" si="101"/>
        <v>#N/A</v>
      </c>
      <c r="Z190" s="406" t="e">
        <f t="shared" ca="1" si="101"/>
        <v>#N/A</v>
      </c>
      <c r="AA190" s="406" t="e">
        <f t="shared" ca="1" si="101"/>
        <v>#N/A</v>
      </c>
      <c r="AB190" s="406" t="e">
        <f t="shared" ca="1" si="101"/>
        <v>#N/A</v>
      </c>
      <c r="AC190" s="406" t="e">
        <f t="shared" ca="1" si="101"/>
        <v>#N/A</v>
      </c>
      <c r="AD190" s="406" t="e">
        <f t="shared" ca="1" si="101"/>
        <v>#N/A</v>
      </c>
      <c r="AE190" s="406" t="e">
        <f t="shared" ca="1" si="101"/>
        <v>#N/A</v>
      </c>
      <c r="AF190" s="406" t="e">
        <f t="shared" ca="1" si="101"/>
        <v>#N/A</v>
      </c>
      <c r="AG190" s="406" t="e">
        <f t="shared" ca="1" si="101"/>
        <v>#N/A</v>
      </c>
      <c r="AH190" s="406" t="e">
        <f t="shared" ca="1" si="102"/>
        <v>#N/A</v>
      </c>
      <c r="AI190" s="406" t="e">
        <f t="shared" ca="1" si="102"/>
        <v>#N/A</v>
      </c>
      <c r="AJ190" s="406" t="e">
        <f t="shared" ca="1" si="102"/>
        <v>#N/A</v>
      </c>
      <c r="AK190" s="406" t="e">
        <f t="shared" ca="1" si="102"/>
        <v>#N/A</v>
      </c>
      <c r="AL190" s="406" t="e">
        <f t="shared" ca="1" si="102"/>
        <v>#N/A</v>
      </c>
      <c r="AM190" s="406" t="e">
        <f t="shared" ca="1" si="102"/>
        <v>#N/A</v>
      </c>
      <c r="AN190" s="406" t="e">
        <f t="shared" ca="1" si="102"/>
        <v>#N/A</v>
      </c>
      <c r="AO190" s="406" t="e">
        <f t="shared" ca="1" si="102"/>
        <v>#N/A</v>
      </c>
      <c r="AP190" s="406" t="e">
        <f t="shared" ca="1" si="102"/>
        <v>#N/A</v>
      </c>
      <c r="AQ190" s="406" t="e">
        <f t="shared" ca="1" si="102"/>
        <v>#N/A</v>
      </c>
      <c r="AR190" s="406" t="e">
        <f t="shared" ca="1" si="103"/>
        <v>#N/A</v>
      </c>
      <c r="AS190" s="406" t="e">
        <f t="shared" ca="1" si="103"/>
        <v>#N/A</v>
      </c>
      <c r="AT190" s="406" t="e">
        <f t="shared" ca="1" si="103"/>
        <v>#N/A</v>
      </c>
      <c r="AU190" s="406" t="e">
        <f t="shared" ca="1" si="103"/>
        <v>#N/A</v>
      </c>
      <c r="AV190" s="406" t="e">
        <f t="shared" ca="1" si="103"/>
        <v>#N/A</v>
      </c>
      <c r="AW190" s="406" t="e">
        <f t="shared" ca="1" si="103"/>
        <v>#N/A</v>
      </c>
      <c r="AX190" s="406" t="e">
        <f t="shared" ca="1" si="103"/>
        <v>#N/A</v>
      </c>
      <c r="AY190" s="406" t="e">
        <f t="shared" ca="1" si="103"/>
        <v>#N/A</v>
      </c>
      <c r="AZ190" s="406" t="e">
        <f t="shared" ca="1" si="103"/>
        <v>#N/A</v>
      </c>
      <c r="BA190" s="406" t="e">
        <f t="shared" ca="1" si="103"/>
        <v>#N/A</v>
      </c>
      <c r="BB190" s="412" t="s">
        <v>1261</v>
      </c>
      <c r="BC190" s="407" t="str">
        <f t="shared" ca="1" si="72"/>
        <v/>
      </c>
      <c r="BD190" s="410"/>
      <c r="BE190" s="410"/>
    </row>
    <row r="191" spans="3:57" x14ac:dyDescent="0.25">
      <c r="C191" s="406">
        <f t="shared" si="73"/>
        <v>189</v>
      </c>
      <c r="D191" s="406" t="e">
        <f t="shared" ca="1" si="99"/>
        <v>#N/A</v>
      </c>
      <c r="E191" s="406" t="e">
        <f t="shared" ca="1" si="99"/>
        <v>#N/A</v>
      </c>
      <c r="F191" s="406" t="e">
        <f t="shared" ca="1" si="99"/>
        <v>#N/A</v>
      </c>
      <c r="G191" s="406" t="e">
        <f t="shared" ca="1" si="99"/>
        <v>#N/A</v>
      </c>
      <c r="H191" s="406" t="e">
        <f t="shared" ca="1" si="99"/>
        <v>#N/A</v>
      </c>
      <c r="I191" s="406" t="e">
        <f t="shared" ca="1" si="99"/>
        <v>#N/A</v>
      </c>
      <c r="J191" s="406" t="e">
        <f t="shared" ca="1" si="99"/>
        <v>#N/A</v>
      </c>
      <c r="K191" s="406" t="e">
        <f t="shared" ca="1" si="99"/>
        <v>#N/A</v>
      </c>
      <c r="L191" s="406" t="e">
        <f t="shared" ca="1" si="99"/>
        <v>#N/A</v>
      </c>
      <c r="M191" s="406" t="e">
        <f t="shared" ca="1" si="99"/>
        <v>#N/A</v>
      </c>
      <c r="N191" s="406" t="e">
        <f t="shared" ca="1" si="100"/>
        <v>#N/A</v>
      </c>
      <c r="O191" s="406" t="e">
        <f t="shared" ca="1" si="100"/>
        <v>#N/A</v>
      </c>
      <c r="P191" s="406" t="e">
        <f t="shared" ca="1" si="100"/>
        <v>#N/A</v>
      </c>
      <c r="Q191" s="406" t="e">
        <f t="shared" ca="1" si="100"/>
        <v>#N/A</v>
      </c>
      <c r="R191" s="406" t="e">
        <f t="shared" ca="1" si="100"/>
        <v>#N/A</v>
      </c>
      <c r="S191" s="406" t="e">
        <f t="shared" ca="1" si="100"/>
        <v>#N/A</v>
      </c>
      <c r="T191" s="406" t="e">
        <f t="shared" ca="1" si="100"/>
        <v>#N/A</v>
      </c>
      <c r="U191" s="406" t="e">
        <f t="shared" ca="1" si="100"/>
        <v>#N/A</v>
      </c>
      <c r="V191" s="406" t="e">
        <f t="shared" ca="1" si="100"/>
        <v>#N/A</v>
      </c>
      <c r="W191" s="406" t="e">
        <f t="shared" ca="1" si="100"/>
        <v>#N/A</v>
      </c>
      <c r="X191" s="406" t="e">
        <f t="shared" ca="1" si="101"/>
        <v>#N/A</v>
      </c>
      <c r="Y191" s="406" t="e">
        <f t="shared" ca="1" si="101"/>
        <v>#N/A</v>
      </c>
      <c r="Z191" s="406" t="e">
        <f t="shared" ca="1" si="101"/>
        <v>#N/A</v>
      </c>
      <c r="AA191" s="406" t="e">
        <f t="shared" ca="1" si="101"/>
        <v>#N/A</v>
      </c>
      <c r="AB191" s="406" t="e">
        <f t="shared" ca="1" si="101"/>
        <v>#N/A</v>
      </c>
      <c r="AC191" s="406" t="e">
        <f t="shared" ca="1" si="101"/>
        <v>#N/A</v>
      </c>
      <c r="AD191" s="406" t="e">
        <f t="shared" ca="1" si="101"/>
        <v>#N/A</v>
      </c>
      <c r="AE191" s="406" t="e">
        <f t="shared" ca="1" si="101"/>
        <v>#N/A</v>
      </c>
      <c r="AF191" s="406" t="e">
        <f t="shared" ca="1" si="101"/>
        <v>#N/A</v>
      </c>
      <c r="AG191" s="406" t="e">
        <f t="shared" ca="1" si="101"/>
        <v>#N/A</v>
      </c>
      <c r="AH191" s="406" t="e">
        <f t="shared" ca="1" si="102"/>
        <v>#N/A</v>
      </c>
      <c r="AI191" s="406" t="e">
        <f t="shared" ca="1" si="102"/>
        <v>#N/A</v>
      </c>
      <c r="AJ191" s="406" t="e">
        <f t="shared" ca="1" si="102"/>
        <v>#N/A</v>
      </c>
      <c r="AK191" s="406" t="e">
        <f t="shared" ca="1" si="102"/>
        <v>#N/A</v>
      </c>
      <c r="AL191" s="406" t="e">
        <f t="shared" ca="1" si="102"/>
        <v>#N/A</v>
      </c>
      <c r="AM191" s="406" t="e">
        <f t="shared" ca="1" si="102"/>
        <v>#N/A</v>
      </c>
      <c r="AN191" s="406" t="e">
        <f t="shared" ca="1" si="102"/>
        <v>#N/A</v>
      </c>
      <c r="AO191" s="406" t="e">
        <f t="shared" ca="1" si="102"/>
        <v>#N/A</v>
      </c>
      <c r="AP191" s="406" t="e">
        <f t="shared" ca="1" si="102"/>
        <v>#N/A</v>
      </c>
      <c r="AQ191" s="406" t="e">
        <f t="shared" ca="1" si="102"/>
        <v>#N/A</v>
      </c>
      <c r="AR191" s="406" t="e">
        <f t="shared" ca="1" si="103"/>
        <v>#N/A</v>
      </c>
      <c r="AS191" s="406" t="e">
        <f t="shared" ca="1" si="103"/>
        <v>#N/A</v>
      </c>
      <c r="AT191" s="406" t="e">
        <f t="shared" ca="1" si="103"/>
        <v>#N/A</v>
      </c>
      <c r="AU191" s="406" t="e">
        <f t="shared" ca="1" si="103"/>
        <v>#N/A</v>
      </c>
      <c r="AV191" s="406" t="e">
        <f t="shared" ca="1" si="103"/>
        <v>#N/A</v>
      </c>
      <c r="AW191" s="406" t="e">
        <f t="shared" ca="1" si="103"/>
        <v>#N/A</v>
      </c>
      <c r="AX191" s="406" t="e">
        <f t="shared" ca="1" si="103"/>
        <v>#N/A</v>
      </c>
      <c r="AY191" s="406" t="e">
        <f t="shared" ca="1" si="103"/>
        <v>#N/A</v>
      </c>
      <c r="AZ191" s="406" t="e">
        <f t="shared" ca="1" si="103"/>
        <v>#N/A</v>
      </c>
      <c r="BA191" s="406" t="e">
        <f t="shared" ca="1" si="103"/>
        <v>#N/A</v>
      </c>
      <c r="BB191" s="412" t="s">
        <v>1262</v>
      </c>
      <c r="BC191" s="407" t="str">
        <f t="shared" ca="1" si="72"/>
        <v/>
      </c>
      <c r="BD191" s="410"/>
      <c r="BE191" s="410"/>
    </row>
    <row r="192" spans="3:57" x14ac:dyDescent="0.25">
      <c r="C192" s="406">
        <f t="shared" si="73"/>
        <v>190</v>
      </c>
      <c r="D192" s="406" t="e">
        <f t="shared" ref="D192:M207" ca="1" si="104">TRIM(INDIRECT("'" &amp; "TNX RTF" &amp; "'!" &amp; ADDRESS($A$3+$C192,D$1)))</f>
        <v>#N/A</v>
      </c>
      <c r="E192" s="406" t="e">
        <f t="shared" ca="1" si="104"/>
        <v>#N/A</v>
      </c>
      <c r="F192" s="406" t="e">
        <f t="shared" ca="1" si="104"/>
        <v>#N/A</v>
      </c>
      <c r="G192" s="406" t="e">
        <f t="shared" ca="1" si="104"/>
        <v>#N/A</v>
      </c>
      <c r="H192" s="406" t="e">
        <f t="shared" ca="1" si="104"/>
        <v>#N/A</v>
      </c>
      <c r="I192" s="406" t="e">
        <f t="shared" ca="1" si="104"/>
        <v>#N/A</v>
      </c>
      <c r="J192" s="406" t="e">
        <f t="shared" ca="1" si="104"/>
        <v>#N/A</v>
      </c>
      <c r="K192" s="406" t="e">
        <f t="shared" ca="1" si="104"/>
        <v>#N/A</v>
      </c>
      <c r="L192" s="406" t="e">
        <f t="shared" ca="1" si="104"/>
        <v>#N/A</v>
      </c>
      <c r="M192" s="406" t="e">
        <f t="shared" ca="1" si="104"/>
        <v>#N/A</v>
      </c>
      <c r="N192" s="406" t="e">
        <f t="shared" ref="N192:W207" ca="1" si="105">TRIM(INDIRECT("'" &amp; "TNX RTF" &amp; "'!" &amp; ADDRESS($A$3+$C192,N$1)))</f>
        <v>#N/A</v>
      </c>
      <c r="O192" s="406" t="e">
        <f t="shared" ca="1" si="105"/>
        <v>#N/A</v>
      </c>
      <c r="P192" s="406" t="e">
        <f t="shared" ca="1" si="105"/>
        <v>#N/A</v>
      </c>
      <c r="Q192" s="406" t="e">
        <f t="shared" ca="1" si="105"/>
        <v>#N/A</v>
      </c>
      <c r="R192" s="406" t="e">
        <f t="shared" ca="1" si="105"/>
        <v>#N/A</v>
      </c>
      <c r="S192" s="406" t="e">
        <f t="shared" ca="1" si="105"/>
        <v>#N/A</v>
      </c>
      <c r="T192" s="406" t="e">
        <f t="shared" ca="1" si="105"/>
        <v>#N/A</v>
      </c>
      <c r="U192" s="406" t="e">
        <f t="shared" ca="1" si="105"/>
        <v>#N/A</v>
      </c>
      <c r="V192" s="406" t="e">
        <f t="shared" ca="1" si="105"/>
        <v>#N/A</v>
      </c>
      <c r="W192" s="406" t="e">
        <f t="shared" ca="1" si="105"/>
        <v>#N/A</v>
      </c>
      <c r="X192" s="406" t="e">
        <f t="shared" ref="X192:AG207" ca="1" si="106">TRIM(INDIRECT("'" &amp; "TNX RTF" &amp; "'!" &amp; ADDRESS($A$3+$C192,X$1)))</f>
        <v>#N/A</v>
      </c>
      <c r="Y192" s="406" t="e">
        <f t="shared" ca="1" si="106"/>
        <v>#N/A</v>
      </c>
      <c r="Z192" s="406" t="e">
        <f t="shared" ca="1" si="106"/>
        <v>#N/A</v>
      </c>
      <c r="AA192" s="406" t="e">
        <f t="shared" ca="1" si="106"/>
        <v>#N/A</v>
      </c>
      <c r="AB192" s="406" t="e">
        <f t="shared" ca="1" si="106"/>
        <v>#N/A</v>
      </c>
      <c r="AC192" s="406" t="e">
        <f t="shared" ca="1" si="106"/>
        <v>#N/A</v>
      </c>
      <c r="AD192" s="406" t="e">
        <f t="shared" ca="1" si="106"/>
        <v>#N/A</v>
      </c>
      <c r="AE192" s="406" t="e">
        <f t="shared" ca="1" si="106"/>
        <v>#N/A</v>
      </c>
      <c r="AF192" s="406" t="e">
        <f t="shared" ca="1" si="106"/>
        <v>#N/A</v>
      </c>
      <c r="AG192" s="406" t="e">
        <f t="shared" ca="1" si="106"/>
        <v>#N/A</v>
      </c>
      <c r="AH192" s="406" t="e">
        <f t="shared" ref="AH192:AQ207" ca="1" si="107">TRIM(INDIRECT("'" &amp; "TNX RTF" &amp; "'!" &amp; ADDRESS($A$3+$C192,AH$1)))</f>
        <v>#N/A</v>
      </c>
      <c r="AI192" s="406" t="e">
        <f t="shared" ca="1" si="107"/>
        <v>#N/A</v>
      </c>
      <c r="AJ192" s="406" t="e">
        <f t="shared" ca="1" si="107"/>
        <v>#N/A</v>
      </c>
      <c r="AK192" s="406" t="e">
        <f t="shared" ca="1" si="107"/>
        <v>#N/A</v>
      </c>
      <c r="AL192" s="406" t="e">
        <f t="shared" ca="1" si="107"/>
        <v>#N/A</v>
      </c>
      <c r="AM192" s="406" t="e">
        <f t="shared" ca="1" si="107"/>
        <v>#N/A</v>
      </c>
      <c r="AN192" s="406" t="e">
        <f t="shared" ca="1" si="107"/>
        <v>#N/A</v>
      </c>
      <c r="AO192" s="406" t="e">
        <f t="shared" ca="1" si="107"/>
        <v>#N/A</v>
      </c>
      <c r="AP192" s="406" t="e">
        <f t="shared" ca="1" si="107"/>
        <v>#N/A</v>
      </c>
      <c r="AQ192" s="406" t="e">
        <f t="shared" ca="1" si="107"/>
        <v>#N/A</v>
      </c>
      <c r="AR192" s="406" t="e">
        <f t="shared" ref="AR192:BA207" ca="1" si="108">TRIM(INDIRECT("'" &amp; "TNX RTF" &amp; "'!" &amp; ADDRESS($A$3+$C192,AR$1)))</f>
        <v>#N/A</v>
      </c>
      <c r="AS192" s="406" t="e">
        <f t="shared" ca="1" si="108"/>
        <v>#N/A</v>
      </c>
      <c r="AT192" s="406" t="e">
        <f t="shared" ca="1" si="108"/>
        <v>#N/A</v>
      </c>
      <c r="AU192" s="406" t="e">
        <f t="shared" ca="1" si="108"/>
        <v>#N/A</v>
      </c>
      <c r="AV192" s="406" t="e">
        <f t="shared" ca="1" si="108"/>
        <v>#N/A</v>
      </c>
      <c r="AW192" s="406" t="e">
        <f t="shared" ca="1" si="108"/>
        <v>#N/A</v>
      </c>
      <c r="AX192" s="406" t="e">
        <f t="shared" ca="1" si="108"/>
        <v>#N/A</v>
      </c>
      <c r="AY192" s="406" t="e">
        <f t="shared" ca="1" si="108"/>
        <v>#N/A</v>
      </c>
      <c r="AZ192" s="406" t="e">
        <f t="shared" ca="1" si="108"/>
        <v>#N/A</v>
      </c>
      <c r="BA192" s="406" t="e">
        <f t="shared" ca="1" si="108"/>
        <v>#N/A</v>
      </c>
      <c r="BB192" s="412" t="s">
        <v>1263</v>
      </c>
      <c r="BC192" s="407" t="str">
        <f t="shared" ca="1" si="72"/>
        <v/>
      </c>
      <c r="BD192" s="410"/>
      <c r="BE192" s="410"/>
    </row>
    <row r="193" spans="3:57" x14ac:dyDescent="0.25">
      <c r="C193" s="406">
        <f t="shared" si="73"/>
        <v>191</v>
      </c>
      <c r="D193" s="406" t="e">
        <f t="shared" ca="1" si="104"/>
        <v>#N/A</v>
      </c>
      <c r="E193" s="406" t="e">
        <f t="shared" ca="1" si="104"/>
        <v>#N/A</v>
      </c>
      <c r="F193" s="406" t="e">
        <f t="shared" ca="1" si="104"/>
        <v>#N/A</v>
      </c>
      <c r="G193" s="406" t="e">
        <f t="shared" ca="1" si="104"/>
        <v>#N/A</v>
      </c>
      <c r="H193" s="406" t="e">
        <f t="shared" ca="1" si="104"/>
        <v>#N/A</v>
      </c>
      <c r="I193" s="406" t="e">
        <f t="shared" ca="1" si="104"/>
        <v>#N/A</v>
      </c>
      <c r="J193" s="406" t="e">
        <f t="shared" ca="1" si="104"/>
        <v>#N/A</v>
      </c>
      <c r="K193" s="406" t="e">
        <f t="shared" ca="1" si="104"/>
        <v>#N/A</v>
      </c>
      <c r="L193" s="406" t="e">
        <f t="shared" ca="1" si="104"/>
        <v>#N/A</v>
      </c>
      <c r="M193" s="406" t="e">
        <f t="shared" ca="1" si="104"/>
        <v>#N/A</v>
      </c>
      <c r="N193" s="406" t="e">
        <f t="shared" ca="1" si="105"/>
        <v>#N/A</v>
      </c>
      <c r="O193" s="406" t="e">
        <f t="shared" ca="1" si="105"/>
        <v>#N/A</v>
      </c>
      <c r="P193" s="406" t="e">
        <f t="shared" ca="1" si="105"/>
        <v>#N/A</v>
      </c>
      <c r="Q193" s="406" t="e">
        <f t="shared" ca="1" si="105"/>
        <v>#N/A</v>
      </c>
      <c r="R193" s="406" t="e">
        <f t="shared" ca="1" si="105"/>
        <v>#N/A</v>
      </c>
      <c r="S193" s="406" t="e">
        <f t="shared" ca="1" si="105"/>
        <v>#N/A</v>
      </c>
      <c r="T193" s="406" t="e">
        <f t="shared" ca="1" si="105"/>
        <v>#N/A</v>
      </c>
      <c r="U193" s="406" t="e">
        <f t="shared" ca="1" si="105"/>
        <v>#N/A</v>
      </c>
      <c r="V193" s="406" t="e">
        <f t="shared" ca="1" si="105"/>
        <v>#N/A</v>
      </c>
      <c r="W193" s="406" t="e">
        <f t="shared" ca="1" si="105"/>
        <v>#N/A</v>
      </c>
      <c r="X193" s="406" t="e">
        <f t="shared" ca="1" si="106"/>
        <v>#N/A</v>
      </c>
      <c r="Y193" s="406" t="e">
        <f t="shared" ca="1" si="106"/>
        <v>#N/A</v>
      </c>
      <c r="Z193" s="406" t="e">
        <f t="shared" ca="1" si="106"/>
        <v>#N/A</v>
      </c>
      <c r="AA193" s="406" t="e">
        <f t="shared" ca="1" si="106"/>
        <v>#N/A</v>
      </c>
      <c r="AB193" s="406" t="e">
        <f t="shared" ca="1" si="106"/>
        <v>#N/A</v>
      </c>
      <c r="AC193" s="406" t="e">
        <f t="shared" ca="1" si="106"/>
        <v>#N/A</v>
      </c>
      <c r="AD193" s="406" t="e">
        <f t="shared" ca="1" si="106"/>
        <v>#N/A</v>
      </c>
      <c r="AE193" s="406" t="e">
        <f t="shared" ca="1" si="106"/>
        <v>#N/A</v>
      </c>
      <c r="AF193" s="406" t="e">
        <f t="shared" ca="1" si="106"/>
        <v>#N/A</v>
      </c>
      <c r="AG193" s="406" t="e">
        <f t="shared" ca="1" si="106"/>
        <v>#N/A</v>
      </c>
      <c r="AH193" s="406" t="e">
        <f t="shared" ca="1" si="107"/>
        <v>#N/A</v>
      </c>
      <c r="AI193" s="406" t="e">
        <f t="shared" ca="1" si="107"/>
        <v>#N/A</v>
      </c>
      <c r="AJ193" s="406" t="e">
        <f t="shared" ca="1" si="107"/>
        <v>#N/A</v>
      </c>
      <c r="AK193" s="406" t="e">
        <f t="shared" ca="1" si="107"/>
        <v>#N/A</v>
      </c>
      <c r="AL193" s="406" t="e">
        <f t="shared" ca="1" si="107"/>
        <v>#N/A</v>
      </c>
      <c r="AM193" s="406" t="e">
        <f t="shared" ca="1" si="107"/>
        <v>#N/A</v>
      </c>
      <c r="AN193" s="406" t="e">
        <f t="shared" ca="1" si="107"/>
        <v>#N/A</v>
      </c>
      <c r="AO193" s="406" t="e">
        <f t="shared" ca="1" si="107"/>
        <v>#N/A</v>
      </c>
      <c r="AP193" s="406" t="e">
        <f t="shared" ca="1" si="107"/>
        <v>#N/A</v>
      </c>
      <c r="AQ193" s="406" t="e">
        <f t="shared" ca="1" si="107"/>
        <v>#N/A</v>
      </c>
      <c r="AR193" s="406" t="e">
        <f t="shared" ca="1" si="108"/>
        <v>#N/A</v>
      </c>
      <c r="AS193" s="406" t="e">
        <f t="shared" ca="1" si="108"/>
        <v>#N/A</v>
      </c>
      <c r="AT193" s="406" t="e">
        <f t="shared" ca="1" si="108"/>
        <v>#N/A</v>
      </c>
      <c r="AU193" s="406" t="e">
        <f t="shared" ca="1" si="108"/>
        <v>#N/A</v>
      </c>
      <c r="AV193" s="406" t="e">
        <f t="shared" ca="1" si="108"/>
        <v>#N/A</v>
      </c>
      <c r="AW193" s="406" t="e">
        <f t="shared" ca="1" si="108"/>
        <v>#N/A</v>
      </c>
      <c r="AX193" s="406" t="e">
        <f t="shared" ca="1" si="108"/>
        <v>#N/A</v>
      </c>
      <c r="AY193" s="406" t="e">
        <f t="shared" ca="1" si="108"/>
        <v>#N/A</v>
      </c>
      <c r="AZ193" s="406" t="e">
        <f t="shared" ca="1" si="108"/>
        <v>#N/A</v>
      </c>
      <c r="BA193" s="406" t="e">
        <f t="shared" ca="1" si="108"/>
        <v>#N/A</v>
      </c>
      <c r="BB193" s="412" t="s">
        <v>1264</v>
      </c>
      <c r="BC193" s="407" t="str">
        <f t="shared" ca="1" si="72"/>
        <v/>
      </c>
      <c r="BD193" s="410"/>
      <c r="BE193" s="410"/>
    </row>
    <row r="194" spans="3:57" x14ac:dyDescent="0.25">
      <c r="C194" s="406">
        <f t="shared" si="73"/>
        <v>192</v>
      </c>
      <c r="D194" s="406" t="e">
        <f t="shared" ca="1" si="104"/>
        <v>#N/A</v>
      </c>
      <c r="E194" s="406" t="e">
        <f t="shared" ca="1" si="104"/>
        <v>#N/A</v>
      </c>
      <c r="F194" s="406" t="e">
        <f t="shared" ca="1" si="104"/>
        <v>#N/A</v>
      </c>
      <c r="G194" s="406" t="e">
        <f t="shared" ca="1" si="104"/>
        <v>#N/A</v>
      </c>
      <c r="H194" s="406" t="e">
        <f t="shared" ca="1" si="104"/>
        <v>#N/A</v>
      </c>
      <c r="I194" s="406" t="e">
        <f t="shared" ca="1" si="104"/>
        <v>#N/A</v>
      </c>
      <c r="J194" s="406" t="e">
        <f t="shared" ca="1" si="104"/>
        <v>#N/A</v>
      </c>
      <c r="K194" s="406" t="e">
        <f t="shared" ca="1" si="104"/>
        <v>#N/A</v>
      </c>
      <c r="L194" s="406" t="e">
        <f t="shared" ca="1" si="104"/>
        <v>#N/A</v>
      </c>
      <c r="M194" s="406" t="e">
        <f t="shared" ca="1" si="104"/>
        <v>#N/A</v>
      </c>
      <c r="N194" s="406" t="e">
        <f t="shared" ca="1" si="105"/>
        <v>#N/A</v>
      </c>
      <c r="O194" s="406" t="e">
        <f t="shared" ca="1" si="105"/>
        <v>#N/A</v>
      </c>
      <c r="P194" s="406" t="e">
        <f t="shared" ca="1" si="105"/>
        <v>#N/A</v>
      </c>
      <c r="Q194" s="406" t="e">
        <f t="shared" ca="1" si="105"/>
        <v>#N/A</v>
      </c>
      <c r="R194" s="406" t="e">
        <f t="shared" ca="1" si="105"/>
        <v>#N/A</v>
      </c>
      <c r="S194" s="406" t="e">
        <f t="shared" ca="1" si="105"/>
        <v>#N/A</v>
      </c>
      <c r="T194" s="406" t="e">
        <f t="shared" ca="1" si="105"/>
        <v>#N/A</v>
      </c>
      <c r="U194" s="406" t="e">
        <f t="shared" ca="1" si="105"/>
        <v>#N/A</v>
      </c>
      <c r="V194" s="406" t="e">
        <f t="shared" ca="1" si="105"/>
        <v>#N/A</v>
      </c>
      <c r="W194" s="406" t="e">
        <f t="shared" ca="1" si="105"/>
        <v>#N/A</v>
      </c>
      <c r="X194" s="406" t="e">
        <f t="shared" ca="1" si="106"/>
        <v>#N/A</v>
      </c>
      <c r="Y194" s="406" t="e">
        <f t="shared" ca="1" si="106"/>
        <v>#N/A</v>
      </c>
      <c r="Z194" s="406" t="e">
        <f t="shared" ca="1" si="106"/>
        <v>#N/A</v>
      </c>
      <c r="AA194" s="406" t="e">
        <f t="shared" ca="1" si="106"/>
        <v>#N/A</v>
      </c>
      <c r="AB194" s="406" t="e">
        <f t="shared" ca="1" si="106"/>
        <v>#N/A</v>
      </c>
      <c r="AC194" s="406" t="e">
        <f t="shared" ca="1" si="106"/>
        <v>#N/A</v>
      </c>
      <c r="AD194" s="406" t="e">
        <f t="shared" ca="1" si="106"/>
        <v>#N/A</v>
      </c>
      <c r="AE194" s="406" t="e">
        <f t="shared" ca="1" si="106"/>
        <v>#N/A</v>
      </c>
      <c r="AF194" s="406" t="e">
        <f t="shared" ca="1" si="106"/>
        <v>#N/A</v>
      </c>
      <c r="AG194" s="406" t="e">
        <f t="shared" ca="1" si="106"/>
        <v>#N/A</v>
      </c>
      <c r="AH194" s="406" t="e">
        <f t="shared" ca="1" si="107"/>
        <v>#N/A</v>
      </c>
      <c r="AI194" s="406" t="e">
        <f t="shared" ca="1" si="107"/>
        <v>#N/A</v>
      </c>
      <c r="AJ194" s="406" t="e">
        <f t="shared" ca="1" si="107"/>
        <v>#N/A</v>
      </c>
      <c r="AK194" s="406" t="e">
        <f t="shared" ca="1" si="107"/>
        <v>#N/A</v>
      </c>
      <c r="AL194" s="406" t="e">
        <f t="shared" ca="1" si="107"/>
        <v>#N/A</v>
      </c>
      <c r="AM194" s="406" t="e">
        <f t="shared" ca="1" si="107"/>
        <v>#N/A</v>
      </c>
      <c r="AN194" s="406" t="e">
        <f t="shared" ca="1" si="107"/>
        <v>#N/A</v>
      </c>
      <c r="AO194" s="406" t="e">
        <f t="shared" ca="1" si="107"/>
        <v>#N/A</v>
      </c>
      <c r="AP194" s="406" t="e">
        <f t="shared" ca="1" si="107"/>
        <v>#N/A</v>
      </c>
      <c r="AQ194" s="406" t="e">
        <f t="shared" ca="1" si="107"/>
        <v>#N/A</v>
      </c>
      <c r="AR194" s="406" t="e">
        <f t="shared" ca="1" si="108"/>
        <v>#N/A</v>
      </c>
      <c r="AS194" s="406" t="e">
        <f t="shared" ca="1" si="108"/>
        <v>#N/A</v>
      </c>
      <c r="AT194" s="406" t="e">
        <f t="shared" ca="1" si="108"/>
        <v>#N/A</v>
      </c>
      <c r="AU194" s="406" t="e">
        <f t="shared" ca="1" si="108"/>
        <v>#N/A</v>
      </c>
      <c r="AV194" s="406" t="e">
        <f t="shared" ca="1" si="108"/>
        <v>#N/A</v>
      </c>
      <c r="AW194" s="406" t="e">
        <f t="shared" ca="1" si="108"/>
        <v>#N/A</v>
      </c>
      <c r="AX194" s="406" t="e">
        <f t="shared" ca="1" si="108"/>
        <v>#N/A</v>
      </c>
      <c r="AY194" s="406" t="e">
        <f t="shared" ca="1" si="108"/>
        <v>#N/A</v>
      </c>
      <c r="AZ194" s="406" t="e">
        <f t="shared" ca="1" si="108"/>
        <v>#N/A</v>
      </c>
      <c r="BA194" s="406" t="e">
        <f t="shared" ca="1" si="108"/>
        <v>#N/A</v>
      </c>
      <c r="BB194" s="412" t="s">
        <v>1265</v>
      </c>
      <c r="BC194" s="407" t="str">
        <f t="shared" ref="BC194:BC257" ca="1" si="109">IFERROR(ABS(INDEX($D$2:$BA$502,MATCH($BB194,$D$2:$D$502,0),MATCH(BC$1,INDIRECT(CONCATENATE("D" &amp; $A$6 &amp; ":BA" &amp; $A$6)),0)))*(IF(RTF_unit="K",1,IF(RTF_unit="lb",1/1000,IF(RTF_unit="T",1/2,1)))),"")</f>
        <v/>
      </c>
      <c r="BD194" s="410"/>
      <c r="BE194" s="410"/>
    </row>
    <row r="195" spans="3:57" x14ac:dyDescent="0.25">
      <c r="C195" s="406">
        <f t="shared" si="73"/>
        <v>193</v>
      </c>
      <c r="D195" s="406" t="e">
        <f t="shared" ca="1" si="104"/>
        <v>#N/A</v>
      </c>
      <c r="E195" s="406" t="e">
        <f t="shared" ca="1" si="104"/>
        <v>#N/A</v>
      </c>
      <c r="F195" s="406" t="e">
        <f t="shared" ca="1" si="104"/>
        <v>#N/A</v>
      </c>
      <c r="G195" s="406" t="e">
        <f t="shared" ca="1" si="104"/>
        <v>#N/A</v>
      </c>
      <c r="H195" s="406" t="e">
        <f t="shared" ca="1" si="104"/>
        <v>#N/A</v>
      </c>
      <c r="I195" s="406" t="e">
        <f t="shared" ca="1" si="104"/>
        <v>#N/A</v>
      </c>
      <c r="J195" s="406" t="e">
        <f t="shared" ca="1" si="104"/>
        <v>#N/A</v>
      </c>
      <c r="K195" s="406" t="e">
        <f t="shared" ca="1" si="104"/>
        <v>#N/A</v>
      </c>
      <c r="L195" s="406" t="e">
        <f t="shared" ca="1" si="104"/>
        <v>#N/A</v>
      </c>
      <c r="M195" s="406" t="e">
        <f t="shared" ca="1" si="104"/>
        <v>#N/A</v>
      </c>
      <c r="N195" s="406" t="e">
        <f t="shared" ca="1" si="105"/>
        <v>#N/A</v>
      </c>
      <c r="O195" s="406" t="e">
        <f t="shared" ca="1" si="105"/>
        <v>#N/A</v>
      </c>
      <c r="P195" s="406" t="e">
        <f t="shared" ca="1" si="105"/>
        <v>#N/A</v>
      </c>
      <c r="Q195" s="406" t="e">
        <f t="shared" ca="1" si="105"/>
        <v>#N/A</v>
      </c>
      <c r="R195" s="406" t="e">
        <f t="shared" ca="1" si="105"/>
        <v>#N/A</v>
      </c>
      <c r="S195" s="406" t="e">
        <f t="shared" ca="1" si="105"/>
        <v>#N/A</v>
      </c>
      <c r="T195" s="406" t="e">
        <f t="shared" ca="1" si="105"/>
        <v>#N/A</v>
      </c>
      <c r="U195" s="406" t="e">
        <f t="shared" ca="1" si="105"/>
        <v>#N/A</v>
      </c>
      <c r="V195" s="406" t="e">
        <f t="shared" ca="1" si="105"/>
        <v>#N/A</v>
      </c>
      <c r="W195" s="406" t="e">
        <f t="shared" ca="1" si="105"/>
        <v>#N/A</v>
      </c>
      <c r="X195" s="406" t="e">
        <f t="shared" ca="1" si="106"/>
        <v>#N/A</v>
      </c>
      <c r="Y195" s="406" t="e">
        <f t="shared" ca="1" si="106"/>
        <v>#N/A</v>
      </c>
      <c r="Z195" s="406" t="e">
        <f t="shared" ca="1" si="106"/>
        <v>#N/A</v>
      </c>
      <c r="AA195" s="406" t="e">
        <f t="shared" ca="1" si="106"/>
        <v>#N/A</v>
      </c>
      <c r="AB195" s="406" t="e">
        <f t="shared" ca="1" si="106"/>
        <v>#N/A</v>
      </c>
      <c r="AC195" s="406" t="e">
        <f t="shared" ca="1" si="106"/>
        <v>#N/A</v>
      </c>
      <c r="AD195" s="406" t="e">
        <f t="shared" ca="1" si="106"/>
        <v>#N/A</v>
      </c>
      <c r="AE195" s="406" t="e">
        <f t="shared" ca="1" si="106"/>
        <v>#N/A</v>
      </c>
      <c r="AF195" s="406" t="e">
        <f t="shared" ca="1" si="106"/>
        <v>#N/A</v>
      </c>
      <c r="AG195" s="406" t="e">
        <f t="shared" ca="1" si="106"/>
        <v>#N/A</v>
      </c>
      <c r="AH195" s="406" t="e">
        <f t="shared" ca="1" si="107"/>
        <v>#N/A</v>
      </c>
      <c r="AI195" s="406" t="e">
        <f t="shared" ca="1" si="107"/>
        <v>#N/A</v>
      </c>
      <c r="AJ195" s="406" t="e">
        <f t="shared" ca="1" si="107"/>
        <v>#N/A</v>
      </c>
      <c r="AK195" s="406" t="e">
        <f t="shared" ca="1" si="107"/>
        <v>#N/A</v>
      </c>
      <c r="AL195" s="406" t="e">
        <f t="shared" ca="1" si="107"/>
        <v>#N/A</v>
      </c>
      <c r="AM195" s="406" t="e">
        <f t="shared" ca="1" si="107"/>
        <v>#N/A</v>
      </c>
      <c r="AN195" s="406" t="e">
        <f t="shared" ca="1" si="107"/>
        <v>#N/A</v>
      </c>
      <c r="AO195" s="406" t="e">
        <f t="shared" ca="1" si="107"/>
        <v>#N/A</v>
      </c>
      <c r="AP195" s="406" t="e">
        <f t="shared" ca="1" si="107"/>
        <v>#N/A</v>
      </c>
      <c r="AQ195" s="406" t="e">
        <f t="shared" ca="1" si="107"/>
        <v>#N/A</v>
      </c>
      <c r="AR195" s="406" t="e">
        <f t="shared" ca="1" si="108"/>
        <v>#N/A</v>
      </c>
      <c r="AS195" s="406" t="e">
        <f t="shared" ca="1" si="108"/>
        <v>#N/A</v>
      </c>
      <c r="AT195" s="406" t="e">
        <f t="shared" ca="1" si="108"/>
        <v>#N/A</v>
      </c>
      <c r="AU195" s="406" t="e">
        <f t="shared" ca="1" si="108"/>
        <v>#N/A</v>
      </c>
      <c r="AV195" s="406" t="e">
        <f t="shared" ca="1" si="108"/>
        <v>#N/A</v>
      </c>
      <c r="AW195" s="406" t="e">
        <f t="shared" ca="1" si="108"/>
        <v>#N/A</v>
      </c>
      <c r="AX195" s="406" t="e">
        <f t="shared" ca="1" si="108"/>
        <v>#N/A</v>
      </c>
      <c r="AY195" s="406" t="e">
        <f t="shared" ca="1" si="108"/>
        <v>#N/A</v>
      </c>
      <c r="AZ195" s="406" t="e">
        <f t="shared" ca="1" si="108"/>
        <v>#N/A</v>
      </c>
      <c r="BA195" s="406" t="e">
        <f t="shared" ca="1" si="108"/>
        <v>#N/A</v>
      </c>
      <c r="BB195" s="412" t="s">
        <v>1266</v>
      </c>
      <c r="BC195" s="407" t="str">
        <f t="shared" ca="1" si="109"/>
        <v/>
      </c>
      <c r="BD195" s="410"/>
      <c r="BE195" s="410"/>
    </row>
    <row r="196" spans="3:57" x14ac:dyDescent="0.25">
      <c r="C196" s="406">
        <f t="shared" ref="C196:C259" si="110">C195+1</f>
        <v>194</v>
      </c>
      <c r="D196" s="406" t="e">
        <f t="shared" ca="1" si="104"/>
        <v>#N/A</v>
      </c>
      <c r="E196" s="406" t="e">
        <f t="shared" ca="1" si="104"/>
        <v>#N/A</v>
      </c>
      <c r="F196" s="406" t="e">
        <f t="shared" ca="1" si="104"/>
        <v>#N/A</v>
      </c>
      <c r="G196" s="406" t="e">
        <f t="shared" ca="1" si="104"/>
        <v>#N/A</v>
      </c>
      <c r="H196" s="406" t="e">
        <f t="shared" ca="1" si="104"/>
        <v>#N/A</v>
      </c>
      <c r="I196" s="406" t="e">
        <f t="shared" ca="1" si="104"/>
        <v>#N/A</v>
      </c>
      <c r="J196" s="406" t="e">
        <f t="shared" ca="1" si="104"/>
        <v>#N/A</v>
      </c>
      <c r="K196" s="406" t="e">
        <f t="shared" ca="1" si="104"/>
        <v>#N/A</v>
      </c>
      <c r="L196" s="406" t="e">
        <f t="shared" ca="1" si="104"/>
        <v>#N/A</v>
      </c>
      <c r="M196" s="406" t="e">
        <f t="shared" ca="1" si="104"/>
        <v>#N/A</v>
      </c>
      <c r="N196" s="406" t="e">
        <f t="shared" ca="1" si="105"/>
        <v>#N/A</v>
      </c>
      <c r="O196" s="406" t="e">
        <f t="shared" ca="1" si="105"/>
        <v>#N/A</v>
      </c>
      <c r="P196" s="406" t="e">
        <f t="shared" ca="1" si="105"/>
        <v>#N/A</v>
      </c>
      <c r="Q196" s="406" t="e">
        <f t="shared" ca="1" si="105"/>
        <v>#N/A</v>
      </c>
      <c r="R196" s="406" t="e">
        <f t="shared" ca="1" si="105"/>
        <v>#N/A</v>
      </c>
      <c r="S196" s="406" t="e">
        <f t="shared" ca="1" si="105"/>
        <v>#N/A</v>
      </c>
      <c r="T196" s="406" t="e">
        <f t="shared" ca="1" si="105"/>
        <v>#N/A</v>
      </c>
      <c r="U196" s="406" t="e">
        <f t="shared" ca="1" si="105"/>
        <v>#N/A</v>
      </c>
      <c r="V196" s="406" t="e">
        <f t="shared" ca="1" si="105"/>
        <v>#N/A</v>
      </c>
      <c r="W196" s="406" t="e">
        <f t="shared" ca="1" si="105"/>
        <v>#N/A</v>
      </c>
      <c r="X196" s="406" t="e">
        <f t="shared" ca="1" si="106"/>
        <v>#N/A</v>
      </c>
      <c r="Y196" s="406" t="e">
        <f t="shared" ca="1" si="106"/>
        <v>#N/A</v>
      </c>
      <c r="Z196" s="406" t="e">
        <f t="shared" ca="1" si="106"/>
        <v>#N/A</v>
      </c>
      <c r="AA196" s="406" t="e">
        <f t="shared" ca="1" si="106"/>
        <v>#N/A</v>
      </c>
      <c r="AB196" s="406" t="e">
        <f t="shared" ca="1" si="106"/>
        <v>#N/A</v>
      </c>
      <c r="AC196" s="406" t="e">
        <f t="shared" ca="1" si="106"/>
        <v>#N/A</v>
      </c>
      <c r="AD196" s="406" t="e">
        <f t="shared" ca="1" si="106"/>
        <v>#N/A</v>
      </c>
      <c r="AE196" s="406" t="e">
        <f t="shared" ca="1" si="106"/>
        <v>#N/A</v>
      </c>
      <c r="AF196" s="406" t="e">
        <f t="shared" ca="1" si="106"/>
        <v>#N/A</v>
      </c>
      <c r="AG196" s="406" t="e">
        <f t="shared" ca="1" si="106"/>
        <v>#N/A</v>
      </c>
      <c r="AH196" s="406" t="e">
        <f t="shared" ca="1" si="107"/>
        <v>#N/A</v>
      </c>
      <c r="AI196" s="406" t="e">
        <f t="shared" ca="1" si="107"/>
        <v>#N/A</v>
      </c>
      <c r="AJ196" s="406" t="e">
        <f t="shared" ca="1" si="107"/>
        <v>#N/A</v>
      </c>
      <c r="AK196" s="406" t="e">
        <f t="shared" ca="1" si="107"/>
        <v>#N/A</v>
      </c>
      <c r="AL196" s="406" t="e">
        <f t="shared" ca="1" si="107"/>
        <v>#N/A</v>
      </c>
      <c r="AM196" s="406" t="e">
        <f t="shared" ca="1" si="107"/>
        <v>#N/A</v>
      </c>
      <c r="AN196" s="406" t="e">
        <f t="shared" ca="1" si="107"/>
        <v>#N/A</v>
      </c>
      <c r="AO196" s="406" t="e">
        <f t="shared" ca="1" si="107"/>
        <v>#N/A</v>
      </c>
      <c r="AP196" s="406" t="e">
        <f t="shared" ca="1" si="107"/>
        <v>#N/A</v>
      </c>
      <c r="AQ196" s="406" t="e">
        <f t="shared" ca="1" si="107"/>
        <v>#N/A</v>
      </c>
      <c r="AR196" s="406" t="e">
        <f t="shared" ca="1" si="108"/>
        <v>#N/A</v>
      </c>
      <c r="AS196" s="406" t="e">
        <f t="shared" ca="1" si="108"/>
        <v>#N/A</v>
      </c>
      <c r="AT196" s="406" t="e">
        <f t="shared" ca="1" si="108"/>
        <v>#N/A</v>
      </c>
      <c r="AU196" s="406" t="e">
        <f t="shared" ca="1" si="108"/>
        <v>#N/A</v>
      </c>
      <c r="AV196" s="406" t="e">
        <f t="shared" ca="1" si="108"/>
        <v>#N/A</v>
      </c>
      <c r="AW196" s="406" t="e">
        <f t="shared" ca="1" si="108"/>
        <v>#N/A</v>
      </c>
      <c r="AX196" s="406" t="e">
        <f t="shared" ca="1" si="108"/>
        <v>#N/A</v>
      </c>
      <c r="AY196" s="406" t="e">
        <f t="shared" ca="1" si="108"/>
        <v>#N/A</v>
      </c>
      <c r="AZ196" s="406" t="e">
        <f t="shared" ca="1" si="108"/>
        <v>#N/A</v>
      </c>
      <c r="BA196" s="406" t="e">
        <f t="shared" ca="1" si="108"/>
        <v>#N/A</v>
      </c>
      <c r="BB196" s="412" t="s">
        <v>1267</v>
      </c>
      <c r="BC196" s="407" t="str">
        <f t="shared" ca="1" si="109"/>
        <v/>
      </c>
      <c r="BD196" s="410"/>
      <c r="BE196" s="410"/>
    </row>
    <row r="197" spans="3:57" x14ac:dyDescent="0.25">
      <c r="C197" s="406">
        <f t="shared" si="110"/>
        <v>195</v>
      </c>
      <c r="D197" s="406" t="e">
        <f t="shared" ca="1" si="104"/>
        <v>#N/A</v>
      </c>
      <c r="E197" s="406" t="e">
        <f t="shared" ca="1" si="104"/>
        <v>#N/A</v>
      </c>
      <c r="F197" s="406" t="e">
        <f t="shared" ca="1" si="104"/>
        <v>#N/A</v>
      </c>
      <c r="G197" s="406" t="e">
        <f t="shared" ca="1" si="104"/>
        <v>#N/A</v>
      </c>
      <c r="H197" s="406" t="e">
        <f t="shared" ca="1" si="104"/>
        <v>#N/A</v>
      </c>
      <c r="I197" s="406" t="e">
        <f t="shared" ca="1" si="104"/>
        <v>#N/A</v>
      </c>
      <c r="J197" s="406" t="e">
        <f t="shared" ca="1" si="104"/>
        <v>#N/A</v>
      </c>
      <c r="K197" s="406" t="e">
        <f t="shared" ca="1" si="104"/>
        <v>#N/A</v>
      </c>
      <c r="L197" s="406" t="e">
        <f t="shared" ca="1" si="104"/>
        <v>#N/A</v>
      </c>
      <c r="M197" s="406" t="e">
        <f t="shared" ca="1" si="104"/>
        <v>#N/A</v>
      </c>
      <c r="N197" s="406" t="e">
        <f t="shared" ca="1" si="105"/>
        <v>#N/A</v>
      </c>
      <c r="O197" s="406" t="e">
        <f t="shared" ca="1" si="105"/>
        <v>#N/A</v>
      </c>
      <c r="P197" s="406" t="e">
        <f t="shared" ca="1" si="105"/>
        <v>#N/A</v>
      </c>
      <c r="Q197" s="406" t="e">
        <f t="shared" ca="1" si="105"/>
        <v>#N/A</v>
      </c>
      <c r="R197" s="406" t="e">
        <f t="shared" ca="1" si="105"/>
        <v>#N/A</v>
      </c>
      <c r="S197" s="406" t="e">
        <f t="shared" ca="1" si="105"/>
        <v>#N/A</v>
      </c>
      <c r="T197" s="406" t="e">
        <f t="shared" ca="1" si="105"/>
        <v>#N/A</v>
      </c>
      <c r="U197" s="406" t="e">
        <f t="shared" ca="1" si="105"/>
        <v>#N/A</v>
      </c>
      <c r="V197" s="406" t="e">
        <f t="shared" ca="1" si="105"/>
        <v>#N/A</v>
      </c>
      <c r="W197" s="406" t="e">
        <f t="shared" ca="1" si="105"/>
        <v>#N/A</v>
      </c>
      <c r="X197" s="406" t="e">
        <f t="shared" ca="1" si="106"/>
        <v>#N/A</v>
      </c>
      <c r="Y197" s="406" t="e">
        <f t="shared" ca="1" si="106"/>
        <v>#N/A</v>
      </c>
      <c r="Z197" s="406" t="e">
        <f t="shared" ca="1" si="106"/>
        <v>#N/A</v>
      </c>
      <c r="AA197" s="406" t="e">
        <f t="shared" ca="1" si="106"/>
        <v>#N/A</v>
      </c>
      <c r="AB197" s="406" t="e">
        <f t="shared" ca="1" si="106"/>
        <v>#N/A</v>
      </c>
      <c r="AC197" s="406" t="e">
        <f t="shared" ca="1" si="106"/>
        <v>#N/A</v>
      </c>
      <c r="AD197" s="406" t="e">
        <f t="shared" ca="1" si="106"/>
        <v>#N/A</v>
      </c>
      <c r="AE197" s="406" t="e">
        <f t="shared" ca="1" si="106"/>
        <v>#N/A</v>
      </c>
      <c r="AF197" s="406" t="e">
        <f t="shared" ca="1" si="106"/>
        <v>#N/A</v>
      </c>
      <c r="AG197" s="406" t="e">
        <f t="shared" ca="1" si="106"/>
        <v>#N/A</v>
      </c>
      <c r="AH197" s="406" t="e">
        <f t="shared" ca="1" si="107"/>
        <v>#N/A</v>
      </c>
      <c r="AI197" s="406" t="e">
        <f t="shared" ca="1" si="107"/>
        <v>#N/A</v>
      </c>
      <c r="AJ197" s="406" t="e">
        <f t="shared" ca="1" si="107"/>
        <v>#N/A</v>
      </c>
      <c r="AK197" s="406" t="e">
        <f t="shared" ca="1" si="107"/>
        <v>#N/A</v>
      </c>
      <c r="AL197" s="406" t="e">
        <f t="shared" ca="1" si="107"/>
        <v>#N/A</v>
      </c>
      <c r="AM197" s="406" t="e">
        <f t="shared" ca="1" si="107"/>
        <v>#N/A</v>
      </c>
      <c r="AN197" s="406" t="e">
        <f t="shared" ca="1" si="107"/>
        <v>#N/A</v>
      </c>
      <c r="AO197" s="406" t="e">
        <f t="shared" ca="1" si="107"/>
        <v>#N/A</v>
      </c>
      <c r="AP197" s="406" t="e">
        <f t="shared" ca="1" si="107"/>
        <v>#N/A</v>
      </c>
      <c r="AQ197" s="406" t="e">
        <f t="shared" ca="1" si="107"/>
        <v>#N/A</v>
      </c>
      <c r="AR197" s="406" t="e">
        <f t="shared" ca="1" si="108"/>
        <v>#N/A</v>
      </c>
      <c r="AS197" s="406" t="e">
        <f t="shared" ca="1" si="108"/>
        <v>#N/A</v>
      </c>
      <c r="AT197" s="406" t="e">
        <f t="shared" ca="1" si="108"/>
        <v>#N/A</v>
      </c>
      <c r="AU197" s="406" t="e">
        <f t="shared" ca="1" si="108"/>
        <v>#N/A</v>
      </c>
      <c r="AV197" s="406" t="e">
        <f t="shared" ca="1" si="108"/>
        <v>#N/A</v>
      </c>
      <c r="AW197" s="406" t="e">
        <f t="shared" ca="1" si="108"/>
        <v>#N/A</v>
      </c>
      <c r="AX197" s="406" t="e">
        <f t="shared" ca="1" si="108"/>
        <v>#N/A</v>
      </c>
      <c r="AY197" s="406" t="e">
        <f t="shared" ca="1" si="108"/>
        <v>#N/A</v>
      </c>
      <c r="AZ197" s="406" t="e">
        <f t="shared" ca="1" si="108"/>
        <v>#N/A</v>
      </c>
      <c r="BA197" s="406" t="e">
        <f t="shared" ca="1" si="108"/>
        <v>#N/A</v>
      </c>
      <c r="BB197" s="412" t="s">
        <v>1268</v>
      </c>
      <c r="BC197" s="407" t="str">
        <f t="shared" ca="1" si="109"/>
        <v/>
      </c>
      <c r="BD197" s="410"/>
      <c r="BE197" s="410"/>
    </row>
    <row r="198" spans="3:57" x14ac:dyDescent="0.25">
      <c r="C198" s="406">
        <f t="shared" si="110"/>
        <v>196</v>
      </c>
      <c r="D198" s="406" t="e">
        <f t="shared" ca="1" si="104"/>
        <v>#N/A</v>
      </c>
      <c r="E198" s="406" t="e">
        <f t="shared" ca="1" si="104"/>
        <v>#N/A</v>
      </c>
      <c r="F198" s="406" t="e">
        <f t="shared" ca="1" si="104"/>
        <v>#N/A</v>
      </c>
      <c r="G198" s="406" t="e">
        <f t="shared" ca="1" si="104"/>
        <v>#N/A</v>
      </c>
      <c r="H198" s="406" t="e">
        <f t="shared" ca="1" si="104"/>
        <v>#N/A</v>
      </c>
      <c r="I198" s="406" t="e">
        <f t="shared" ca="1" si="104"/>
        <v>#N/A</v>
      </c>
      <c r="J198" s="406" t="e">
        <f t="shared" ca="1" si="104"/>
        <v>#N/A</v>
      </c>
      <c r="K198" s="406" t="e">
        <f t="shared" ca="1" si="104"/>
        <v>#N/A</v>
      </c>
      <c r="L198" s="406" t="e">
        <f t="shared" ca="1" si="104"/>
        <v>#N/A</v>
      </c>
      <c r="M198" s="406" t="e">
        <f t="shared" ca="1" si="104"/>
        <v>#N/A</v>
      </c>
      <c r="N198" s="406" t="e">
        <f t="shared" ca="1" si="105"/>
        <v>#N/A</v>
      </c>
      <c r="O198" s="406" t="e">
        <f t="shared" ca="1" si="105"/>
        <v>#N/A</v>
      </c>
      <c r="P198" s="406" t="e">
        <f t="shared" ca="1" si="105"/>
        <v>#N/A</v>
      </c>
      <c r="Q198" s="406" t="e">
        <f t="shared" ca="1" si="105"/>
        <v>#N/A</v>
      </c>
      <c r="R198" s="406" t="e">
        <f t="shared" ca="1" si="105"/>
        <v>#N/A</v>
      </c>
      <c r="S198" s="406" t="e">
        <f t="shared" ca="1" si="105"/>
        <v>#N/A</v>
      </c>
      <c r="T198" s="406" t="e">
        <f t="shared" ca="1" si="105"/>
        <v>#N/A</v>
      </c>
      <c r="U198" s="406" t="e">
        <f t="shared" ca="1" si="105"/>
        <v>#N/A</v>
      </c>
      <c r="V198" s="406" t="e">
        <f t="shared" ca="1" si="105"/>
        <v>#N/A</v>
      </c>
      <c r="W198" s="406" t="e">
        <f t="shared" ca="1" si="105"/>
        <v>#N/A</v>
      </c>
      <c r="X198" s="406" t="e">
        <f t="shared" ca="1" si="106"/>
        <v>#N/A</v>
      </c>
      <c r="Y198" s="406" t="e">
        <f t="shared" ca="1" si="106"/>
        <v>#N/A</v>
      </c>
      <c r="Z198" s="406" t="e">
        <f t="shared" ca="1" si="106"/>
        <v>#N/A</v>
      </c>
      <c r="AA198" s="406" t="e">
        <f t="shared" ca="1" si="106"/>
        <v>#N/A</v>
      </c>
      <c r="AB198" s="406" t="e">
        <f t="shared" ca="1" si="106"/>
        <v>#N/A</v>
      </c>
      <c r="AC198" s="406" t="e">
        <f t="shared" ca="1" si="106"/>
        <v>#N/A</v>
      </c>
      <c r="AD198" s="406" t="e">
        <f t="shared" ca="1" si="106"/>
        <v>#N/A</v>
      </c>
      <c r="AE198" s="406" t="e">
        <f t="shared" ca="1" si="106"/>
        <v>#N/A</v>
      </c>
      <c r="AF198" s="406" t="e">
        <f t="shared" ca="1" si="106"/>
        <v>#N/A</v>
      </c>
      <c r="AG198" s="406" t="e">
        <f t="shared" ca="1" si="106"/>
        <v>#N/A</v>
      </c>
      <c r="AH198" s="406" t="e">
        <f t="shared" ca="1" si="107"/>
        <v>#N/A</v>
      </c>
      <c r="AI198" s="406" t="e">
        <f t="shared" ca="1" si="107"/>
        <v>#N/A</v>
      </c>
      <c r="AJ198" s="406" t="e">
        <f t="shared" ca="1" si="107"/>
        <v>#N/A</v>
      </c>
      <c r="AK198" s="406" t="e">
        <f t="shared" ca="1" si="107"/>
        <v>#N/A</v>
      </c>
      <c r="AL198" s="406" t="e">
        <f t="shared" ca="1" si="107"/>
        <v>#N/A</v>
      </c>
      <c r="AM198" s="406" t="e">
        <f t="shared" ca="1" si="107"/>
        <v>#N/A</v>
      </c>
      <c r="AN198" s="406" t="e">
        <f t="shared" ca="1" si="107"/>
        <v>#N/A</v>
      </c>
      <c r="AO198" s="406" t="e">
        <f t="shared" ca="1" si="107"/>
        <v>#N/A</v>
      </c>
      <c r="AP198" s="406" t="e">
        <f t="shared" ca="1" si="107"/>
        <v>#N/A</v>
      </c>
      <c r="AQ198" s="406" t="e">
        <f t="shared" ca="1" si="107"/>
        <v>#N/A</v>
      </c>
      <c r="AR198" s="406" t="e">
        <f t="shared" ca="1" si="108"/>
        <v>#N/A</v>
      </c>
      <c r="AS198" s="406" t="e">
        <f t="shared" ca="1" si="108"/>
        <v>#N/A</v>
      </c>
      <c r="AT198" s="406" t="e">
        <f t="shared" ca="1" si="108"/>
        <v>#N/A</v>
      </c>
      <c r="AU198" s="406" t="e">
        <f t="shared" ca="1" si="108"/>
        <v>#N/A</v>
      </c>
      <c r="AV198" s="406" t="e">
        <f t="shared" ca="1" si="108"/>
        <v>#N/A</v>
      </c>
      <c r="AW198" s="406" t="e">
        <f t="shared" ca="1" si="108"/>
        <v>#N/A</v>
      </c>
      <c r="AX198" s="406" t="e">
        <f t="shared" ca="1" si="108"/>
        <v>#N/A</v>
      </c>
      <c r="AY198" s="406" t="e">
        <f t="shared" ca="1" si="108"/>
        <v>#N/A</v>
      </c>
      <c r="AZ198" s="406" t="e">
        <f t="shared" ca="1" si="108"/>
        <v>#N/A</v>
      </c>
      <c r="BA198" s="406" t="e">
        <f t="shared" ca="1" si="108"/>
        <v>#N/A</v>
      </c>
      <c r="BB198" s="412" t="s">
        <v>1269</v>
      </c>
      <c r="BC198" s="407" t="str">
        <f t="shared" ca="1" si="109"/>
        <v/>
      </c>
      <c r="BD198" s="410"/>
      <c r="BE198" s="410"/>
    </row>
    <row r="199" spans="3:57" x14ac:dyDescent="0.25">
      <c r="C199" s="406">
        <f t="shared" si="110"/>
        <v>197</v>
      </c>
      <c r="D199" s="406" t="e">
        <f t="shared" ca="1" si="104"/>
        <v>#N/A</v>
      </c>
      <c r="E199" s="406" t="e">
        <f t="shared" ca="1" si="104"/>
        <v>#N/A</v>
      </c>
      <c r="F199" s="406" t="e">
        <f t="shared" ca="1" si="104"/>
        <v>#N/A</v>
      </c>
      <c r="G199" s="406" t="e">
        <f t="shared" ca="1" si="104"/>
        <v>#N/A</v>
      </c>
      <c r="H199" s="406" t="e">
        <f t="shared" ca="1" si="104"/>
        <v>#N/A</v>
      </c>
      <c r="I199" s="406" t="e">
        <f t="shared" ca="1" si="104"/>
        <v>#N/A</v>
      </c>
      <c r="J199" s="406" t="e">
        <f t="shared" ca="1" si="104"/>
        <v>#N/A</v>
      </c>
      <c r="K199" s="406" t="e">
        <f t="shared" ca="1" si="104"/>
        <v>#N/A</v>
      </c>
      <c r="L199" s="406" t="e">
        <f t="shared" ca="1" si="104"/>
        <v>#N/A</v>
      </c>
      <c r="M199" s="406" t="e">
        <f t="shared" ca="1" si="104"/>
        <v>#N/A</v>
      </c>
      <c r="N199" s="406" t="e">
        <f t="shared" ca="1" si="105"/>
        <v>#N/A</v>
      </c>
      <c r="O199" s="406" t="e">
        <f t="shared" ca="1" si="105"/>
        <v>#N/A</v>
      </c>
      <c r="P199" s="406" t="e">
        <f t="shared" ca="1" si="105"/>
        <v>#N/A</v>
      </c>
      <c r="Q199" s="406" t="e">
        <f t="shared" ca="1" si="105"/>
        <v>#N/A</v>
      </c>
      <c r="R199" s="406" t="e">
        <f t="shared" ca="1" si="105"/>
        <v>#N/A</v>
      </c>
      <c r="S199" s="406" t="e">
        <f t="shared" ca="1" si="105"/>
        <v>#N/A</v>
      </c>
      <c r="T199" s="406" t="e">
        <f t="shared" ca="1" si="105"/>
        <v>#N/A</v>
      </c>
      <c r="U199" s="406" t="e">
        <f t="shared" ca="1" si="105"/>
        <v>#N/A</v>
      </c>
      <c r="V199" s="406" t="e">
        <f t="shared" ca="1" si="105"/>
        <v>#N/A</v>
      </c>
      <c r="W199" s="406" t="e">
        <f t="shared" ca="1" si="105"/>
        <v>#N/A</v>
      </c>
      <c r="X199" s="406" t="e">
        <f t="shared" ca="1" si="106"/>
        <v>#N/A</v>
      </c>
      <c r="Y199" s="406" t="e">
        <f t="shared" ca="1" si="106"/>
        <v>#N/A</v>
      </c>
      <c r="Z199" s="406" t="e">
        <f t="shared" ca="1" si="106"/>
        <v>#N/A</v>
      </c>
      <c r="AA199" s="406" t="e">
        <f t="shared" ca="1" si="106"/>
        <v>#N/A</v>
      </c>
      <c r="AB199" s="406" t="e">
        <f t="shared" ca="1" si="106"/>
        <v>#N/A</v>
      </c>
      <c r="AC199" s="406" t="e">
        <f t="shared" ca="1" si="106"/>
        <v>#N/A</v>
      </c>
      <c r="AD199" s="406" t="e">
        <f t="shared" ca="1" si="106"/>
        <v>#N/A</v>
      </c>
      <c r="AE199" s="406" t="e">
        <f t="shared" ca="1" si="106"/>
        <v>#N/A</v>
      </c>
      <c r="AF199" s="406" t="e">
        <f t="shared" ca="1" si="106"/>
        <v>#N/A</v>
      </c>
      <c r="AG199" s="406" t="e">
        <f t="shared" ca="1" si="106"/>
        <v>#N/A</v>
      </c>
      <c r="AH199" s="406" t="e">
        <f t="shared" ca="1" si="107"/>
        <v>#N/A</v>
      </c>
      <c r="AI199" s="406" t="e">
        <f t="shared" ca="1" si="107"/>
        <v>#N/A</v>
      </c>
      <c r="AJ199" s="406" t="e">
        <f t="shared" ca="1" si="107"/>
        <v>#N/A</v>
      </c>
      <c r="AK199" s="406" t="e">
        <f t="shared" ca="1" si="107"/>
        <v>#N/A</v>
      </c>
      <c r="AL199" s="406" t="e">
        <f t="shared" ca="1" si="107"/>
        <v>#N/A</v>
      </c>
      <c r="AM199" s="406" t="e">
        <f t="shared" ca="1" si="107"/>
        <v>#N/A</v>
      </c>
      <c r="AN199" s="406" t="e">
        <f t="shared" ca="1" si="107"/>
        <v>#N/A</v>
      </c>
      <c r="AO199" s="406" t="e">
        <f t="shared" ca="1" si="107"/>
        <v>#N/A</v>
      </c>
      <c r="AP199" s="406" t="e">
        <f t="shared" ca="1" si="107"/>
        <v>#N/A</v>
      </c>
      <c r="AQ199" s="406" t="e">
        <f t="shared" ca="1" si="107"/>
        <v>#N/A</v>
      </c>
      <c r="AR199" s="406" t="e">
        <f t="shared" ca="1" si="108"/>
        <v>#N/A</v>
      </c>
      <c r="AS199" s="406" t="e">
        <f t="shared" ca="1" si="108"/>
        <v>#N/A</v>
      </c>
      <c r="AT199" s="406" t="e">
        <f t="shared" ca="1" si="108"/>
        <v>#N/A</v>
      </c>
      <c r="AU199" s="406" t="e">
        <f t="shared" ca="1" si="108"/>
        <v>#N/A</v>
      </c>
      <c r="AV199" s="406" t="e">
        <f t="shared" ca="1" si="108"/>
        <v>#N/A</v>
      </c>
      <c r="AW199" s="406" t="e">
        <f t="shared" ca="1" si="108"/>
        <v>#N/A</v>
      </c>
      <c r="AX199" s="406" t="e">
        <f t="shared" ca="1" si="108"/>
        <v>#N/A</v>
      </c>
      <c r="AY199" s="406" t="e">
        <f t="shared" ca="1" si="108"/>
        <v>#N/A</v>
      </c>
      <c r="AZ199" s="406" t="e">
        <f t="shared" ca="1" si="108"/>
        <v>#N/A</v>
      </c>
      <c r="BA199" s="406" t="e">
        <f t="shared" ca="1" si="108"/>
        <v>#N/A</v>
      </c>
      <c r="BB199" s="412" t="s">
        <v>1270</v>
      </c>
      <c r="BC199" s="407" t="str">
        <f t="shared" ca="1" si="109"/>
        <v/>
      </c>
      <c r="BD199" s="410"/>
      <c r="BE199" s="410"/>
    </row>
    <row r="200" spans="3:57" x14ac:dyDescent="0.25">
      <c r="C200" s="406">
        <f t="shared" si="110"/>
        <v>198</v>
      </c>
      <c r="D200" s="406" t="e">
        <f t="shared" ca="1" si="104"/>
        <v>#N/A</v>
      </c>
      <c r="E200" s="406" t="e">
        <f t="shared" ca="1" si="104"/>
        <v>#N/A</v>
      </c>
      <c r="F200" s="406" t="e">
        <f t="shared" ca="1" si="104"/>
        <v>#N/A</v>
      </c>
      <c r="G200" s="406" t="e">
        <f t="shared" ca="1" si="104"/>
        <v>#N/A</v>
      </c>
      <c r="H200" s="406" t="e">
        <f t="shared" ca="1" si="104"/>
        <v>#N/A</v>
      </c>
      <c r="I200" s="406" t="e">
        <f t="shared" ca="1" si="104"/>
        <v>#N/A</v>
      </c>
      <c r="J200" s="406" t="e">
        <f t="shared" ca="1" si="104"/>
        <v>#N/A</v>
      </c>
      <c r="K200" s="406" t="e">
        <f t="shared" ca="1" si="104"/>
        <v>#N/A</v>
      </c>
      <c r="L200" s="406" t="e">
        <f t="shared" ca="1" si="104"/>
        <v>#N/A</v>
      </c>
      <c r="M200" s="406" t="e">
        <f t="shared" ca="1" si="104"/>
        <v>#N/A</v>
      </c>
      <c r="N200" s="406" t="e">
        <f t="shared" ca="1" si="105"/>
        <v>#N/A</v>
      </c>
      <c r="O200" s="406" t="e">
        <f t="shared" ca="1" si="105"/>
        <v>#N/A</v>
      </c>
      <c r="P200" s="406" t="e">
        <f t="shared" ca="1" si="105"/>
        <v>#N/A</v>
      </c>
      <c r="Q200" s="406" t="e">
        <f t="shared" ca="1" si="105"/>
        <v>#N/A</v>
      </c>
      <c r="R200" s="406" t="e">
        <f t="shared" ca="1" si="105"/>
        <v>#N/A</v>
      </c>
      <c r="S200" s="406" t="e">
        <f t="shared" ca="1" si="105"/>
        <v>#N/A</v>
      </c>
      <c r="T200" s="406" t="e">
        <f t="shared" ca="1" si="105"/>
        <v>#N/A</v>
      </c>
      <c r="U200" s="406" t="e">
        <f t="shared" ca="1" si="105"/>
        <v>#N/A</v>
      </c>
      <c r="V200" s="406" t="e">
        <f t="shared" ca="1" si="105"/>
        <v>#N/A</v>
      </c>
      <c r="W200" s="406" t="e">
        <f t="shared" ca="1" si="105"/>
        <v>#N/A</v>
      </c>
      <c r="X200" s="406" t="e">
        <f t="shared" ca="1" si="106"/>
        <v>#N/A</v>
      </c>
      <c r="Y200" s="406" t="e">
        <f t="shared" ca="1" si="106"/>
        <v>#N/A</v>
      </c>
      <c r="Z200" s="406" t="e">
        <f t="shared" ca="1" si="106"/>
        <v>#N/A</v>
      </c>
      <c r="AA200" s="406" t="e">
        <f t="shared" ca="1" si="106"/>
        <v>#N/A</v>
      </c>
      <c r="AB200" s="406" t="e">
        <f t="shared" ca="1" si="106"/>
        <v>#N/A</v>
      </c>
      <c r="AC200" s="406" t="e">
        <f t="shared" ca="1" si="106"/>
        <v>#N/A</v>
      </c>
      <c r="AD200" s="406" t="e">
        <f t="shared" ca="1" si="106"/>
        <v>#N/A</v>
      </c>
      <c r="AE200" s="406" t="e">
        <f t="shared" ca="1" si="106"/>
        <v>#N/A</v>
      </c>
      <c r="AF200" s="406" t="e">
        <f t="shared" ca="1" si="106"/>
        <v>#N/A</v>
      </c>
      <c r="AG200" s="406" t="e">
        <f t="shared" ca="1" si="106"/>
        <v>#N/A</v>
      </c>
      <c r="AH200" s="406" t="e">
        <f t="shared" ca="1" si="107"/>
        <v>#N/A</v>
      </c>
      <c r="AI200" s="406" t="e">
        <f t="shared" ca="1" si="107"/>
        <v>#N/A</v>
      </c>
      <c r="AJ200" s="406" t="e">
        <f t="shared" ca="1" si="107"/>
        <v>#N/A</v>
      </c>
      <c r="AK200" s="406" t="e">
        <f t="shared" ca="1" si="107"/>
        <v>#N/A</v>
      </c>
      <c r="AL200" s="406" t="e">
        <f t="shared" ca="1" si="107"/>
        <v>#N/A</v>
      </c>
      <c r="AM200" s="406" t="e">
        <f t="shared" ca="1" si="107"/>
        <v>#N/A</v>
      </c>
      <c r="AN200" s="406" t="e">
        <f t="shared" ca="1" si="107"/>
        <v>#N/A</v>
      </c>
      <c r="AO200" s="406" t="e">
        <f t="shared" ca="1" si="107"/>
        <v>#N/A</v>
      </c>
      <c r="AP200" s="406" t="e">
        <f t="shared" ca="1" si="107"/>
        <v>#N/A</v>
      </c>
      <c r="AQ200" s="406" t="e">
        <f t="shared" ca="1" si="107"/>
        <v>#N/A</v>
      </c>
      <c r="AR200" s="406" t="e">
        <f t="shared" ca="1" si="108"/>
        <v>#N/A</v>
      </c>
      <c r="AS200" s="406" t="e">
        <f t="shared" ca="1" si="108"/>
        <v>#N/A</v>
      </c>
      <c r="AT200" s="406" t="e">
        <f t="shared" ca="1" si="108"/>
        <v>#N/A</v>
      </c>
      <c r="AU200" s="406" t="e">
        <f t="shared" ca="1" si="108"/>
        <v>#N/A</v>
      </c>
      <c r="AV200" s="406" t="e">
        <f t="shared" ca="1" si="108"/>
        <v>#N/A</v>
      </c>
      <c r="AW200" s="406" t="e">
        <f t="shared" ca="1" si="108"/>
        <v>#N/A</v>
      </c>
      <c r="AX200" s="406" t="e">
        <f t="shared" ca="1" si="108"/>
        <v>#N/A</v>
      </c>
      <c r="AY200" s="406" t="e">
        <f t="shared" ca="1" si="108"/>
        <v>#N/A</v>
      </c>
      <c r="AZ200" s="406" t="e">
        <f t="shared" ca="1" si="108"/>
        <v>#N/A</v>
      </c>
      <c r="BA200" s="406" t="e">
        <f t="shared" ca="1" si="108"/>
        <v>#N/A</v>
      </c>
      <c r="BB200" s="412" t="s">
        <v>1271</v>
      </c>
      <c r="BC200" s="407" t="str">
        <f t="shared" ca="1" si="109"/>
        <v/>
      </c>
      <c r="BD200" s="410"/>
      <c r="BE200" s="410"/>
    </row>
    <row r="201" spans="3:57" x14ac:dyDescent="0.25">
      <c r="C201" s="406">
        <f t="shared" si="110"/>
        <v>199</v>
      </c>
      <c r="D201" s="406" t="e">
        <f t="shared" ca="1" si="104"/>
        <v>#N/A</v>
      </c>
      <c r="E201" s="406" t="e">
        <f t="shared" ca="1" si="104"/>
        <v>#N/A</v>
      </c>
      <c r="F201" s="406" t="e">
        <f t="shared" ca="1" si="104"/>
        <v>#N/A</v>
      </c>
      <c r="G201" s="406" t="e">
        <f t="shared" ca="1" si="104"/>
        <v>#N/A</v>
      </c>
      <c r="H201" s="406" t="e">
        <f t="shared" ca="1" si="104"/>
        <v>#N/A</v>
      </c>
      <c r="I201" s="406" t="e">
        <f t="shared" ca="1" si="104"/>
        <v>#N/A</v>
      </c>
      <c r="J201" s="406" t="e">
        <f t="shared" ca="1" si="104"/>
        <v>#N/A</v>
      </c>
      <c r="K201" s="406" t="e">
        <f t="shared" ca="1" si="104"/>
        <v>#N/A</v>
      </c>
      <c r="L201" s="406" t="e">
        <f t="shared" ca="1" si="104"/>
        <v>#N/A</v>
      </c>
      <c r="M201" s="406" t="e">
        <f t="shared" ca="1" si="104"/>
        <v>#N/A</v>
      </c>
      <c r="N201" s="406" t="e">
        <f t="shared" ca="1" si="105"/>
        <v>#N/A</v>
      </c>
      <c r="O201" s="406" t="e">
        <f t="shared" ca="1" si="105"/>
        <v>#N/A</v>
      </c>
      <c r="P201" s="406" t="e">
        <f t="shared" ca="1" si="105"/>
        <v>#N/A</v>
      </c>
      <c r="Q201" s="406" t="e">
        <f t="shared" ca="1" si="105"/>
        <v>#N/A</v>
      </c>
      <c r="R201" s="406" t="e">
        <f t="shared" ca="1" si="105"/>
        <v>#N/A</v>
      </c>
      <c r="S201" s="406" t="e">
        <f t="shared" ca="1" si="105"/>
        <v>#N/A</v>
      </c>
      <c r="T201" s="406" t="e">
        <f t="shared" ca="1" si="105"/>
        <v>#N/A</v>
      </c>
      <c r="U201" s="406" t="e">
        <f t="shared" ca="1" si="105"/>
        <v>#N/A</v>
      </c>
      <c r="V201" s="406" t="e">
        <f t="shared" ca="1" si="105"/>
        <v>#N/A</v>
      </c>
      <c r="W201" s="406" t="e">
        <f t="shared" ca="1" si="105"/>
        <v>#N/A</v>
      </c>
      <c r="X201" s="406" t="e">
        <f t="shared" ca="1" si="106"/>
        <v>#N/A</v>
      </c>
      <c r="Y201" s="406" t="e">
        <f t="shared" ca="1" si="106"/>
        <v>#N/A</v>
      </c>
      <c r="Z201" s="406" t="e">
        <f t="shared" ca="1" si="106"/>
        <v>#N/A</v>
      </c>
      <c r="AA201" s="406" t="e">
        <f t="shared" ca="1" si="106"/>
        <v>#N/A</v>
      </c>
      <c r="AB201" s="406" t="e">
        <f t="shared" ca="1" si="106"/>
        <v>#N/A</v>
      </c>
      <c r="AC201" s="406" t="e">
        <f t="shared" ca="1" si="106"/>
        <v>#N/A</v>
      </c>
      <c r="AD201" s="406" t="e">
        <f t="shared" ca="1" si="106"/>
        <v>#N/A</v>
      </c>
      <c r="AE201" s="406" t="e">
        <f t="shared" ca="1" si="106"/>
        <v>#N/A</v>
      </c>
      <c r="AF201" s="406" t="e">
        <f t="shared" ca="1" si="106"/>
        <v>#N/A</v>
      </c>
      <c r="AG201" s="406" t="e">
        <f t="shared" ca="1" si="106"/>
        <v>#N/A</v>
      </c>
      <c r="AH201" s="406" t="e">
        <f t="shared" ca="1" si="107"/>
        <v>#N/A</v>
      </c>
      <c r="AI201" s="406" t="e">
        <f t="shared" ca="1" si="107"/>
        <v>#N/A</v>
      </c>
      <c r="AJ201" s="406" t="e">
        <f t="shared" ca="1" si="107"/>
        <v>#N/A</v>
      </c>
      <c r="AK201" s="406" t="e">
        <f t="shared" ca="1" si="107"/>
        <v>#N/A</v>
      </c>
      <c r="AL201" s="406" t="e">
        <f t="shared" ca="1" si="107"/>
        <v>#N/A</v>
      </c>
      <c r="AM201" s="406" t="e">
        <f t="shared" ca="1" si="107"/>
        <v>#N/A</v>
      </c>
      <c r="AN201" s="406" t="e">
        <f t="shared" ca="1" si="107"/>
        <v>#N/A</v>
      </c>
      <c r="AO201" s="406" t="e">
        <f t="shared" ca="1" si="107"/>
        <v>#N/A</v>
      </c>
      <c r="AP201" s="406" t="e">
        <f t="shared" ca="1" si="107"/>
        <v>#N/A</v>
      </c>
      <c r="AQ201" s="406" t="e">
        <f t="shared" ca="1" si="107"/>
        <v>#N/A</v>
      </c>
      <c r="AR201" s="406" t="e">
        <f t="shared" ca="1" si="108"/>
        <v>#N/A</v>
      </c>
      <c r="AS201" s="406" t="e">
        <f t="shared" ca="1" si="108"/>
        <v>#N/A</v>
      </c>
      <c r="AT201" s="406" t="e">
        <f t="shared" ca="1" si="108"/>
        <v>#N/A</v>
      </c>
      <c r="AU201" s="406" t="e">
        <f t="shared" ca="1" si="108"/>
        <v>#N/A</v>
      </c>
      <c r="AV201" s="406" t="e">
        <f t="shared" ca="1" si="108"/>
        <v>#N/A</v>
      </c>
      <c r="AW201" s="406" t="e">
        <f t="shared" ca="1" si="108"/>
        <v>#N/A</v>
      </c>
      <c r="AX201" s="406" t="e">
        <f t="shared" ca="1" si="108"/>
        <v>#N/A</v>
      </c>
      <c r="AY201" s="406" t="e">
        <f t="shared" ca="1" si="108"/>
        <v>#N/A</v>
      </c>
      <c r="AZ201" s="406" t="e">
        <f t="shared" ca="1" si="108"/>
        <v>#N/A</v>
      </c>
      <c r="BA201" s="406" t="e">
        <f t="shared" ca="1" si="108"/>
        <v>#N/A</v>
      </c>
      <c r="BB201" s="406" t="s">
        <v>1272</v>
      </c>
      <c r="BC201" s="407" t="str">
        <f t="shared" ca="1" si="109"/>
        <v/>
      </c>
      <c r="BD201" s="410"/>
      <c r="BE201" s="410"/>
    </row>
    <row r="202" spans="3:57" x14ac:dyDescent="0.25">
      <c r="C202" s="406">
        <f t="shared" si="110"/>
        <v>200</v>
      </c>
      <c r="D202" s="406" t="e">
        <f t="shared" ca="1" si="104"/>
        <v>#N/A</v>
      </c>
      <c r="E202" s="406" t="e">
        <f t="shared" ca="1" si="104"/>
        <v>#N/A</v>
      </c>
      <c r="F202" s="406" t="e">
        <f t="shared" ca="1" si="104"/>
        <v>#N/A</v>
      </c>
      <c r="G202" s="406" t="e">
        <f t="shared" ca="1" si="104"/>
        <v>#N/A</v>
      </c>
      <c r="H202" s="406" t="e">
        <f t="shared" ca="1" si="104"/>
        <v>#N/A</v>
      </c>
      <c r="I202" s="406" t="e">
        <f t="shared" ca="1" si="104"/>
        <v>#N/A</v>
      </c>
      <c r="J202" s="406" t="e">
        <f t="shared" ca="1" si="104"/>
        <v>#N/A</v>
      </c>
      <c r="K202" s="406" t="e">
        <f t="shared" ca="1" si="104"/>
        <v>#N/A</v>
      </c>
      <c r="L202" s="406" t="e">
        <f t="shared" ca="1" si="104"/>
        <v>#N/A</v>
      </c>
      <c r="M202" s="406" t="e">
        <f t="shared" ca="1" si="104"/>
        <v>#N/A</v>
      </c>
      <c r="N202" s="406" t="e">
        <f t="shared" ca="1" si="105"/>
        <v>#N/A</v>
      </c>
      <c r="O202" s="406" t="e">
        <f t="shared" ca="1" si="105"/>
        <v>#N/A</v>
      </c>
      <c r="P202" s="406" t="e">
        <f t="shared" ca="1" si="105"/>
        <v>#N/A</v>
      </c>
      <c r="Q202" s="406" t="e">
        <f t="shared" ca="1" si="105"/>
        <v>#N/A</v>
      </c>
      <c r="R202" s="406" t="e">
        <f t="shared" ca="1" si="105"/>
        <v>#N/A</v>
      </c>
      <c r="S202" s="406" t="e">
        <f t="shared" ca="1" si="105"/>
        <v>#N/A</v>
      </c>
      <c r="T202" s="406" t="e">
        <f t="shared" ca="1" si="105"/>
        <v>#N/A</v>
      </c>
      <c r="U202" s="406" t="e">
        <f t="shared" ca="1" si="105"/>
        <v>#N/A</v>
      </c>
      <c r="V202" s="406" t="e">
        <f t="shared" ca="1" si="105"/>
        <v>#N/A</v>
      </c>
      <c r="W202" s="406" t="e">
        <f t="shared" ca="1" si="105"/>
        <v>#N/A</v>
      </c>
      <c r="X202" s="406" t="e">
        <f t="shared" ca="1" si="106"/>
        <v>#N/A</v>
      </c>
      <c r="Y202" s="406" t="e">
        <f t="shared" ca="1" si="106"/>
        <v>#N/A</v>
      </c>
      <c r="Z202" s="406" t="e">
        <f t="shared" ca="1" si="106"/>
        <v>#N/A</v>
      </c>
      <c r="AA202" s="406" t="e">
        <f t="shared" ca="1" si="106"/>
        <v>#N/A</v>
      </c>
      <c r="AB202" s="406" t="e">
        <f t="shared" ca="1" si="106"/>
        <v>#N/A</v>
      </c>
      <c r="AC202" s="406" t="e">
        <f t="shared" ca="1" si="106"/>
        <v>#N/A</v>
      </c>
      <c r="AD202" s="406" t="e">
        <f t="shared" ca="1" si="106"/>
        <v>#N/A</v>
      </c>
      <c r="AE202" s="406" t="e">
        <f t="shared" ca="1" si="106"/>
        <v>#N/A</v>
      </c>
      <c r="AF202" s="406" t="e">
        <f t="shared" ca="1" si="106"/>
        <v>#N/A</v>
      </c>
      <c r="AG202" s="406" t="e">
        <f t="shared" ca="1" si="106"/>
        <v>#N/A</v>
      </c>
      <c r="AH202" s="406" t="e">
        <f t="shared" ca="1" si="107"/>
        <v>#N/A</v>
      </c>
      <c r="AI202" s="406" t="e">
        <f t="shared" ca="1" si="107"/>
        <v>#N/A</v>
      </c>
      <c r="AJ202" s="406" t="e">
        <f t="shared" ca="1" si="107"/>
        <v>#N/A</v>
      </c>
      <c r="AK202" s="406" t="e">
        <f t="shared" ca="1" si="107"/>
        <v>#N/A</v>
      </c>
      <c r="AL202" s="406" t="e">
        <f t="shared" ca="1" si="107"/>
        <v>#N/A</v>
      </c>
      <c r="AM202" s="406" t="e">
        <f t="shared" ca="1" si="107"/>
        <v>#N/A</v>
      </c>
      <c r="AN202" s="406" t="e">
        <f t="shared" ca="1" si="107"/>
        <v>#N/A</v>
      </c>
      <c r="AO202" s="406" t="e">
        <f t="shared" ca="1" si="107"/>
        <v>#N/A</v>
      </c>
      <c r="AP202" s="406" t="e">
        <f t="shared" ca="1" si="107"/>
        <v>#N/A</v>
      </c>
      <c r="AQ202" s="406" t="e">
        <f t="shared" ca="1" si="107"/>
        <v>#N/A</v>
      </c>
      <c r="AR202" s="406" t="e">
        <f t="shared" ca="1" si="108"/>
        <v>#N/A</v>
      </c>
      <c r="AS202" s="406" t="e">
        <f t="shared" ca="1" si="108"/>
        <v>#N/A</v>
      </c>
      <c r="AT202" s="406" t="e">
        <f t="shared" ca="1" si="108"/>
        <v>#N/A</v>
      </c>
      <c r="AU202" s="406" t="e">
        <f t="shared" ca="1" si="108"/>
        <v>#N/A</v>
      </c>
      <c r="AV202" s="406" t="e">
        <f t="shared" ca="1" si="108"/>
        <v>#N/A</v>
      </c>
      <c r="AW202" s="406" t="e">
        <f t="shared" ca="1" si="108"/>
        <v>#N/A</v>
      </c>
      <c r="AX202" s="406" t="e">
        <f t="shared" ca="1" si="108"/>
        <v>#N/A</v>
      </c>
      <c r="AY202" s="406" t="e">
        <f t="shared" ca="1" si="108"/>
        <v>#N/A</v>
      </c>
      <c r="AZ202" s="406" t="e">
        <f t="shared" ca="1" si="108"/>
        <v>#N/A</v>
      </c>
      <c r="BA202" s="406" t="e">
        <f t="shared" ca="1" si="108"/>
        <v>#N/A</v>
      </c>
      <c r="BB202" s="408"/>
      <c r="BC202" s="408" t="str">
        <f t="shared" ca="1" si="109"/>
        <v/>
      </c>
      <c r="BD202" s="408" t="s">
        <v>1278</v>
      </c>
      <c r="BE202" s="408" t="s">
        <v>1278</v>
      </c>
    </row>
    <row r="203" spans="3:57" x14ac:dyDescent="0.25">
      <c r="C203" s="406">
        <f t="shared" si="110"/>
        <v>201</v>
      </c>
      <c r="D203" s="406" t="e">
        <f t="shared" ca="1" si="104"/>
        <v>#N/A</v>
      </c>
      <c r="E203" s="406" t="e">
        <f t="shared" ca="1" si="104"/>
        <v>#N/A</v>
      </c>
      <c r="F203" s="406" t="e">
        <f t="shared" ca="1" si="104"/>
        <v>#N/A</v>
      </c>
      <c r="G203" s="406" t="e">
        <f t="shared" ca="1" si="104"/>
        <v>#N/A</v>
      </c>
      <c r="H203" s="406" t="e">
        <f t="shared" ca="1" si="104"/>
        <v>#N/A</v>
      </c>
      <c r="I203" s="406" t="e">
        <f t="shared" ca="1" si="104"/>
        <v>#N/A</v>
      </c>
      <c r="J203" s="406" t="e">
        <f t="shared" ca="1" si="104"/>
        <v>#N/A</v>
      </c>
      <c r="K203" s="406" t="e">
        <f t="shared" ca="1" si="104"/>
        <v>#N/A</v>
      </c>
      <c r="L203" s="406" t="e">
        <f t="shared" ca="1" si="104"/>
        <v>#N/A</v>
      </c>
      <c r="M203" s="406" t="e">
        <f t="shared" ca="1" si="104"/>
        <v>#N/A</v>
      </c>
      <c r="N203" s="406" t="e">
        <f t="shared" ca="1" si="105"/>
        <v>#N/A</v>
      </c>
      <c r="O203" s="406" t="e">
        <f t="shared" ca="1" si="105"/>
        <v>#N/A</v>
      </c>
      <c r="P203" s="406" t="e">
        <f t="shared" ca="1" si="105"/>
        <v>#N/A</v>
      </c>
      <c r="Q203" s="406" t="e">
        <f t="shared" ca="1" si="105"/>
        <v>#N/A</v>
      </c>
      <c r="R203" s="406" t="e">
        <f t="shared" ca="1" si="105"/>
        <v>#N/A</v>
      </c>
      <c r="S203" s="406" t="e">
        <f t="shared" ca="1" si="105"/>
        <v>#N/A</v>
      </c>
      <c r="T203" s="406" t="e">
        <f t="shared" ca="1" si="105"/>
        <v>#N/A</v>
      </c>
      <c r="U203" s="406" t="e">
        <f t="shared" ca="1" si="105"/>
        <v>#N/A</v>
      </c>
      <c r="V203" s="406" t="e">
        <f t="shared" ca="1" si="105"/>
        <v>#N/A</v>
      </c>
      <c r="W203" s="406" t="e">
        <f t="shared" ca="1" si="105"/>
        <v>#N/A</v>
      </c>
      <c r="X203" s="406" t="e">
        <f t="shared" ca="1" si="106"/>
        <v>#N/A</v>
      </c>
      <c r="Y203" s="406" t="e">
        <f t="shared" ca="1" si="106"/>
        <v>#N/A</v>
      </c>
      <c r="Z203" s="406" t="e">
        <f t="shared" ca="1" si="106"/>
        <v>#N/A</v>
      </c>
      <c r="AA203" s="406" t="e">
        <f t="shared" ca="1" si="106"/>
        <v>#N/A</v>
      </c>
      <c r="AB203" s="406" t="e">
        <f t="shared" ca="1" si="106"/>
        <v>#N/A</v>
      </c>
      <c r="AC203" s="406" t="e">
        <f t="shared" ca="1" si="106"/>
        <v>#N/A</v>
      </c>
      <c r="AD203" s="406" t="e">
        <f t="shared" ca="1" si="106"/>
        <v>#N/A</v>
      </c>
      <c r="AE203" s="406" t="e">
        <f t="shared" ca="1" si="106"/>
        <v>#N/A</v>
      </c>
      <c r="AF203" s="406" t="e">
        <f t="shared" ca="1" si="106"/>
        <v>#N/A</v>
      </c>
      <c r="AG203" s="406" t="e">
        <f t="shared" ca="1" si="106"/>
        <v>#N/A</v>
      </c>
      <c r="AH203" s="406" t="e">
        <f t="shared" ca="1" si="107"/>
        <v>#N/A</v>
      </c>
      <c r="AI203" s="406" t="e">
        <f t="shared" ca="1" si="107"/>
        <v>#N/A</v>
      </c>
      <c r="AJ203" s="406" t="e">
        <f t="shared" ca="1" si="107"/>
        <v>#N/A</v>
      </c>
      <c r="AK203" s="406" t="e">
        <f t="shared" ca="1" si="107"/>
        <v>#N/A</v>
      </c>
      <c r="AL203" s="406" t="e">
        <f t="shared" ca="1" si="107"/>
        <v>#N/A</v>
      </c>
      <c r="AM203" s="406" t="e">
        <f t="shared" ca="1" si="107"/>
        <v>#N/A</v>
      </c>
      <c r="AN203" s="406" t="e">
        <f t="shared" ca="1" si="107"/>
        <v>#N/A</v>
      </c>
      <c r="AO203" s="406" t="e">
        <f t="shared" ca="1" si="107"/>
        <v>#N/A</v>
      </c>
      <c r="AP203" s="406" t="e">
        <f t="shared" ca="1" si="107"/>
        <v>#N/A</v>
      </c>
      <c r="AQ203" s="406" t="e">
        <f t="shared" ca="1" si="107"/>
        <v>#N/A</v>
      </c>
      <c r="AR203" s="406" t="e">
        <f t="shared" ca="1" si="108"/>
        <v>#N/A</v>
      </c>
      <c r="AS203" s="406" t="e">
        <f t="shared" ca="1" si="108"/>
        <v>#N/A</v>
      </c>
      <c r="AT203" s="406" t="e">
        <f t="shared" ca="1" si="108"/>
        <v>#N/A</v>
      </c>
      <c r="AU203" s="406" t="e">
        <f t="shared" ca="1" si="108"/>
        <v>#N/A</v>
      </c>
      <c r="AV203" s="406" t="e">
        <f t="shared" ca="1" si="108"/>
        <v>#N/A</v>
      </c>
      <c r="AW203" s="406" t="e">
        <f t="shared" ca="1" si="108"/>
        <v>#N/A</v>
      </c>
      <c r="AX203" s="406" t="e">
        <f t="shared" ca="1" si="108"/>
        <v>#N/A</v>
      </c>
      <c r="AY203" s="406" t="e">
        <f t="shared" ca="1" si="108"/>
        <v>#N/A</v>
      </c>
      <c r="AZ203" s="406" t="e">
        <f t="shared" ca="1" si="108"/>
        <v>#N/A</v>
      </c>
      <c r="BA203" s="406" t="e">
        <f t="shared" ca="1" si="108"/>
        <v>#N/A</v>
      </c>
      <c r="BB203" s="408"/>
      <c r="BC203" s="408" t="str">
        <f t="shared" ca="1" si="109"/>
        <v/>
      </c>
      <c r="BD203" s="408" t="s">
        <v>1278</v>
      </c>
      <c r="BE203" s="408" t="s">
        <v>1278</v>
      </c>
    </row>
    <row r="204" spans="3:57" x14ac:dyDescent="0.25">
      <c r="C204" s="406">
        <f t="shared" si="110"/>
        <v>202</v>
      </c>
      <c r="D204" s="406" t="e">
        <f t="shared" ca="1" si="104"/>
        <v>#N/A</v>
      </c>
      <c r="E204" s="406" t="e">
        <f t="shared" ca="1" si="104"/>
        <v>#N/A</v>
      </c>
      <c r="F204" s="406" t="e">
        <f t="shared" ca="1" si="104"/>
        <v>#N/A</v>
      </c>
      <c r="G204" s="406" t="e">
        <f t="shared" ca="1" si="104"/>
        <v>#N/A</v>
      </c>
      <c r="H204" s="406" t="e">
        <f t="shared" ca="1" si="104"/>
        <v>#N/A</v>
      </c>
      <c r="I204" s="406" t="e">
        <f t="shared" ca="1" si="104"/>
        <v>#N/A</v>
      </c>
      <c r="J204" s="406" t="e">
        <f t="shared" ca="1" si="104"/>
        <v>#N/A</v>
      </c>
      <c r="K204" s="406" t="e">
        <f t="shared" ca="1" si="104"/>
        <v>#N/A</v>
      </c>
      <c r="L204" s="406" t="e">
        <f t="shared" ca="1" si="104"/>
        <v>#N/A</v>
      </c>
      <c r="M204" s="406" t="e">
        <f t="shared" ca="1" si="104"/>
        <v>#N/A</v>
      </c>
      <c r="N204" s="406" t="e">
        <f t="shared" ca="1" si="105"/>
        <v>#N/A</v>
      </c>
      <c r="O204" s="406" t="e">
        <f t="shared" ca="1" si="105"/>
        <v>#N/A</v>
      </c>
      <c r="P204" s="406" t="e">
        <f t="shared" ca="1" si="105"/>
        <v>#N/A</v>
      </c>
      <c r="Q204" s="406" t="e">
        <f t="shared" ca="1" si="105"/>
        <v>#N/A</v>
      </c>
      <c r="R204" s="406" t="e">
        <f t="shared" ca="1" si="105"/>
        <v>#N/A</v>
      </c>
      <c r="S204" s="406" t="e">
        <f t="shared" ca="1" si="105"/>
        <v>#N/A</v>
      </c>
      <c r="T204" s="406" t="e">
        <f t="shared" ca="1" si="105"/>
        <v>#N/A</v>
      </c>
      <c r="U204" s="406" t="e">
        <f t="shared" ca="1" si="105"/>
        <v>#N/A</v>
      </c>
      <c r="V204" s="406" t="e">
        <f t="shared" ca="1" si="105"/>
        <v>#N/A</v>
      </c>
      <c r="W204" s="406" t="e">
        <f t="shared" ca="1" si="105"/>
        <v>#N/A</v>
      </c>
      <c r="X204" s="406" t="e">
        <f t="shared" ca="1" si="106"/>
        <v>#N/A</v>
      </c>
      <c r="Y204" s="406" t="e">
        <f t="shared" ca="1" si="106"/>
        <v>#N/A</v>
      </c>
      <c r="Z204" s="406" t="e">
        <f t="shared" ca="1" si="106"/>
        <v>#N/A</v>
      </c>
      <c r="AA204" s="406" t="e">
        <f t="shared" ca="1" si="106"/>
        <v>#N/A</v>
      </c>
      <c r="AB204" s="406" t="e">
        <f t="shared" ca="1" si="106"/>
        <v>#N/A</v>
      </c>
      <c r="AC204" s="406" t="e">
        <f t="shared" ca="1" si="106"/>
        <v>#N/A</v>
      </c>
      <c r="AD204" s="406" t="e">
        <f t="shared" ca="1" si="106"/>
        <v>#N/A</v>
      </c>
      <c r="AE204" s="406" t="e">
        <f t="shared" ca="1" si="106"/>
        <v>#N/A</v>
      </c>
      <c r="AF204" s="406" t="e">
        <f t="shared" ca="1" si="106"/>
        <v>#N/A</v>
      </c>
      <c r="AG204" s="406" t="e">
        <f t="shared" ca="1" si="106"/>
        <v>#N/A</v>
      </c>
      <c r="AH204" s="406" t="e">
        <f t="shared" ca="1" si="107"/>
        <v>#N/A</v>
      </c>
      <c r="AI204" s="406" t="e">
        <f t="shared" ca="1" si="107"/>
        <v>#N/A</v>
      </c>
      <c r="AJ204" s="406" t="e">
        <f t="shared" ca="1" si="107"/>
        <v>#N/A</v>
      </c>
      <c r="AK204" s="406" t="e">
        <f t="shared" ca="1" si="107"/>
        <v>#N/A</v>
      </c>
      <c r="AL204" s="406" t="e">
        <f t="shared" ca="1" si="107"/>
        <v>#N/A</v>
      </c>
      <c r="AM204" s="406" t="e">
        <f t="shared" ca="1" si="107"/>
        <v>#N/A</v>
      </c>
      <c r="AN204" s="406" t="e">
        <f t="shared" ca="1" si="107"/>
        <v>#N/A</v>
      </c>
      <c r="AO204" s="406" t="e">
        <f t="shared" ca="1" si="107"/>
        <v>#N/A</v>
      </c>
      <c r="AP204" s="406" t="e">
        <f t="shared" ca="1" si="107"/>
        <v>#N/A</v>
      </c>
      <c r="AQ204" s="406" t="e">
        <f t="shared" ca="1" si="107"/>
        <v>#N/A</v>
      </c>
      <c r="AR204" s="406" t="e">
        <f t="shared" ca="1" si="108"/>
        <v>#N/A</v>
      </c>
      <c r="AS204" s="406" t="e">
        <f t="shared" ca="1" si="108"/>
        <v>#N/A</v>
      </c>
      <c r="AT204" s="406" t="e">
        <f t="shared" ca="1" si="108"/>
        <v>#N/A</v>
      </c>
      <c r="AU204" s="406" t="e">
        <f t="shared" ca="1" si="108"/>
        <v>#N/A</v>
      </c>
      <c r="AV204" s="406" t="e">
        <f t="shared" ca="1" si="108"/>
        <v>#N/A</v>
      </c>
      <c r="AW204" s="406" t="e">
        <f t="shared" ca="1" si="108"/>
        <v>#N/A</v>
      </c>
      <c r="AX204" s="406" t="e">
        <f t="shared" ca="1" si="108"/>
        <v>#N/A</v>
      </c>
      <c r="AY204" s="406" t="e">
        <f t="shared" ca="1" si="108"/>
        <v>#N/A</v>
      </c>
      <c r="AZ204" s="406" t="e">
        <f t="shared" ca="1" si="108"/>
        <v>#N/A</v>
      </c>
      <c r="BA204" s="406" t="e">
        <f t="shared" ca="1" si="108"/>
        <v>#N/A</v>
      </c>
      <c r="BB204" s="408"/>
      <c r="BC204" s="408" t="str">
        <f t="shared" ca="1" si="109"/>
        <v/>
      </c>
      <c r="BD204" s="408" t="s">
        <v>1278</v>
      </c>
      <c r="BE204" s="408" t="s">
        <v>1278</v>
      </c>
    </row>
    <row r="205" spans="3:57" x14ac:dyDescent="0.25">
      <c r="C205" s="406">
        <f t="shared" si="110"/>
        <v>203</v>
      </c>
      <c r="D205" s="406" t="e">
        <f t="shared" ca="1" si="104"/>
        <v>#N/A</v>
      </c>
      <c r="E205" s="406" t="e">
        <f t="shared" ca="1" si="104"/>
        <v>#N/A</v>
      </c>
      <c r="F205" s="406" t="e">
        <f t="shared" ca="1" si="104"/>
        <v>#N/A</v>
      </c>
      <c r="G205" s="406" t="e">
        <f t="shared" ca="1" si="104"/>
        <v>#N/A</v>
      </c>
      <c r="H205" s="406" t="e">
        <f t="shared" ca="1" si="104"/>
        <v>#N/A</v>
      </c>
      <c r="I205" s="406" t="e">
        <f t="shared" ca="1" si="104"/>
        <v>#N/A</v>
      </c>
      <c r="J205" s="406" t="e">
        <f t="shared" ca="1" si="104"/>
        <v>#N/A</v>
      </c>
      <c r="K205" s="406" t="e">
        <f t="shared" ca="1" si="104"/>
        <v>#N/A</v>
      </c>
      <c r="L205" s="406" t="e">
        <f t="shared" ca="1" si="104"/>
        <v>#N/A</v>
      </c>
      <c r="M205" s="406" t="e">
        <f t="shared" ca="1" si="104"/>
        <v>#N/A</v>
      </c>
      <c r="N205" s="406" t="e">
        <f t="shared" ca="1" si="105"/>
        <v>#N/A</v>
      </c>
      <c r="O205" s="406" t="e">
        <f t="shared" ca="1" si="105"/>
        <v>#N/A</v>
      </c>
      <c r="P205" s="406" t="e">
        <f t="shared" ca="1" si="105"/>
        <v>#N/A</v>
      </c>
      <c r="Q205" s="406" t="e">
        <f t="shared" ca="1" si="105"/>
        <v>#N/A</v>
      </c>
      <c r="R205" s="406" t="e">
        <f t="shared" ca="1" si="105"/>
        <v>#N/A</v>
      </c>
      <c r="S205" s="406" t="e">
        <f t="shared" ca="1" si="105"/>
        <v>#N/A</v>
      </c>
      <c r="T205" s="406" t="e">
        <f t="shared" ca="1" si="105"/>
        <v>#N/A</v>
      </c>
      <c r="U205" s="406" t="e">
        <f t="shared" ca="1" si="105"/>
        <v>#N/A</v>
      </c>
      <c r="V205" s="406" t="e">
        <f t="shared" ca="1" si="105"/>
        <v>#N/A</v>
      </c>
      <c r="W205" s="406" t="e">
        <f t="shared" ca="1" si="105"/>
        <v>#N/A</v>
      </c>
      <c r="X205" s="406" t="e">
        <f t="shared" ca="1" si="106"/>
        <v>#N/A</v>
      </c>
      <c r="Y205" s="406" t="e">
        <f t="shared" ca="1" si="106"/>
        <v>#N/A</v>
      </c>
      <c r="Z205" s="406" t="e">
        <f t="shared" ca="1" si="106"/>
        <v>#N/A</v>
      </c>
      <c r="AA205" s="406" t="e">
        <f t="shared" ca="1" si="106"/>
        <v>#N/A</v>
      </c>
      <c r="AB205" s="406" t="e">
        <f t="shared" ca="1" si="106"/>
        <v>#N/A</v>
      </c>
      <c r="AC205" s="406" t="e">
        <f t="shared" ca="1" si="106"/>
        <v>#N/A</v>
      </c>
      <c r="AD205" s="406" t="e">
        <f t="shared" ca="1" si="106"/>
        <v>#N/A</v>
      </c>
      <c r="AE205" s="406" t="e">
        <f t="shared" ca="1" si="106"/>
        <v>#N/A</v>
      </c>
      <c r="AF205" s="406" t="e">
        <f t="shared" ca="1" si="106"/>
        <v>#N/A</v>
      </c>
      <c r="AG205" s="406" t="e">
        <f t="shared" ca="1" si="106"/>
        <v>#N/A</v>
      </c>
      <c r="AH205" s="406" t="e">
        <f t="shared" ca="1" si="107"/>
        <v>#N/A</v>
      </c>
      <c r="AI205" s="406" t="e">
        <f t="shared" ca="1" si="107"/>
        <v>#N/A</v>
      </c>
      <c r="AJ205" s="406" t="e">
        <f t="shared" ca="1" si="107"/>
        <v>#N/A</v>
      </c>
      <c r="AK205" s="406" t="e">
        <f t="shared" ca="1" si="107"/>
        <v>#N/A</v>
      </c>
      <c r="AL205" s="406" t="e">
        <f t="shared" ca="1" si="107"/>
        <v>#N/A</v>
      </c>
      <c r="AM205" s="406" t="e">
        <f t="shared" ca="1" si="107"/>
        <v>#N/A</v>
      </c>
      <c r="AN205" s="406" t="e">
        <f t="shared" ca="1" si="107"/>
        <v>#N/A</v>
      </c>
      <c r="AO205" s="406" t="e">
        <f t="shared" ca="1" si="107"/>
        <v>#N/A</v>
      </c>
      <c r="AP205" s="406" t="e">
        <f t="shared" ca="1" si="107"/>
        <v>#N/A</v>
      </c>
      <c r="AQ205" s="406" t="e">
        <f t="shared" ca="1" si="107"/>
        <v>#N/A</v>
      </c>
      <c r="AR205" s="406" t="e">
        <f t="shared" ca="1" si="108"/>
        <v>#N/A</v>
      </c>
      <c r="AS205" s="406" t="e">
        <f t="shared" ca="1" si="108"/>
        <v>#N/A</v>
      </c>
      <c r="AT205" s="406" t="e">
        <f t="shared" ca="1" si="108"/>
        <v>#N/A</v>
      </c>
      <c r="AU205" s="406" t="e">
        <f t="shared" ca="1" si="108"/>
        <v>#N/A</v>
      </c>
      <c r="AV205" s="406" t="e">
        <f t="shared" ca="1" si="108"/>
        <v>#N/A</v>
      </c>
      <c r="AW205" s="406" t="e">
        <f t="shared" ca="1" si="108"/>
        <v>#N/A</v>
      </c>
      <c r="AX205" s="406" t="e">
        <f t="shared" ca="1" si="108"/>
        <v>#N/A</v>
      </c>
      <c r="AY205" s="406" t="e">
        <f t="shared" ca="1" si="108"/>
        <v>#N/A</v>
      </c>
      <c r="AZ205" s="406" t="e">
        <f t="shared" ca="1" si="108"/>
        <v>#N/A</v>
      </c>
      <c r="BA205" s="406" t="e">
        <f t="shared" ca="1" si="108"/>
        <v>#N/A</v>
      </c>
      <c r="BB205" s="408"/>
      <c r="BC205" s="408" t="str">
        <f t="shared" ca="1" si="109"/>
        <v/>
      </c>
      <c r="BD205" s="408" t="s">
        <v>1278</v>
      </c>
      <c r="BE205" s="408" t="s">
        <v>1278</v>
      </c>
    </row>
    <row r="206" spans="3:57" x14ac:dyDescent="0.25">
      <c r="C206" s="406">
        <f t="shared" si="110"/>
        <v>204</v>
      </c>
      <c r="D206" s="406" t="e">
        <f t="shared" ca="1" si="104"/>
        <v>#N/A</v>
      </c>
      <c r="E206" s="406" t="e">
        <f t="shared" ca="1" si="104"/>
        <v>#N/A</v>
      </c>
      <c r="F206" s="406" t="e">
        <f t="shared" ca="1" si="104"/>
        <v>#N/A</v>
      </c>
      <c r="G206" s="406" t="e">
        <f t="shared" ca="1" si="104"/>
        <v>#N/A</v>
      </c>
      <c r="H206" s="406" t="e">
        <f t="shared" ca="1" si="104"/>
        <v>#N/A</v>
      </c>
      <c r="I206" s="406" t="e">
        <f t="shared" ca="1" si="104"/>
        <v>#N/A</v>
      </c>
      <c r="J206" s="406" t="e">
        <f t="shared" ca="1" si="104"/>
        <v>#N/A</v>
      </c>
      <c r="K206" s="406" t="e">
        <f t="shared" ca="1" si="104"/>
        <v>#N/A</v>
      </c>
      <c r="L206" s="406" t="e">
        <f t="shared" ca="1" si="104"/>
        <v>#N/A</v>
      </c>
      <c r="M206" s="406" t="e">
        <f t="shared" ca="1" si="104"/>
        <v>#N/A</v>
      </c>
      <c r="N206" s="406" t="e">
        <f t="shared" ca="1" si="105"/>
        <v>#N/A</v>
      </c>
      <c r="O206" s="406" t="e">
        <f t="shared" ca="1" si="105"/>
        <v>#N/A</v>
      </c>
      <c r="P206" s="406" t="e">
        <f t="shared" ca="1" si="105"/>
        <v>#N/A</v>
      </c>
      <c r="Q206" s="406" t="e">
        <f t="shared" ca="1" si="105"/>
        <v>#N/A</v>
      </c>
      <c r="R206" s="406" t="e">
        <f t="shared" ca="1" si="105"/>
        <v>#N/A</v>
      </c>
      <c r="S206" s="406" t="e">
        <f t="shared" ca="1" si="105"/>
        <v>#N/A</v>
      </c>
      <c r="T206" s="406" t="e">
        <f t="shared" ca="1" si="105"/>
        <v>#N/A</v>
      </c>
      <c r="U206" s="406" t="e">
        <f t="shared" ca="1" si="105"/>
        <v>#N/A</v>
      </c>
      <c r="V206" s="406" t="e">
        <f t="shared" ca="1" si="105"/>
        <v>#N/A</v>
      </c>
      <c r="W206" s="406" t="e">
        <f t="shared" ca="1" si="105"/>
        <v>#N/A</v>
      </c>
      <c r="X206" s="406" t="e">
        <f t="shared" ca="1" si="106"/>
        <v>#N/A</v>
      </c>
      <c r="Y206" s="406" t="e">
        <f t="shared" ca="1" si="106"/>
        <v>#N/A</v>
      </c>
      <c r="Z206" s="406" t="e">
        <f t="shared" ca="1" si="106"/>
        <v>#N/A</v>
      </c>
      <c r="AA206" s="406" t="e">
        <f t="shared" ca="1" si="106"/>
        <v>#N/A</v>
      </c>
      <c r="AB206" s="406" t="e">
        <f t="shared" ca="1" si="106"/>
        <v>#N/A</v>
      </c>
      <c r="AC206" s="406" t="e">
        <f t="shared" ca="1" si="106"/>
        <v>#N/A</v>
      </c>
      <c r="AD206" s="406" t="e">
        <f t="shared" ca="1" si="106"/>
        <v>#N/A</v>
      </c>
      <c r="AE206" s="406" t="e">
        <f t="shared" ca="1" si="106"/>
        <v>#N/A</v>
      </c>
      <c r="AF206" s="406" t="e">
        <f t="shared" ca="1" si="106"/>
        <v>#N/A</v>
      </c>
      <c r="AG206" s="406" t="e">
        <f t="shared" ca="1" si="106"/>
        <v>#N/A</v>
      </c>
      <c r="AH206" s="406" t="e">
        <f t="shared" ca="1" si="107"/>
        <v>#N/A</v>
      </c>
      <c r="AI206" s="406" t="e">
        <f t="shared" ca="1" si="107"/>
        <v>#N/A</v>
      </c>
      <c r="AJ206" s="406" t="e">
        <f t="shared" ca="1" si="107"/>
        <v>#N/A</v>
      </c>
      <c r="AK206" s="406" t="e">
        <f t="shared" ca="1" si="107"/>
        <v>#N/A</v>
      </c>
      <c r="AL206" s="406" t="e">
        <f t="shared" ca="1" si="107"/>
        <v>#N/A</v>
      </c>
      <c r="AM206" s="406" t="e">
        <f t="shared" ca="1" si="107"/>
        <v>#N/A</v>
      </c>
      <c r="AN206" s="406" t="e">
        <f t="shared" ca="1" si="107"/>
        <v>#N/A</v>
      </c>
      <c r="AO206" s="406" t="e">
        <f t="shared" ca="1" si="107"/>
        <v>#N/A</v>
      </c>
      <c r="AP206" s="406" t="e">
        <f t="shared" ca="1" si="107"/>
        <v>#N/A</v>
      </c>
      <c r="AQ206" s="406" t="e">
        <f t="shared" ca="1" si="107"/>
        <v>#N/A</v>
      </c>
      <c r="AR206" s="406" t="e">
        <f t="shared" ca="1" si="108"/>
        <v>#N/A</v>
      </c>
      <c r="AS206" s="406" t="e">
        <f t="shared" ca="1" si="108"/>
        <v>#N/A</v>
      </c>
      <c r="AT206" s="406" t="e">
        <f t="shared" ca="1" si="108"/>
        <v>#N/A</v>
      </c>
      <c r="AU206" s="406" t="e">
        <f t="shared" ca="1" si="108"/>
        <v>#N/A</v>
      </c>
      <c r="AV206" s="406" t="e">
        <f t="shared" ca="1" si="108"/>
        <v>#N/A</v>
      </c>
      <c r="AW206" s="406" t="e">
        <f t="shared" ca="1" si="108"/>
        <v>#N/A</v>
      </c>
      <c r="AX206" s="406" t="e">
        <f t="shared" ca="1" si="108"/>
        <v>#N/A</v>
      </c>
      <c r="AY206" s="406" t="e">
        <f t="shared" ca="1" si="108"/>
        <v>#N/A</v>
      </c>
      <c r="AZ206" s="406" t="e">
        <f t="shared" ca="1" si="108"/>
        <v>#N/A</v>
      </c>
      <c r="BA206" s="406" t="e">
        <f t="shared" ca="1" si="108"/>
        <v>#N/A</v>
      </c>
      <c r="BB206" s="408"/>
      <c r="BC206" s="408" t="str">
        <f t="shared" ca="1" si="109"/>
        <v/>
      </c>
      <c r="BD206" s="408" t="s">
        <v>1278</v>
      </c>
      <c r="BE206" s="408" t="s">
        <v>1278</v>
      </c>
    </row>
    <row r="207" spans="3:57" x14ac:dyDescent="0.25">
      <c r="C207" s="406">
        <f t="shared" si="110"/>
        <v>205</v>
      </c>
      <c r="D207" s="406" t="e">
        <f t="shared" ca="1" si="104"/>
        <v>#N/A</v>
      </c>
      <c r="E207" s="406" t="e">
        <f t="shared" ca="1" si="104"/>
        <v>#N/A</v>
      </c>
      <c r="F207" s="406" t="e">
        <f t="shared" ca="1" si="104"/>
        <v>#N/A</v>
      </c>
      <c r="G207" s="406" t="e">
        <f t="shared" ca="1" si="104"/>
        <v>#N/A</v>
      </c>
      <c r="H207" s="406" t="e">
        <f t="shared" ca="1" si="104"/>
        <v>#N/A</v>
      </c>
      <c r="I207" s="406" t="e">
        <f t="shared" ca="1" si="104"/>
        <v>#N/A</v>
      </c>
      <c r="J207" s="406" t="e">
        <f t="shared" ca="1" si="104"/>
        <v>#N/A</v>
      </c>
      <c r="K207" s="406" t="e">
        <f t="shared" ca="1" si="104"/>
        <v>#N/A</v>
      </c>
      <c r="L207" s="406" t="e">
        <f t="shared" ca="1" si="104"/>
        <v>#N/A</v>
      </c>
      <c r="M207" s="406" t="e">
        <f t="shared" ca="1" si="104"/>
        <v>#N/A</v>
      </c>
      <c r="N207" s="406" t="e">
        <f t="shared" ca="1" si="105"/>
        <v>#N/A</v>
      </c>
      <c r="O207" s="406" t="e">
        <f t="shared" ca="1" si="105"/>
        <v>#N/A</v>
      </c>
      <c r="P207" s="406" t="e">
        <f t="shared" ca="1" si="105"/>
        <v>#N/A</v>
      </c>
      <c r="Q207" s="406" t="e">
        <f t="shared" ca="1" si="105"/>
        <v>#N/A</v>
      </c>
      <c r="R207" s="406" t="e">
        <f t="shared" ca="1" si="105"/>
        <v>#N/A</v>
      </c>
      <c r="S207" s="406" t="e">
        <f t="shared" ca="1" si="105"/>
        <v>#N/A</v>
      </c>
      <c r="T207" s="406" t="e">
        <f t="shared" ca="1" si="105"/>
        <v>#N/A</v>
      </c>
      <c r="U207" s="406" t="e">
        <f t="shared" ca="1" si="105"/>
        <v>#N/A</v>
      </c>
      <c r="V207" s="406" t="e">
        <f t="shared" ca="1" si="105"/>
        <v>#N/A</v>
      </c>
      <c r="W207" s="406" t="e">
        <f t="shared" ca="1" si="105"/>
        <v>#N/A</v>
      </c>
      <c r="X207" s="406" t="e">
        <f t="shared" ca="1" si="106"/>
        <v>#N/A</v>
      </c>
      <c r="Y207" s="406" t="e">
        <f t="shared" ca="1" si="106"/>
        <v>#N/A</v>
      </c>
      <c r="Z207" s="406" t="e">
        <f t="shared" ca="1" si="106"/>
        <v>#N/A</v>
      </c>
      <c r="AA207" s="406" t="e">
        <f t="shared" ca="1" si="106"/>
        <v>#N/A</v>
      </c>
      <c r="AB207" s="406" t="e">
        <f t="shared" ca="1" si="106"/>
        <v>#N/A</v>
      </c>
      <c r="AC207" s="406" t="e">
        <f t="shared" ca="1" si="106"/>
        <v>#N/A</v>
      </c>
      <c r="AD207" s="406" t="e">
        <f t="shared" ca="1" si="106"/>
        <v>#N/A</v>
      </c>
      <c r="AE207" s="406" t="e">
        <f t="shared" ca="1" si="106"/>
        <v>#N/A</v>
      </c>
      <c r="AF207" s="406" t="e">
        <f t="shared" ca="1" si="106"/>
        <v>#N/A</v>
      </c>
      <c r="AG207" s="406" t="e">
        <f t="shared" ca="1" si="106"/>
        <v>#N/A</v>
      </c>
      <c r="AH207" s="406" t="e">
        <f t="shared" ca="1" si="107"/>
        <v>#N/A</v>
      </c>
      <c r="AI207" s="406" t="e">
        <f t="shared" ca="1" si="107"/>
        <v>#N/A</v>
      </c>
      <c r="AJ207" s="406" t="e">
        <f t="shared" ca="1" si="107"/>
        <v>#N/A</v>
      </c>
      <c r="AK207" s="406" t="e">
        <f t="shared" ca="1" si="107"/>
        <v>#N/A</v>
      </c>
      <c r="AL207" s="406" t="e">
        <f t="shared" ca="1" si="107"/>
        <v>#N/A</v>
      </c>
      <c r="AM207" s="406" t="e">
        <f t="shared" ca="1" si="107"/>
        <v>#N/A</v>
      </c>
      <c r="AN207" s="406" t="e">
        <f t="shared" ca="1" si="107"/>
        <v>#N/A</v>
      </c>
      <c r="AO207" s="406" t="e">
        <f t="shared" ca="1" si="107"/>
        <v>#N/A</v>
      </c>
      <c r="AP207" s="406" t="e">
        <f t="shared" ca="1" si="107"/>
        <v>#N/A</v>
      </c>
      <c r="AQ207" s="406" t="e">
        <f t="shared" ca="1" si="107"/>
        <v>#N/A</v>
      </c>
      <c r="AR207" s="406" t="e">
        <f t="shared" ca="1" si="108"/>
        <v>#N/A</v>
      </c>
      <c r="AS207" s="406" t="e">
        <f t="shared" ca="1" si="108"/>
        <v>#N/A</v>
      </c>
      <c r="AT207" s="406" t="e">
        <f t="shared" ca="1" si="108"/>
        <v>#N/A</v>
      </c>
      <c r="AU207" s="406" t="e">
        <f t="shared" ca="1" si="108"/>
        <v>#N/A</v>
      </c>
      <c r="AV207" s="406" t="e">
        <f t="shared" ca="1" si="108"/>
        <v>#N/A</v>
      </c>
      <c r="AW207" s="406" t="e">
        <f t="shared" ca="1" si="108"/>
        <v>#N/A</v>
      </c>
      <c r="AX207" s="406" t="e">
        <f t="shared" ca="1" si="108"/>
        <v>#N/A</v>
      </c>
      <c r="AY207" s="406" t="e">
        <f t="shared" ca="1" si="108"/>
        <v>#N/A</v>
      </c>
      <c r="AZ207" s="406" t="e">
        <f t="shared" ca="1" si="108"/>
        <v>#N/A</v>
      </c>
      <c r="BA207" s="406" t="e">
        <f t="shared" ca="1" si="108"/>
        <v>#N/A</v>
      </c>
      <c r="BB207" s="408"/>
      <c r="BC207" s="408" t="str">
        <f t="shared" ca="1" si="109"/>
        <v/>
      </c>
      <c r="BD207" s="408" t="s">
        <v>1278</v>
      </c>
      <c r="BE207" s="408" t="s">
        <v>1278</v>
      </c>
    </row>
    <row r="208" spans="3:57" x14ac:dyDescent="0.25">
      <c r="C208" s="406">
        <f t="shared" si="110"/>
        <v>206</v>
      </c>
      <c r="D208" s="406" t="e">
        <f t="shared" ref="D208:S223" ca="1" si="111">TRIM(INDIRECT("'" &amp; "TNX RTF" &amp; "'!" &amp; ADDRESS($A$3+$C208,D$1)))</f>
        <v>#N/A</v>
      </c>
      <c r="E208" s="406" t="e">
        <f t="shared" ca="1" si="111"/>
        <v>#N/A</v>
      </c>
      <c r="F208" s="406" t="e">
        <f t="shared" ca="1" si="111"/>
        <v>#N/A</v>
      </c>
      <c r="G208" s="406" t="e">
        <f t="shared" ca="1" si="111"/>
        <v>#N/A</v>
      </c>
      <c r="H208" s="406" t="e">
        <f t="shared" ca="1" si="111"/>
        <v>#N/A</v>
      </c>
      <c r="I208" s="406" t="e">
        <f t="shared" ca="1" si="111"/>
        <v>#N/A</v>
      </c>
      <c r="J208" s="406" t="e">
        <f t="shared" ca="1" si="111"/>
        <v>#N/A</v>
      </c>
      <c r="K208" s="406" t="e">
        <f t="shared" ca="1" si="111"/>
        <v>#N/A</v>
      </c>
      <c r="L208" s="406" t="e">
        <f t="shared" ca="1" si="111"/>
        <v>#N/A</v>
      </c>
      <c r="M208" s="406" t="e">
        <f t="shared" ca="1" si="111"/>
        <v>#N/A</v>
      </c>
      <c r="N208" s="406" t="e">
        <f t="shared" ca="1" si="111"/>
        <v>#N/A</v>
      </c>
      <c r="O208" s="406" t="e">
        <f t="shared" ca="1" si="111"/>
        <v>#N/A</v>
      </c>
      <c r="P208" s="406" t="e">
        <f t="shared" ca="1" si="111"/>
        <v>#N/A</v>
      </c>
      <c r="Q208" s="406" t="e">
        <f t="shared" ca="1" si="111"/>
        <v>#N/A</v>
      </c>
      <c r="R208" s="406" t="e">
        <f t="shared" ca="1" si="111"/>
        <v>#N/A</v>
      </c>
      <c r="S208" s="406" t="e">
        <f t="shared" ca="1" si="111"/>
        <v>#N/A</v>
      </c>
      <c r="T208" s="406" t="e">
        <f t="shared" ref="T208:AI224" ca="1" si="112">TRIM(INDIRECT("'" &amp; "TNX RTF" &amp; "'!" &amp; ADDRESS($A$3+$C208,T$1)))</f>
        <v>#N/A</v>
      </c>
      <c r="U208" s="406" t="e">
        <f t="shared" ca="1" si="112"/>
        <v>#N/A</v>
      </c>
      <c r="V208" s="406" t="e">
        <f t="shared" ca="1" si="112"/>
        <v>#N/A</v>
      </c>
      <c r="W208" s="406" t="e">
        <f t="shared" ca="1" si="112"/>
        <v>#N/A</v>
      </c>
      <c r="X208" s="406" t="e">
        <f t="shared" ca="1" si="112"/>
        <v>#N/A</v>
      </c>
      <c r="Y208" s="406" t="e">
        <f t="shared" ca="1" si="112"/>
        <v>#N/A</v>
      </c>
      <c r="Z208" s="406" t="e">
        <f t="shared" ca="1" si="112"/>
        <v>#N/A</v>
      </c>
      <c r="AA208" s="406" t="e">
        <f t="shared" ca="1" si="112"/>
        <v>#N/A</v>
      </c>
      <c r="AB208" s="406" t="e">
        <f t="shared" ca="1" si="112"/>
        <v>#N/A</v>
      </c>
      <c r="AC208" s="406" t="e">
        <f t="shared" ca="1" si="112"/>
        <v>#N/A</v>
      </c>
      <c r="AD208" s="406" t="e">
        <f t="shared" ca="1" si="112"/>
        <v>#N/A</v>
      </c>
      <c r="AE208" s="406" t="e">
        <f t="shared" ca="1" si="112"/>
        <v>#N/A</v>
      </c>
      <c r="AF208" s="406" t="e">
        <f t="shared" ca="1" si="112"/>
        <v>#N/A</v>
      </c>
      <c r="AG208" s="406" t="e">
        <f t="shared" ca="1" si="112"/>
        <v>#N/A</v>
      </c>
      <c r="AH208" s="406" t="e">
        <f t="shared" ca="1" si="112"/>
        <v>#N/A</v>
      </c>
      <c r="AI208" s="406" t="e">
        <f t="shared" ca="1" si="112"/>
        <v>#N/A</v>
      </c>
      <c r="AJ208" s="406" t="e">
        <f t="shared" ref="AJ208:AY208" ca="1" si="113">TRIM(INDIRECT("'" &amp; "TNX RTF" &amp; "'!" &amp; ADDRESS($A$3+$C208,AJ$1)))</f>
        <v>#N/A</v>
      </c>
      <c r="AK208" s="406" t="e">
        <f t="shared" ca="1" si="113"/>
        <v>#N/A</v>
      </c>
      <c r="AL208" s="406" t="e">
        <f t="shared" ca="1" si="113"/>
        <v>#N/A</v>
      </c>
      <c r="AM208" s="406" t="e">
        <f t="shared" ca="1" si="113"/>
        <v>#N/A</v>
      </c>
      <c r="AN208" s="406" t="e">
        <f t="shared" ca="1" si="113"/>
        <v>#N/A</v>
      </c>
      <c r="AO208" s="406" t="e">
        <f t="shared" ca="1" si="113"/>
        <v>#N/A</v>
      </c>
      <c r="AP208" s="406" t="e">
        <f t="shared" ca="1" si="113"/>
        <v>#N/A</v>
      </c>
      <c r="AQ208" s="406" t="e">
        <f t="shared" ca="1" si="113"/>
        <v>#N/A</v>
      </c>
      <c r="AR208" s="406" t="e">
        <f t="shared" ca="1" si="113"/>
        <v>#N/A</v>
      </c>
      <c r="AS208" s="406" t="e">
        <f t="shared" ca="1" si="113"/>
        <v>#N/A</v>
      </c>
      <c r="AT208" s="406" t="e">
        <f t="shared" ca="1" si="113"/>
        <v>#N/A</v>
      </c>
      <c r="AU208" s="406" t="e">
        <f t="shared" ca="1" si="113"/>
        <v>#N/A</v>
      </c>
      <c r="AV208" s="406" t="e">
        <f t="shared" ca="1" si="113"/>
        <v>#N/A</v>
      </c>
      <c r="AW208" s="406" t="e">
        <f t="shared" ca="1" si="113"/>
        <v>#N/A</v>
      </c>
      <c r="AX208" s="406" t="e">
        <f t="shared" ca="1" si="113"/>
        <v>#N/A</v>
      </c>
      <c r="AY208" s="406" t="e">
        <f t="shared" ca="1" si="113"/>
        <v>#N/A</v>
      </c>
      <c r="AZ208" s="406" t="e">
        <f t="shared" ref="AR208:BA234" ca="1" si="114">TRIM(INDIRECT("'" &amp; "TNX RTF" &amp; "'!" &amp; ADDRESS($A$3+$C208,AZ$1)))</f>
        <v>#N/A</v>
      </c>
      <c r="BA208" s="406" t="e">
        <f t="shared" ca="1" si="114"/>
        <v>#N/A</v>
      </c>
      <c r="BB208" s="408"/>
      <c r="BC208" s="408" t="str">
        <f t="shared" ca="1" si="109"/>
        <v/>
      </c>
      <c r="BD208" s="408" t="s">
        <v>1278</v>
      </c>
      <c r="BE208" s="408" t="s">
        <v>1278</v>
      </c>
    </row>
    <row r="209" spans="3:57" x14ac:dyDescent="0.25">
      <c r="C209" s="406">
        <f t="shared" si="110"/>
        <v>207</v>
      </c>
      <c r="D209" s="406" t="e">
        <f t="shared" ca="1" si="111"/>
        <v>#N/A</v>
      </c>
      <c r="E209" s="406" t="e">
        <f t="shared" ca="1" si="111"/>
        <v>#N/A</v>
      </c>
      <c r="F209" s="406" t="e">
        <f t="shared" ca="1" si="111"/>
        <v>#N/A</v>
      </c>
      <c r="G209" s="406" t="e">
        <f t="shared" ca="1" si="111"/>
        <v>#N/A</v>
      </c>
      <c r="H209" s="406" t="e">
        <f t="shared" ca="1" si="111"/>
        <v>#N/A</v>
      </c>
      <c r="I209" s="406" t="e">
        <f t="shared" ca="1" si="111"/>
        <v>#N/A</v>
      </c>
      <c r="J209" s="406" t="e">
        <f t="shared" ca="1" si="111"/>
        <v>#N/A</v>
      </c>
      <c r="K209" s="406" t="e">
        <f t="shared" ca="1" si="111"/>
        <v>#N/A</v>
      </c>
      <c r="L209" s="406" t="e">
        <f t="shared" ca="1" si="111"/>
        <v>#N/A</v>
      </c>
      <c r="M209" s="406" t="e">
        <f t="shared" ca="1" si="111"/>
        <v>#N/A</v>
      </c>
      <c r="N209" s="406" t="e">
        <f t="shared" ca="1" si="111"/>
        <v>#N/A</v>
      </c>
      <c r="O209" s="406" t="e">
        <f t="shared" ca="1" si="111"/>
        <v>#N/A</v>
      </c>
      <c r="P209" s="406" t="e">
        <f t="shared" ca="1" si="111"/>
        <v>#N/A</v>
      </c>
      <c r="Q209" s="406" t="e">
        <f t="shared" ca="1" si="111"/>
        <v>#N/A</v>
      </c>
      <c r="R209" s="406" t="e">
        <f t="shared" ca="1" si="111"/>
        <v>#N/A</v>
      </c>
      <c r="S209" s="406" t="e">
        <f t="shared" ca="1" si="111"/>
        <v>#N/A</v>
      </c>
      <c r="T209" s="406" t="e">
        <f t="shared" ca="1" si="112"/>
        <v>#N/A</v>
      </c>
      <c r="U209" s="406" t="e">
        <f t="shared" ca="1" si="112"/>
        <v>#N/A</v>
      </c>
      <c r="V209" s="406" t="e">
        <f t="shared" ca="1" si="112"/>
        <v>#N/A</v>
      </c>
      <c r="W209" s="406" t="e">
        <f t="shared" ca="1" si="112"/>
        <v>#N/A</v>
      </c>
      <c r="X209" s="406" t="e">
        <f t="shared" ca="1" si="112"/>
        <v>#N/A</v>
      </c>
      <c r="Y209" s="406" t="e">
        <f t="shared" ca="1" si="112"/>
        <v>#N/A</v>
      </c>
      <c r="Z209" s="406" t="e">
        <f t="shared" ca="1" si="112"/>
        <v>#N/A</v>
      </c>
      <c r="AA209" s="406" t="e">
        <f t="shared" ca="1" si="112"/>
        <v>#N/A</v>
      </c>
      <c r="AB209" s="406" t="e">
        <f t="shared" ca="1" si="112"/>
        <v>#N/A</v>
      </c>
      <c r="AC209" s="406" t="e">
        <f t="shared" ca="1" si="112"/>
        <v>#N/A</v>
      </c>
      <c r="AD209" s="406" t="e">
        <f t="shared" ca="1" si="112"/>
        <v>#N/A</v>
      </c>
      <c r="AE209" s="406" t="e">
        <f t="shared" ca="1" si="112"/>
        <v>#N/A</v>
      </c>
      <c r="AF209" s="406" t="e">
        <f t="shared" ca="1" si="112"/>
        <v>#N/A</v>
      </c>
      <c r="AG209" s="406" t="e">
        <f t="shared" ca="1" si="112"/>
        <v>#N/A</v>
      </c>
      <c r="AH209" s="406" t="e">
        <f t="shared" ca="1" si="112"/>
        <v>#N/A</v>
      </c>
      <c r="AI209" s="406" t="e">
        <f t="shared" ca="1" si="112"/>
        <v>#N/A</v>
      </c>
      <c r="AJ209" s="406" t="e">
        <f t="shared" ref="AJ209:AQ223" ca="1" si="115">TRIM(INDIRECT("'" &amp; "TNX RTF" &amp; "'!" &amp; ADDRESS($A$3+$C209,AJ$1)))</f>
        <v>#N/A</v>
      </c>
      <c r="AK209" s="406" t="e">
        <f t="shared" ca="1" si="115"/>
        <v>#N/A</v>
      </c>
      <c r="AL209" s="406" t="e">
        <f t="shared" ca="1" si="115"/>
        <v>#N/A</v>
      </c>
      <c r="AM209" s="406" t="e">
        <f t="shared" ca="1" si="115"/>
        <v>#N/A</v>
      </c>
      <c r="AN209" s="406" t="e">
        <f t="shared" ca="1" si="115"/>
        <v>#N/A</v>
      </c>
      <c r="AO209" s="406" t="e">
        <f t="shared" ca="1" si="115"/>
        <v>#N/A</v>
      </c>
      <c r="AP209" s="406" t="e">
        <f t="shared" ca="1" si="115"/>
        <v>#N/A</v>
      </c>
      <c r="AQ209" s="406" t="e">
        <f t="shared" ca="1" si="115"/>
        <v>#N/A</v>
      </c>
      <c r="AR209" s="406" t="e">
        <f t="shared" ca="1" si="114"/>
        <v>#N/A</v>
      </c>
      <c r="AS209" s="406" t="e">
        <f t="shared" ca="1" si="114"/>
        <v>#N/A</v>
      </c>
      <c r="AT209" s="406" t="e">
        <f t="shared" ca="1" si="114"/>
        <v>#N/A</v>
      </c>
      <c r="AU209" s="406" t="e">
        <f t="shared" ca="1" si="114"/>
        <v>#N/A</v>
      </c>
      <c r="AV209" s="406" t="e">
        <f t="shared" ca="1" si="114"/>
        <v>#N/A</v>
      </c>
      <c r="AW209" s="406" t="e">
        <f t="shared" ca="1" si="114"/>
        <v>#N/A</v>
      </c>
      <c r="AX209" s="406" t="e">
        <f t="shared" ca="1" si="114"/>
        <v>#N/A</v>
      </c>
      <c r="AY209" s="406" t="e">
        <f t="shared" ca="1" si="114"/>
        <v>#N/A</v>
      </c>
      <c r="AZ209" s="406" t="e">
        <f t="shared" ca="1" si="114"/>
        <v>#N/A</v>
      </c>
      <c r="BA209" s="406" t="e">
        <f t="shared" ca="1" si="114"/>
        <v>#N/A</v>
      </c>
      <c r="BB209" s="408"/>
      <c r="BC209" s="408" t="str">
        <f t="shared" ca="1" si="109"/>
        <v/>
      </c>
      <c r="BD209" s="408" t="s">
        <v>1278</v>
      </c>
      <c r="BE209" s="408" t="s">
        <v>1278</v>
      </c>
    </row>
    <row r="210" spans="3:57" x14ac:dyDescent="0.25">
      <c r="C210" s="406">
        <f t="shared" si="110"/>
        <v>208</v>
      </c>
      <c r="D210" s="406" t="e">
        <f t="shared" ca="1" si="111"/>
        <v>#N/A</v>
      </c>
      <c r="E210" s="406" t="e">
        <f t="shared" ca="1" si="111"/>
        <v>#N/A</v>
      </c>
      <c r="F210" s="406" t="e">
        <f t="shared" ca="1" si="111"/>
        <v>#N/A</v>
      </c>
      <c r="G210" s="406" t="e">
        <f t="shared" ca="1" si="111"/>
        <v>#N/A</v>
      </c>
      <c r="H210" s="406" t="e">
        <f t="shared" ca="1" si="111"/>
        <v>#N/A</v>
      </c>
      <c r="I210" s="406" t="e">
        <f t="shared" ca="1" si="111"/>
        <v>#N/A</v>
      </c>
      <c r="J210" s="406" t="e">
        <f t="shared" ca="1" si="111"/>
        <v>#N/A</v>
      </c>
      <c r="K210" s="406" t="e">
        <f t="shared" ca="1" si="111"/>
        <v>#N/A</v>
      </c>
      <c r="L210" s="406" t="e">
        <f t="shared" ca="1" si="111"/>
        <v>#N/A</v>
      </c>
      <c r="M210" s="406" t="e">
        <f t="shared" ca="1" si="111"/>
        <v>#N/A</v>
      </c>
      <c r="N210" s="406" t="e">
        <f t="shared" ca="1" si="111"/>
        <v>#N/A</v>
      </c>
      <c r="O210" s="406" t="e">
        <f t="shared" ca="1" si="111"/>
        <v>#N/A</v>
      </c>
      <c r="P210" s="406" t="e">
        <f t="shared" ca="1" si="111"/>
        <v>#N/A</v>
      </c>
      <c r="Q210" s="406" t="e">
        <f t="shared" ca="1" si="111"/>
        <v>#N/A</v>
      </c>
      <c r="R210" s="406" t="e">
        <f t="shared" ca="1" si="111"/>
        <v>#N/A</v>
      </c>
      <c r="S210" s="406" t="e">
        <f t="shared" ca="1" si="111"/>
        <v>#N/A</v>
      </c>
      <c r="T210" s="406" t="e">
        <f t="shared" ca="1" si="112"/>
        <v>#N/A</v>
      </c>
      <c r="U210" s="406" t="e">
        <f t="shared" ca="1" si="112"/>
        <v>#N/A</v>
      </c>
      <c r="V210" s="406" t="e">
        <f t="shared" ca="1" si="112"/>
        <v>#N/A</v>
      </c>
      <c r="W210" s="406" t="e">
        <f t="shared" ca="1" si="112"/>
        <v>#N/A</v>
      </c>
      <c r="X210" s="406" t="e">
        <f t="shared" ca="1" si="112"/>
        <v>#N/A</v>
      </c>
      <c r="Y210" s="406" t="e">
        <f t="shared" ca="1" si="112"/>
        <v>#N/A</v>
      </c>
      <c r="Z210" s="406" t="e">
        <f t="shared" ca="1" si="112"/>
        <v>#N/A</v>
      </c>
      <c r="AA210" s="406" t="e">
        <f t="shared" ca="1" si="112"/>
        <v>#N/A</v>
      </c>
      <c r="AB210" s="406" t="e">
        <f t="shared" ca="1" si="112"/>
        <v>#N/A</v>
      </c>
      <c r="AC210" s="406" t="e">
        <f t="shared" ca="1" si="112"/>
        <v>#N/A</v>
      </c>
      <c r="AD210" s="406" t="e">
        <f t="shared" ca="1" si="112"/>
        <v>#N/A</v>
      </c>
      <c r="AE210" s="406" t="e">
        <f t="shared" ca="1" si="112"/>
        <v>#N/A</v>
      </c>
      <c r="AF210" s="406" t="e">
        <f t="shared" ca="1" si="112"/>
        <v>#N/A</v>
      </c>
      <c r="AG210" s="406" t="e">
        <f t="shared" ca="1" si="112"/>
        <v>#N/A</v>
      </c>
      <c r="AH210" s="406" t="e">
        <f t="shared" ca="1" si="112"/>
        <v>#N/A</v>
      </c>
      <c r="AI210" s="406" t="e">
        <f t="shared" ca="1" si="112"/>
        <v>#N/A</v>
      </c>
      <c r="AJ210" s="406" t="e">
        <f t="shared" ca="1" si="115"/>
        <v>#N/A</v>
      </c>
      <c r="AK210" s="406" t="e">
        <f t="shared" ca="1" si="115"/>
        <v>#N/A</v>
      </c>
      <c r="AL210" s="406" t="e">
        <f t="shared" ca="1" si="115"/>
        <v>#N/A</v>
      </c>
      <c r="AM210" s="406" t="e">
        <f t="shared" ca="1" si="115"/>
        <v>#N/A</v>
      </c>
      <c r="AN210" s="406" t="e">
        <f t="shared" ca="1" si="115"/>
        <v>#N/A</v>
      </c>
      <c r="AO210" s="406" t="e">
        <f t="shared" ca="1" si="115"/>
        <v>#N/A</v>
      </c>
      <c r="AP210" s="406" t="e">
        <f t="shared" ca="1" si="115"/>
        <v>#N/A</v>
      </c>
      <c r="AQ210" s="406" t="e">
        <f t="shared" ca="1" si="115"/>
        <v>#N/A</v>
      </c>
      <c r="AR210" s="406" t="e">
        <f t="shared" ca="1" si="114"/>
        <v>#N/A</v>
      </c>
      <c r="AS210" s="406" t="e">
        <f t="shared" ca="1" si="114"/>
        <v>#N/A</v>
      </c>
      <c r="AT210" s="406" t="e">
        <f t="shared" ca="1" si="114"/>
        <v>#N/A</v>
      </c>
      <c r="AU210" s="406" t="e">
        <f t="shared" ca="1" si="114"/>
        <v>#N/A</v>
      </c>
      <c r="AV210" s="406" t="e">
        <f t="shared" ca="1" si="114"/>
        <v>#N/A</v>
      </c>
      <c r="AW210" s="406" t="e">
        <f t="shared" ca="1" si="114"/>
        <v>#N/A</v>
      </c>
      <c r="AX210" s="406" t="e">
        <f t="shared" ca="1" si="114"/>
        <v>#N/A</v>
      </c>
      <c r="AY210" s="406" t="e">
        <f t="shared" ca="1" si="114"/>
        <v>#N/A</v>
      </c>
      <c r="AZ210" s="406" t="e">
        <f t="shared" ca="1" si="114"/>
        <v>#N/A</v>
      </c>
      <c r="BA210" s="406" t="e">
        <f t="shared" ca="1" si="114"/>
        <v>#N/A</v>
      </c>
      <c r="BB210" s="408"/>
      <c r="BC210" s="408" t="str">
        <f t="shared" ca="1" si="109"/>
        <v/>
      </c>
      <c r="BD210" s="408" t="s">
        <v>1278</v>
      </c>
      <c r="BE210" s="408" t="s">
        <v>1278</v>
      </c>
    </row>
    <row r="211" spans="3:57" x14ac:dyDescent="0.25">
      <c r="C211" s="406">
        <f t="shared" si="110"/>
        <v>209</v>
      </c>
      <c r="D211" s="406" t="e">
        <f t="shared" ca="1" si="111"/>
        <v>#N/A</v>
      </c>
      <c r="E211" s="406" t="e">
        <f t="shared" ca="1" si="111"/>
        <v>#N/A</v>
      </c>
      <c r="F211" s="406" t="e">
        <f t="shared" ca="1" si="111"/>
        <v>#N/A</v>
      </c>
      <c r="G211" s="406" t="e">
        <f t="shared" ca="1" si="111"/>
        <v>#N/A</v>
      </c>
      <c r="H211" s="406" t="e">
        <f t="shared" ca="1" si="111"/>
        <v>#N/A</v>
      </c>
      <c r="I211" s="406" t="e">
        <f t="shared" ca="1" si="111"/>
        <v>#N/A</v>
      </c>
      <c r="J211" s="406" t="e">
        <f t="shared" ca="1" si="111"/>
        <v>#N/A</v>
      </c>
      <c r="K211" s="406" t="e">
        <f t="shared" ca="1" si="111"/>
        <v>#N/A</v>
      </c>
      <c r="L211" s="406" t="e">
        <f t="shared" ca="1" si="111"/>
        <v>#N/A</v>
      </c>
      <c r="M211" s="406" t="e">
        <f t="shared" ca="1" si="111"/>
        <v>#N/A</v>
      </c>
      <c r="N211" s="406" t="e">
        <f t="shared" ca="1" si="111"/>
        <v>#N/A</v>
      </c>
      <c r="O211" s="406" t="e">
        <f t="shared" ca="1" si="111"/>
        <v>#N/A</v>
      </c>
      <c r="P211" s="406" t="e">
        <f t="shared" ca="1" si="111"/>
        <v>#N/A</v>
      </c>
      <c r="Q211" s="406" t="e">
        <f t="shared" ca="1" si="111"/>
        <v>#N/A</v>
      </c>
      <c r="R211" s="406" t="e">
        <f t="shared" ca="1" si="111"/>
        <v>#N/A</v>
      </c>
      <c r="S211" s="406" t="e">
        <f t="shared" ca="1" si="111"/>
        <v>#N/A</v>
      </c>
      <c r="T211" s="406" t="e">
        <f t="shared" ca="1" si="112"/>
        <v>#N/A</v>
      </c>
      <c r="U211" s="406" t="e">
        <f t="shared" ca="1" si="112"/>
        <v>#N/A</v>
      </c>
      <c r="V211" s="406" t="e">
        <f t="shared" ca="1" si="112"/>
        <v>#N/A</v>
      </c>
      <c r="W211" s="406" t="e">
        <f t="shared" ca="1" si="112"/>
        <v>#N/A</v>
      </c>
      <c r="X211" s="406" t="e">
        <f t="shared" ca="1" si="112"/>
        <v>#N/A</v>
      </c>
      <c r="Y211" s="406" t="e">
        <f t="shared" ca="1" si="112"/>
        <v>#N/A</v>
      </c>
      <c r="Z211" s="406" t="e">
        <f t="shared" ca="1" si="112"/>
        <v>#N/A</v>
      </c>
      <c r="AA211" s="406" t="e">
        <f t="shared" ca="1" si="112"/>
        <v>#N/A</v>
      </c>
      <c r="AB211" s="406" t="e">
        <f t="shared" ca="1" si="112"/>
        <v>#N/A</v>
      </c>
      <c r="AC211" s="406" t="e">
        <f t="shared" ca="1" si="112"/>
        <v>#N/A</v>
      </c>
      <c r="AD211" s="406" t="e">
        <f t="shared" ca="1" si="112"/>
        <v>#N/A</v>
      </c>
      <c r="AE211" s="406" t="e">
        <f t="shared" ca="1" si="112"/>
        <v>#N/A</v>
      </c>
      <c r="AF211" s="406" t="e">
        <f t="shared" ca="1" si="112"/>
        <v>#N/A</v>
      </c>
      <c r="AG211" s="406" t="e">
        <f t="shared" ca="1" si="112"/>
        <v>#N/A</v>
      </c>
      <c r="AH211" s="406" t="e">
        <f t="shared" ca="1" si="112"/>
        <v>#N/A</v>
      </c>
      <c r="AI211" s="406" t="e">
        <f t="shared" ca="1" si="112"/>
        <v>#N/A</v>
      </c>
      <c r="AJ211" s="406" t="e">
        <f t="shared" ca="1" si="115"/>
        <v>#N/A</v>
      </c>
      <c r="AK211" s="406" t="e">
        <f t="shared" ca="1" si="115"/>
        <v>#N/A</v>
      </c>
      <c r="AL211" s="406" t="e">
        <f t="shared" ca="1" si="115"/>
        <v>#N/A</v>
      </c>
      <c r="AM211" s="406" t="e">
        <f t="shared" ca="1" si="115"/>
        <v>#N/A</v>
      </c>
      <c r="AN211" s="406" t="e">
        <f t="shared" ca="1" si="115"/>
        <v>#N/A</v>
      </c>
      <c r="AO211" s="406" t="e">
        <f t="shared" ca="1" si="115"/>
        <v>#N/A</v>
      </c>
      <c r="AP211" s="406" t="e">
        <f t="shared" ca="1" si="115"/>
        <v>#N/A</v>
      </c>
      <c r="AQ211" s="406" t="e">
        <f t="shared" ca="1" si="115"/>
        <v>#N/A</v>
      </c>
      <c r="AR211" s="406" t="e">
        <f t="shared" ca="1" si="114"/>
        <v>#N/A</v>
      </c>
      <c r="AS211" s="406" t="e">
        <f t="shared" ca="1" si="114"/>
        <v>#N/A</v>
      </c>
      <c r="AT211" s="406" t="e">
        <f t="shared" ca="1" si="114"/>
        <v>#N/A</v>
      </c>
      <c r="AU211" s="406" t="e">
        <f t="shared" ca="1" si="114"/>
        <v>#N/A</v>
      </c>
      <c r="AV211" s="406" t="e">
        <f t="shared" ca="1" si="114"/>
        <v>#N/A</v>
      </c>
      <c r="AW211" s="406" t="e">
        <f t="shared" ca="1" si="114"/>
        <v>#N/A</v>
      </c>
      <c r="AX211" s="406" t="e">
        <f t="shared" ca="1" si="114"/>
        <v>#N/A</v>
      </c>
      <c r="AY211" s="406" t="e">
        <f t="shared" ca="1" si="114"/>
        <v>#N/A</v>
      </c>
      <c r="AZ211" s="406" t="e">
        <f t="shared" ca="1" si="114"/>
        <v>#N/A</v>
      </c>
      <c r="BA211" s="406" t="e">
        <f t="shared" ca="1" si="114"/>
        <v>#N/A</v>
      </c>
      <c r="BB211" s="408"/>
      <c r="BC211" s="408" t="str">
        <f t="shared" ca="1" si="109"/>
        <v/>
      </c>
      <c r="BD211" s="408" t="s">
        <v>1278</v>
      </c>
      <c r="BE211" s="408" t="s">
        <v>1278</v>
      </c>
    </row>
    <row r="212" spans="3:57" x14ac:dyDescent="0.25">
      <c r="C212" s="406">
        <f t="shared" si="110"/>
        <v>210</v>
      </c>
      <c r="D212" s="406" t="e">
        <f t="shared" ca="1" si="111"/>
        <v>#N/A</v>
      </c>
      <c r="E212" s="406" t="e">
        <f t="shared" ca="1" si="111"/>
        <v>#N/A</v>
      </c>
      <c r="F212" s="406" t="e">
        <f t="shared" ca="1" si="111"/>
        <v>#N/A</v>
      </c>
      <c r="G212" s="406" t="e">
        <f t="shared" ca="1" si="111"/>
        <v>#N/A</v>
      </c>
      <c r="H212" s="406" t="e">
        <f t="shared" ca="1" si="111"/>
        <v>#N/A</v>
      </c>
      <c r="I212" s="406" t="e">
        <f t="shared" ca="1" si="111"/>
        <v>#N/A</v>
      </c>
      <c r="J212" s="406" t="e">
        <f t="shared" ca="1" si="111"/>
        <v>#N/A</v>
      </c>
      <c r="K212" s="406" t="e">
        <f t="shared" ca="1" si="111"/>
        <v>#N/A</v>
      </c>
      <c r="L212" s="406" t="e">
        <f t="shared" ca="1" si="111"/>
        <v>#N/A</v>
      </c>
      <c r="M212" s="406" t="e">
        <f t="shared" ca="1" si="111"/>
        <v>#N/A</v>
      </c>
      <c r="N212" s="406" t="e">
        <f t="shared" ca="1" si="111"/>
        <v>#N/A</v>
      </c>
      <c r="O212" s="406" t="e">
        <f t="shared" ca="1" si="111"/>
        <v>#N/A</v>
      </c>
      <c r="P212" s="406" t="e">
        <f t="shared" ca="1" si="111"/>
        <v>#N/A</v>
      </c>
      <c r="Q212" s="406" t="e">
        <f t="shared" ca="1" si="111"/>
        <v>#N/A</v>
      </c>
      <c r="R212" s="406" t="e">
        <f t="shared" ca="1" si="111"/>
        <v>#N/A</v>
      </c>
      <c r="S212" s="406" t="e">
        <f t="shared" ca="1" si="111"/>
        <v>#N/A</v>
      </c>
      <c r="T212" s="406" t="e">
        <f t="shared" ca="1" si="112"/>
        <v>#N/A</v>
      </c>
      <c r="U212" s="406" t="e">
        <f t="shared" ca="1" si="112"/>
        <v>#N/A</v>
      </c>
      <c r="V212" s="406" t="e">
        <f t="shared" ca="1" si="112"/>
        <v>#N/A</v>
      </c>
      <c r="W212" s="406" t="e">
        <f t="shared" ca="1" si="112"/>
        <v>#N/A</v>
      </c>
      <c r="X212" s="406" t="e">
        <f t="shared" ca="1" si="112"/>
        <v>#N/A</v>
      </c>
      <c r="Y212" s="406" t="e">
        <f t="shared" ca="1" si="112"/>
        <v>#N/A</v>
      </c>
      <c r="Z212" s="406" t="e">
        <f t="shared" ca="1" si="112"/>
        <v>#N/A</v>
      </c>
      <c r="AA212" s="406" t="e">
        <f t="shared" ca="1" si="112"/>
        <v>#N/A</v>
      </c>
      <c r="AB212" s="406" t="e">
        <f t="shared" ca="1" si="112"/>
        <v>#N/A</v>
      </c>
      <c r="AC212" s="406" t="e">
        <f t="shared" ca="1" si="112"/>
        <v>#N/A</v>
      </c>
      <c r="AD212" s="406" t="e">
        <f t="shared" ca="1" si="112"/>
        <v>#N/A</v>
      </c>
      <c r="AE212" s="406" t="e">
        <f t="shared" ca="1" si="112"/>
        <v>#N/A</v>
      </c>
      <c r="AF212" s="406" t="e">
        <f t="shared" ca="1" si="112"/>
        <v>#N/A</v>
      </c>
      <c r="AG212" s="406" t="e">
        <f t="shared" ca="1" si="112"/>
        <v>#N/A</v>
      </c>
      <c r="AH212" s="406" t="e">
        <f t="shared" ca="1" si="112"/>
        <v>#N/A</v>
      </c>
      <c r="AI212" s="406" t="e">
        <f t="shared" ca="1" si="112"/>
        <v>#N/A</v>
      </c>
      <c r="AJ212" s="406" t="e">
        <f t="shared" ca="1" si="115"/>
        <v>#N/A</v>
      </c>
      <c r="AK212" s="406" t="e">
        <f t="shared" ca="1" si="115"/>
        <v>#N/A</v>
      </c>
      <c r="AL212" s="406" t="e">
        <f t="shared" ca="1" si="115"/>
        <v>#N/A</v>
      </c>
      <c r="AM212" s="406" t="e">
        <f t="shared" ca="1" si="115"/>
        <v>#N/A</v>
      </c>
      <c r="AN212" s="406" t="e">
        <f t="shared" ca="1" si="115"/>
        <v>#N/A</v>
      </c>
      <c r="AO212" s="406" t="e">
        <f t="shared" ca="1" si="115"/>
        <v>#N/A</v>
      </c>
      <c r="AP212" s="406" t="e">
        <f t="shared" ca="1" si="115"/>
        <v>#N/A</v>
      </c>
      <c r="AQ212" s="406" t="e">
        <f t="shared" ca="1" si="115"/>
        <v>#N/A</v>
      </c>
      <c r="AR212" s="406" t="e">
        <f t="shared" ca="1" si="114"/>
        <v>#N/A</v>
      </c>
      <c r="AS212" s="406" t="e">
        <f t="shared" ca="1" si="114"/>
        <v>#N/A</v>
      </c>
      <c r="AT212" s="406" t="e">
        <f t="shared" ca="1" si="114"/>
        <v>#N/A</v>
      </c>
      <c r="AU212" s="406" t="e">
        <f t="shared" ca="1" si="114"/>
        <v>#N/A</v>
      </c>
      <c r="AV212" s="406" t="e">
        <f t="shared" ca="1" si="114"/>
        <v>#N/A</v>
      </c>
      <c r="AW212" s="406" t="e">
        <f t="shared" ca="1" si="114"/>
        <v>#N/A</v>
      </c>
      <c r="AX212" s="406" t="e">
        <f t="shared" ca="1" si="114"/>
        <v>#N/A</v>
      </c>
      <c r="AY212" s="406" t="e">
        <f t="shared" ca="1" si="114"/>
        <v>#N/A</v>
      </c>
      <c r="AZ212" s="406" t="e">
        <f t="shared" ca="1" si="114"/>
        <v>#N/A</v>
      </c>
      <c r="BA212" s="406" t="e">
        <f t="shared" ca="1" si="114"/>
        <v>#N/A</v>
      </c>
      <c r="BB212" s="408"/>
      <c r="BC212" s="408" t="str">
        <f t="shared" ca="1" si="109"/>
        <v/>
      </c>
      <c r="BD212" s="408" t="s">
        <v>1278</v>
      </c>
      <c r="BE212" s="408" t="s">
        <v>1278</v>
      </c>
    </row>
    <row r="213" spans="3:57" x14ac:dyDescent="0.25">
      <c r="C213" s="406">
        <f t="shared" si="110"/>
        <v>211</v>
      </c>
      <c r="D213" s="406" t="e">
        <f t="shared" ca="1" si="111"/>
        <v>#N/A</v>
      </c>
      <c r="E213" s="406" t="e">
        <f t="shared" ca="1" si="111"/>
        <v>#N/A</v>
      </c>
      <c r="F213" s="406" t="e">
        <f t="shared" ca="1" si="111"/>
        <v>#N/A</v>
      </c>
      <c r="G213" s="406" t="e">
        <f t="shared" ca="1" si="111"/>
        <v>#N/A</v>
      </c>
      <c r="H213" s="406" t="e">
        <f t="shared" ca="1" si="111"/>
        <v>#N/A</v>
      </c>
      <c r="I213" s="406" t="e">
        <f t="shared" ca="1" si="111"/>
        <v>#N/A</v>
      </c>
      <c r="J213" s="406" t="e">
        <f t="shared" ca="1" si="111"/>
        <v>#N/A</v>
      </c>
      <c r="K213" s="406" t="e">
        <f t="shared" ca="1" si="111"/>
        <v>#N/A</v>
      </c>
      <c r="L213" s="406" t="e">
        <f t="shared" ca="1" si="111"/>
        <v>#N/A</v>
      </c>
      <c r="M213" s="406" t="e">
        <f t="shared" ca="1" si="111"/>
        <v>#N/A</v>
      </c>
      <c r="N213" s="406" t="e">
        <f t="shared" ca="1" si="111"/>
        <v>#N/A</v>
      </c>
      <c r="O213" s="406" t="e">
        <f t="shared" ca="1" si="111"/>
        <v>#N/A</v>
      </c>
      <c r="P213" s="406" t="e">
        <f t="shared" ca="1" si="111"/>
        <v>#N/A</v>
      </c>
      <c r="Q213" s="406" t="e">
        <f t="shared" ca="1" si="111"/>
        <v>#N/A</v>
      </c>
      <c r="R213" s="406" t="e">
        <f t="shared" ca="1" si="111"/>
        <v>#N/A</v>
      </c>
      <c r="S213" s="406" t="e">
        <f t="shared" ca="1" si="111"/>
        <v>#N/A</v>
      </c>
      <c r="T213" s="406" t="e">
        <f t="shared" ca="1" si="112"/>
        <v>#N/A</v>
      </c>
      <c r="U213" s="406" t="e">
        <f t="shared" ca="1" si="112"/>
        <v>#N/A</v>
      </c>
      <c r="V213" s="406" t="e">
        <f t="shared" ca="1" si="112"/>
        <v>#N/A</v>
      </c>
      <c r="W213" s="406" t="e">
        <f t="shared" ca="1" si="112"/>
        <v>#N/A</v>
      </c>
      <c r="X213" s="406" t="e">
        <f t="shared" ca="1" si="112"/>
        <v>#N/A</v>
      </c>
      <c r="Y213" s="406" t="e">
        <f t="shared" ca="1" si="112"/>
        <v>#N/A</v>
      </c>
      <c r="Z213" s="406" t="e">
        <f t="shared" ca="1" si="112"/>
        <v>#N/A</v>
      </c>
      <c r="AA213" s="406" t="e">
        <f t="shared" ca="1" si="112"/>
        <v>#N/A</v>
      </c>
      <c r="AB213" s="406" t="e">
        <f t="shared" ca="1" si="112"/>
        <v>#N/A</v>
      </c>
      <c r="AC213" s="406" t="e">
        <f t="shared" ca="1" si="112"/>
        <v>#N/A</v>
      </c>
      <c r="AD213" s="406" t="e">
        <f t="shared" ca="1" si="112"/>
        <v>#N/A</v>
      </c>
      <c r="AE213" s="406" t="e">
        <f t="shared" ca="1" si="112"/>
        <v>#N/A</v>
      </c>
      <c r="AF213" s="406" t="e">
        <f t="shared" ca="1" si="112"/>
        <v>#N/A</v>
      </c>
      <c r="AG213" s="406" t="e">
        <f t="shared" ca="1" si="112"/>
        <v>#N/A</v>
      </c>
      <c r="AH213" s="406" t="e">
        <f t="shared" ca="1" si="112"/>
        <v>#N/A</v>
      </c>
      <c r="AI213" s="406" t="e">
        <f t="shared" ca="1" si="112"/>
        <v>#N/A</v>
      </c>
      <c r="AJ213" s="406" t="e">
        <f t="shared" ca="1" si="115"/>
        <v>#N/A</v>
      </c>
      <c r="AK213" s="406" t="e">
        <f t="shared" ca="1" si="115"/>
        <v>#N/A</v>
      </c>
      <c r="AL213" s="406" t="e">
        <f t="shared" ca="1" si="115"/>
        <v>#N/A</v>
      </c>
      <c r="AM213" s="406" t="e">
        <f t="shared" ca="1" si="115"/>
        <v>#N/A</v>
      </c>
      <c r="AN213" s="406" t="e">
        <f t="shared" ca="1" si="115"/>
        <v>#N/A</v>
      </c>
      <c r="AO213" s="406" t="e">
        <f t="shared" ca="1" si="115"/>
        <v>#N/A</v>
      </c>
      <c r="AP213" s="406" t="e">
        <f t="shared" ca="1" si="115"/>
        <v>#N/A</v>
      </c>
      <c r="AQ213" s="406" t="e">
        <f t="shared" ca="1" si="115"/>
        <v>#N/A</v>
      </c>
      <c r="AR213" s="406" t="e">
        <f t="shared" ca="1" si="114"/>
        <v>#N/A</v>
      </c>
      <c r="AS213" s="406" t="e">
        <f t="shared" ca="1" si="114"/>
        <v>#N/A</v>
      </c>
      <c r="AT213" s="406" t="e">
        <f t="shared" ca="1" si="114"/>
        <v>#N/A</v>
      </c>
      <c r="AU213" s="406" t="e">
        <f t="shared" ca="1" si="114"/>
        <v>#N/A</v>
      </c>
      <c r="AV213" s="406" t="e">
        <f t="shared" ca="1" si="114"/>
        <v>#N/A</v>
      </c>
      <c r="AW213" s="406" t="e">
        <f t="shared" ca="1" si="114"/>
        <v>#N/A</v>
      </c>
      <c r="AX213" s="406" t="e">
        <f t="shared" ca="1" si="114"/>
        <v>#N/A</v>
      </c>
      <c r="AY213" s="406" t="e">
        <f t="shared" ca="1" si="114"/>
        <v>#N/A</v>
      </c>
      <c r="AZ213" s="406" t="e">
        <f t="shared" ca="1" si="114"/>
        <v>#N/A</v>
      </c>
      <c r="BA213" s="406" t="e">
        <f t="shared" ca="1" si="114"/>
        <v>#N/A</v>
      </c>
      <c r="BB213" s="408"/>
      <c r="BC213" s="408" t="str">
        <f t="shared" ca="1" si="109"/>
        <v/>
      </c>
      <c r="BD213" s="408" t="s">
        <v>1278</v>
      </c>
      <c r="BE213" s="408" t="s">
        <v>1278</v>
      </c>
    </row>
    <row r="214" spans="3:57" x14ac:dyDescent="0.25">
      <c r="C214" s="406">
        <f t="shared" si="110"/>
        <v>212</v>
      </c>
      <c r="D214" s="406" t="e">
        <f t="shared" ca="1" si="111"/>
        <v>#N/A</v>
      </c>
      <c r="E214" s="406" t="e">
        <f t="shared" ca="1" si="111"/>
        <v>#N/A</v>
      </c>
      <c r="F214" s="406" t="e">
        <f t="shared" ca="1" si="111"/>
        <v>#N/A</v>
      </c>
      <c r="G214" s="406" t="e">
        <f t="shared" ca="1" si="111"/>
        <v>#N/A</v>
      </c>
      <c r="H214" s="406" t="e">
        <f t="shared" ca="1" si="111"/>
        <v>#N/A</v>
      </c>
      <c r="I214" s="406" t="e">
        <f t="shared" ca="1" si="111"/>
        <v>#N/A</v>
      </c>
      <c r="J214" s="406" t="e">
        <f t="shared" ca="1" si="111"/>
        <v>#N/A</v>
      </c>
      <c r="K214" s="406" t="e">
        <f t="shared" ca="1" si="111"/>
        <v>#N/A</v>
      </c>
      <c r="L214" s="406" t="e">
        <f t="shared" ca="1" si="111"/>
        <v>#N/A</v>
      </c>
      <c r="M214" s="406" t="e">
        <f t="shared" ca="1" si="111"/>
        <v>#N/A</v>
      </c>
      <c r="N214" s="406" t="e">
        <f t="shared" ca="1" si="111"/>
        <v>#N/A</v>
      </c>
      <c r="O214" s="406" t="e">
        <f t="shared" ca="1" si="111"/>
        <v>#N/A</v>
      </c>
      <c r="P214" s="406" t="e">
        <f t="shared" ca="1" si="111"/>
        <v>#N/A</v>
      </c>
      <c r="Q214" s="406" t="e">
        <f t="shared" ca="1" si="111"/>
        <v>#N/A</v>
      </c>
      <c r="R214" s="406" t="e">
        <f t="shared" ca="1" si="111"/>
        <v>#N/A</v>
      </c>
      <c r="S214" s="406" t="e">
        <f t="shared" ca="1" si="111"/>
        <v>#N/A</v>
      </c>
      <c r="T214" s="406" t="e">
        <f t="shared" ca="1" si="112"/>
        <v>#N/A</v>
      </c>
      <c r="U214" s="406" t="e">
        <f t="shared" ca="1" si="112"/>
        <v>#N/A</v>
      </c>
      <c r="V214" s="406" t="e">
        <f t="shared" ca="1" si="112"/>
        <v>#N/A</v>
      </c>
      <c r="W214" s="406" t="e">
        <f t="shared" ca="1" si="112"/>
        <v>#N/A</v>
      </c>
      <c r="X214" s="406" t="e">
        <f t="shared" ca="1" si="112"/>
        <v>#N/A</v>
      </c>
      <c r="Y214" s="406" t="e">
        <f t="shared" ca="1" si="112"/>
        <v>#N/A</v>
      </c>
      <c r="Z214" s="406" t="e">
        <f t="shared" ca="1" si="112"/>
        <v>#N/A</v>
      </c>
      <c r="AA214" s="406" t="e">
        <f t="shared" ca="1" si="112"/>
        <v>#N/A</v>
      </c>
      <c r="AB214" s="406" t="e">
        <f t="shared" ca="1" si="112"/>
        <v>#N/A</v>
      </c>
      <c r="AC214" s="406" t="e">
        <f t="shared" ca="1" si="112"/>
        <v>#N/A</v>
      </c>
      <c r="AD214" s="406" t="e">
        <f t="shared" ca="1" si="112"/>
        <v>#N/A</v>
      </c>
      <c r="AE214" s="406" t="e">
        <f t="shared" ca="1" si="112"/>
        <v>#N/A</v>
      </c>
      <c r="AF214" s="406" t="e">
        <f t="shared" ca="1" si="112"/>
        <v>#N/A</v>
      </c>
      <c r="AG214" s="406" t="e">
        <f t="shared" ca="1" si="112"/>
        <v>#N/A</v>
      </c>
      <c r="AH214" s="406" t="e">
        <f t="shared" ca="1" si="112"/>
        <v>#N/A</v>
      </c>
      <c r="AI214" s="406" t="e">
        <f t="shared" ca="1" si="112"/>
        <v>#N/A</v>
      </c>
      <c r="AJ214" s="406" t="e">
        <f t="shared" ca="1" si="115"/>
        <v>#N/A</v>
      </c>
      <c r="AK214" s="406" t="e">
        <f t="shared" ca="1" si="115"/>
        <v>#N/A</v>
      </c>
      <c r="AL214" s="406" t="e">
        <f t="shared" ca="1" si="115"/>
        <v>#N/A</v>
      </c>
      <c r="AM214" s="406" t="e">
        <f t="shared" ca="1" si="115"/>
        <v>#N/A</v>
      </c>
      <c r="AN214" s="406" t="e">
        <f t="shared" ca="1" si="115"/>
        <v>#N/A</v>
      </c>
      <c r="AO214" s="406" t="e">
        <f t="shared" ca="1" si="115"/>
        <v>#N/A</v>
      </c>
      <c r="AP214" s="406" t="e">
        <f t="shared" ca="1" si="115"/>
        <v>#N/A</v>
      </c>
      <c r="AQ214" s="406" t="e">
        <f t="shared" ca="1" si="115"/>
        <v>#N/A</v>
      </c>
      <c r="AR214" s="406" t="e">
        <f t="shared" ca="1" si="114"/>
        <v>#N/A</v>
      </c>
      <c r="AS214" s="406" t="e">
        <f t="shared" ca="1" si="114"/>
        <v>#N/A</v>
      </c>
      <c r="AT214" s="406" t="e">
        <f t="shared" ca="1" si="114"/>
        <v>#N/A</v>
      </c>
      <c r="AU214" s="406" t="e">
        <f t="shared" ca="1" si="114"/>
        <v>#N/A</v>
      </c>
      <c r="AV214" s="406" t="e">
        <f t="shared" ca="1" si="114"/>
        <v>#N/A</v>
      </c>
      <c r="AW214" s="406" t="e">
        <f t="shared" ca="1" si="114"/>
        <v>#N/A</v>
      </c>
      <c r="AX214" s="406" t="e">
        <f t="shared" ca="1" si="114"/>
        <v>#N/A</v>
      </c>
      <c r="AY214" s="406" t="e">
        <f t="shared" ca="1" si="114"/>
        <v>#N/A</v>
      </c>
      <c r="AZ214" s="406" t="e">
        <f t="shared" ca="1" si="114"/>
        <v>#N/A</v>
      </c>
      <c r="BA214" s="406" t="e">
        <f t="shared" ca="1" si="114"/>
        <v>#N/A</v>
      </c>
      <c r="BB214" s="408"/>
      <c r="BC214" s="408" t="str">
        <f t="shared" ca="1" si="109"/>
        <v/>
      </c>
      <c r="BD214" s="408" t="s">
        <v>1278</v>
      </c>
      <c r="BE214" s="408" t="s">
        <v>1278</v>
      </c>
    </row>
    <row r="215" spans="3:57" x14ac:dyDescent="0.25">
      <c r="C215" s="406">
        <f t="shared" si="110"/>
        <v>213</v>
      </c>
      <c r="D215" s="406" t="e">
        <f t="shared" ca="1" si="111"/>
        <v>#N/A</v>
      </c>
      <c r="E215" s="406" t="e">
        <f t="shared" ca="1" si="111"/>
        <v>#N/A</v>
      </c>
      <c r="F215" s="406" t="e">
        <f t="shared" ca="1" si="111"/>
        <v>#N/A</v>
      </c>
      <c r="G215" s="406" t="e">
        <f t="shared" ca="1" si="111"/>
        <v>#N/A</v>
      </c>
      <c r="H215" s="406" t="e">
        <f t="shared" ca="1" si="111"/>
        <v>#N/A</v>
      </c>
      <c r="I215" s="406" t="e">
        <f t="shared" ca="1" si="111"/>
        <v>#N/A</v>
      </c>
      <c r="J215" s="406" t="e">
        <f t="shared" ca="1" si="111"/>
        <v>#N/A</v>
      </c>
      <c r="K215" s="406" t="e">
        <f t="shared" ca="1" si="111"/>
        <v>#N/A</v>
      </c>
      <c r="L215" s="406" t="e">
        <f t="shared" ca="1" si="111"/>
        <v>#N/A</v>
      </c>
      <c r="M215" s="406" t="e">
        <f t="shared" ca="1" si="111"/>
        <v>#N/A</v>
      </c>
      <c r="N215" s="406" t="e">
        <f t="shared" ca="1" si="111"/>
        <v>#N/A</v>
      </c>
      <c r="O215" s="406" t="e">
        <f t="shared" ca="1" si="111"/>
        <v>#N/A</v>
      </c>
      <c r="P215" s="406" t="e">
        <f t="shared" ca="1" si="111"/>
        <v>#N/A</v>
      </c>
      <c r="Q215" s="406" t="e">
        <f t="shared" ca="1" si="111"/>
        <v>#N/A</v>
      </c>
      <c r="R215" s="406" t="e">
        <f t="shared" ca="1" si="111"/>
        <v>#N/A</v>
      </c>
      <c r="S215" s="406" t="e">
        <f t="shared" ca="1" si="111"/>
        <v>#N/A</v>
      </c>
      <c r="T215" s="406" t="e">
        <f t="shared" ca="1" si="112"/>
        <v>#N/A</v>
      </c>
      <c r="U215" s="406" t="e">
        <f t="shared" ca="1" si="112"/>
        <v>#N/A</v>
      </c>
      <c r="V215" s="406" t="e">
        <f t="shared" ca="1" si="112"/>
        <v>#N/A</v>
      </c>
      <c r="W215" s="406" t="e">
        <f t="shared" ca="1" si="112"/>
        <v>#N/A</v>
      </c>
      <c r="X215" s="406" t="e">
        <f t="shared" ca="1" si="112"/>
        <v>#N/A</v>
      </c>
      <c r="Y215" s="406" t="e">
        <f t="shared" ca="1" si="112"/>
        <v>#N/A</v>
      </c>
      <c r="Z215" s="406" t="e">
        <f t="shared" ca="1" si="112"/>
        <v>#N/A</v>
      </c>
      <c r="AA215" s="406" t="e">
        <f t="shared" ca="1" si="112"/>
        <v>#N/A</v>
      </c>
      <c r="AB215" s="406" t="e">
        <f t="shared" ca="1" si="112"/>
        <v>#N/A</v>
      </c>
      <c r="AC215" s="406" t="e">
        <f t="shared" ca="1" si="112"/>
        <v>#N/A</v>
      </c>
      <c r="AD215" s="406" t="e">
        <f t="shared" ca="1" si="112"/>
        <v>#N/A</v>
      </c>
      <c r="AE215" s="406" t="e">
        <f t="shared" ca="1" si="112"/>
        <v>#N/A</v>
      </c>
      <c r="AF215" s="406" t="e">
        <f t="shared" ca="1" si="112"/>
        <v>#N/A</v>
      </c>
      <c r="AG215" s="406" t="e">
        <f t="shared" ca="1" si="112"/>
        <v>#N/A</v>
      </c>
      <c r="AH215" s="406" t="e">
        <f t="shared" ca="1" si="112"/>
        <v>#N/A</v>
      </c>
      <c r="AI215" s="406" t="e">
        <f t="shared" ca="1" si="112"/>
        <v>#N/A</v>
      </c>
      <c r="AJ215" s="406" t="e">
        <f t="shared" ca="1" si="115"/>
        <v>#N/A</v>
      </c>
      <c r="AK215" s="406" t="e">
        <f t="shared" ca="1" si="115"/>
        <v>#N/A</v>
      </c>
      <c r="AL215" s="406" t="e">
        <f t="shared" ca="1" si="115"/>
        <v>#N/A</v>
      </c>
      <c r="AM215" s="406" t="e">
        <f t="shared" ca="1" si="115"/>
        <v>#N/A</v>
      </c>
      <c r="AN215" s="406" t="e">
        <f t="shared" ca="1" si="115"/>
        <v>#N/A</v>
      </c>
      <c r="AO215" s="406" t="e">
        <f t="shared" ca="1" si="115"/>
        <v>#N/A</v>
      </c>
      <c r="AP215" s="406" t="e">
        <f t="shared" ca="1" si="115"/>
        <v>#N/A</v>
      </c>
      <c r="AQ215" s="406" t="e">
        <f t="shared" ca="1" si="115"/>
        <v>#N/A</v>
      </c>
      <c r="AR215" s="406" t="e">
        <f t="shared" ca="1" si="114"/>
        <v>#N/A</v>
      </c>
      <c r="AS215" s="406" t="e">
        <f t="shared" ca="1" si="114"/>
        <v>#N/A</v>
      </c>
      <c r="AT215" s="406" t="e">
        <f t="shared" ca="1" si="114"/>
        <v>#N/A</v>
      </c>
      <c r="AU215" s="406" t="e">
        <f t="shared" ca="1" si="114"/>
        <v>#N/A</v>
      </c>
      <c r="AV215" s="406" t="e">
        <f t="shared" ca="1" si="114"/>
        <v>#N/A</v>
      </c>
      <c r="AW215" s="406" t="e">
        <f t="shared" ca="1" si="114"/>
        <v>#N/A</v>
      </c>
      <c r="AX215" s="406" t="e">
        <f t="shared" ca="1" si="114"/>
        <v>#N/A</v>
      </c>
      <c r="AY215" s="406" t="e">
        <f t="shared" ca="1" si="114"/>
        <v>#N/A</v>
      </c>
      <c r="AZ215" s="406" t="e">
        <f t="shared" ca="1" si="114"/>
        <v>#N/A</v>
      </c>
      <c r="BA215" s="406" t="e">
        <f t="shared" ca="1" si="114"/>
        <v>#N/A</v>
      </c>
      <c r="BB215" s="408"/>
      <c r="BC215" s="408" t="str">
        <f t="shared" ca="1" si="109"/>
        <v/>
      </c>
      <c r="BD215" s="408" t="s">
        <v>1278</v>
      </c>
      <c r="BE215" s="408" t="s">
        <v>1278</v>
      </c>
    </row>
    <row r="216" spans="3:57" x14ac:dyDescent="0.25">
      <c r="C216" s="406">
        <f t="shared" si="110"/>
        <v>214</v>
      </c>
      <c r="D216" s="406" t="e">
        <f t="shared" ca="1" si="111"/>
        <v>#N/A</v>
      </c>
      <c r="E216" s="406" t="e">
        <f t="shared" ca="1" si="111"/>
        <v>#N/A</v>
      </c>
      <c r="F216" s="406" t="e">
        <f t="shared" ca="1" si="111"/>
        <v>#N/A</v>
      </c>
      <c r="G216" s="406" t="e">
        <f t="shared" ca="1" si="111"/>
        <v>#N/A</v>
      </c>
      <c r="H216" s="406" t="e">
        <f t="shared" ca="1" si="111"/>
        <v>#N/A</v>
      </c>
      <c r="I216" s="406" t="e">
        <f t="shared" ca="1" si="111"/>
        <v>#N/A</v>
      </c>
      <c r="J216" s="406" t="e">
        <f t="shared" ca="1" si="111"/>
        <v>#N/A</v>
      </c>
      <c r="K216" s="406" t="e">
        <f t="shared" ca="1" si="111"/>
        <v>#N/A</v>
      </c>
      <c r="L216" s="406" t="e">
        <f t="shared" ca="1" si="111"/>
        <v>#N/A</v>
      </c>
      <c r="M216" s="406" t="e">
        <f t="shared" ca="1" si="111"/>
        <v>#N/A</v>
      </c>
      <c r="N216" s="406" t="e">
        <f t="shared" ca="1" si="111"/>
        <v>#N/A</v>
      </c>
      <c r="O216" s="406" t="e">
        <f t="shared" ca="1" si="111"/>
        <v>#N/A</v>
      </c>
      <c r="P216" s="406" t="e">
        <f t="shared" ca="1" si="111"/>
        <v>#N/A</v>
      </c>
      <c r="Q216" s="406" t="e">
        <f t="shared" ca="1" si="111"/>
        <v>#N/A</v>
      </c>
      <c r="R216" s="406" t="e">
        <f t="shared" ca="1" si="111"/>
        <v>#N/A</v>
      </c>
      <c r="S216" s="406" t="e">
        <f t="shared" ca="1" si="111"/>
        <v>#N/A</v>
      </c>
      <c r="T216" s="406" t="e">
        <f t="shared" ca="1" si="112"/>
        <v>#N/A</v>
      </c>
      <c r="U216" s="406" t="e">
        <f t="shared" ca="1" si="112"/>
        <v>#N/A</v>
      </c>
      <c r="V216" s="406" t="e">
        <f t="shared" ca="1" si="112"/>
        <v>#N/A</v>
      </c>
      <c r="W216" s="406" t="e">
        <f t="shared" ca="1" si="112"/>
        <v>#N/A</v>
      </c>
      <c r="X216" s="406" t="e">
        <f t="shared" ca="1" si="112"/>
        <v>#N/A</v>
      </c>
      <c r="Y216" s="406" t="e">
        <f t="shared" ca="1" si="112"/>
        <v>#N/A</v>
      </c>
      <c r="Z216" s="406" t="e">
        <f t="shared" ca="1" si="112"/>
        <v>#N/A</v>
      </c>
      <c r="AA216" s="406" t="e">
        <f t="shared" ca="1" si="112"/>
        <v>#N/A</v>
      </c>
      <c r="AB216" s="406" t="e">
        <f t="shared" ca="1" si="112"/>
        <v>#N/A</v>
      </c>
      <c r="AC216" s="406" t="e">
        <f t="shared" ca="1" si="112"/>
        <v>#N/A</v>
      </c>
      <c r="AD216" s="406" t="e">
        <f t="shared" ca="1" si="112"/>
        <v>#N/A</v>
      </c>
      <c r="AE216" s="406" t="e">
        <f t="shared" ca="1" si="112"/>
        <v>#N/A</v>
      </c>
      <c r="AF216" s="406" t="e">
        <f t="shared" ca="1" si="112"/>
        <v>#N/A</v>
      </c>
      <c r="AG216" s="406" t="e">
        <f t="shared" ca="1" si="112"/>
        <v>#N/A</v>
      </c>
      <c r="AH216" s="406" t="e">
        <f t="shared" ca="1" si="112"/>
        <v>#N/A</v>
      </c>
      <c r="AI216" s="406" t="e">
        <f t="shared" ca="1" si="112"/>
        <v>#N/A</v>
      </c>
      <c r="AJ216" s="406" t="e">
        <f t="shared" ca="1" si="115"/>
        <v>#N/A</v>
      </c>
      <c r="AK216" s="406" t="e">
        <f t="shared" ca="1" si="115"/>
        <v>#N/A</v>
      </c>
      <c r="AL216" s="406" t="e">
        <f t="shared" ca="1" si="115"/>
        <v>#N/A</v>
      </c>
      <c r="AM216" s="406" t="e">
        <f t="shared" ca="1" si="115"/>
        <v>#N/A</v>
      </c>
      <c r="AN216" s="406" t="e">
        <f t="shared" ca="1" si="115"/>
        <v>#N/A</v>
      </c>
      <c r="AO216" s="406" t="e">
        <f t="shared" ca="1" si="115"/>
        <v>#N/A</v>
      </c>
      <c r="AP216" s="406" t="e">
        <f t="shared" ca="1" si="115"/>
        <v>#N/A</v>
      </c>
      <c r="AQ216" s="406" t="e">
        <f t="shared" ca="1" si="115"/>
        <v>#N/A</v>
      </c>
      <c r="AR216" s="406" t="e">
        <f t="shared" ca="1" si="114"/>
        <v>#N/A</v>
      </c>
      <c r="AS216" s="406" t="e">
        <f t="shared" ca="1" si="114"/>
        <v>#N/A</v>
      </c>
      <c r="AT216" s="406" t="e">
        <f t="shared" ca="1" si="114"/>
        <v>#N/A</v>
      </c>
      <c r="AU216" s="406" t="e">
        <f t="shared" ca="1" si="114"/>
        <v>#N/A</v>
      </c>
      <c r="AV216" s="406" t="e">
        <f t="shared" ca="1" si="114"/>
        <v>#N/A</v>
      </c>
      <c r="AW216" s="406" t="e">
        <f t="shared" ca="1" si="114"/>
        <v>#N/A</v>
      </c>
      <c r="AX216" s="406" t="e">
        <f t="shared" ca="1" si="114"/>
        <v>#N/A</v>
      </c>
      <c r="AY216" s="406" t="e">
        <f t="shared" ca="1" si="114"/>
        <v>#N/A</v>
      </c>
      <c r="AZ216" s="406" t="e">
        <f t="shared" ca="1" si="114"/>
        <v>#N/A</v>
      </c>
      <c r="BA216" s="406" t="e">
        <f t="shared" ca="1" si="114"/>
        <v>#N/A</v>
      </c>
      <c r="BB216" s="408"/>
      <c r="BC216" s="408" t="str">
        <f t="shared" ca="1" si="109"/>
        <v/>
      </c>
      <c r="BD216" s="408" t="s">
        <v>1278</v>
      </c>
      <c r="BE216" s="408" t="s">
        <v>1278</v>
      </c>
    </row>
    <row r="217" spans="3:57" x14ac:dyDescent="0.25">
      <c r="C217" s="406">
        <f t="shared" si="110"/>
        <v>215</v>
      </c>
      <c r="D217" s="406" t="e">
        <f t="shared" ca="1" si="111"/>
        <v>#N/A</v>
      </c>
      <c r="E217" s="406" t="e">
        <f t="shared" ca="1" si="111"/>
        <v>#N/A</v>
      </c>
      <c r="F217" s="406" t="e">
        <f t="shared" ca="1" si="111"/>
        <v>#N/A</v>
      </c>
      <c r="G217" s="406" t="e">
        <f t="shared" ca="1" si="111"/>
        <v>#N/A</v>
      </c>
      <c r="H217" s="406" t="e">
        <f t="shared" ca="1" si="111"/>
        <v>#N/A</v>
      </c>
      <c r="I217" s="406" t="e">
        <f t="shared" ca="1" si="111"/>
        <v>#N/A</v>
      </c>
      <c r="J217" s="406" t="e">
        <f t="shared" ca="1" si="111"/>
        <v>#N/A</v>
      </c>
      <c r="K217" s="406" t="e">
        <f t="shared" ca="1" si="111"/>
        <v>#N/A</v>
      </c>
      <c r="L217" s="406" t="e">
        <f t="shared" ca="1" si="111"/>
        <v>#N/A</v>
      </c>
      <c r="M217" s="406" t="e">
        <f t="shared" ca="1" si="111"/>
        <v>#N/A</v>
      </c>
      <c r="N217" s="406" t="e">
        <f t="shared" ca="1" si="111"/>
        <v>#N/A</v>
      </c>
      <c r="O217" s="406" t="e">
        <f t="shared" ca="1" si="111"/>
        <v>#N/A</v>
      </c>
      <c r="P217" s="406" t="e">
        <f t="shared" ca="1" si="111"/>
        <v>#N/A</v>
      </c>
      <c r="Q217" s="406" t="e">
        <f t="shared" ca="1" si="111"/>
        <v>#N/A</v>
      </c>
      <c r="R217" s="406" t="e">
        <f t="shared" ca="1" si="111"/>
        <v>#N/A</v>
      </c>
      <c r="S217" s="406" t="e">
        <f t="shared" ca="1" si="111"/>
        <v>#N/A</v>
      </c>
      <c r="T217" s="406" t="e">
        <f t="shared" ca="1" si="112"/>
        <v>#N/A</v>
      </c>
      <c r="U217" s="406" t="e">
        <f t="shared" ca="1" si="112"/>
        <v>#N/A</v>
      </c>
      <c r="V217" s="406" t="e">
        <f t="shared" ca="1" si="112"/>
        <v>#N/A</v>
      </c>
      <c r="W217" s="406" t="e">
        <f t="shared" ca="1" si="112"/>
        <v>#N/A</v>
      </c>
      <c r="X217" s="406" t="e">
        <f t="shared" ca="1" si="112"/>
        <v>#N/A</v>
      </c>
      <c r="Y217" s="406" t="e">
        <f t="shared" ca="1" si="112"/>
        <v>#N/A</v>
      </c>
      <c r="Z217" s="406" t="e">
        <f t="shared" ca="1" si="112"/>
        <v>#N/A</v>
      </c>
      <c r="AA217" s="406" t="e">
        <f t="shared" ca="1" si="112"/>
        <v>#N/A</v>
      </c>
      <c r="AB217" s="406" t="e">
        <f t="shared" ca="1" si="112"/>
        <v>#N/A</v>
      </c>
      <c r="AC217" s="406" t="e">
        <f t="shared" ca="1" si="112"/>
        <v>#N/A</v>
      </c>
      <c r="AD217" s="406" t="e">
        <f t="shared" ca="1" si="112"/>
        <v>#N/A</v>
      </c>
      <c r="AE217" s="406" t="e">
        <f t="shared" ca="1" si="112"/>
        <v>#N/A</v>
      </c>
      <c r="AF217" s="406" t="e">
        <f t="shared" ca="1" si="112"/>
        <v>#N/A</v>
      </c>
      <c r="AG217" s="406" t="e">
        <f t="shared" ca="1" si="112"/>
        <v>#N/A</v>
      </c>
      <c r="AH217" s="406" t="e">
        <f t="shared" ca="1" si="112"/>
        <v>#N/A</v>
      </c>
      <c r="AI217" s="406" t="e">
        <f t="shared" ca="1" si="112"/>
        <v>#N/A</v>
      </c>
      <c r="AJ217" s="406" t="e">
        <f t="shared" ca="1" si="115"/>
        <v>#N/A</v>
      </c>
      <c r="AK217" s="406" t="e">
        <f t="shared" ca="1" si="115"/>
        <v>#N/A</v>
      </c>
      <c r="AL217" s="406" t="e">
        <f t="shared" ca="1" si="115"/>
        <v>#N/A</v>
      </c>
      <c r="AM217" s="406" t="e">
        <f t="shared" ca="1" si="115"/>
        <v>#N/A</v>
      </c>
      <c r="AN217" s="406" t="e">
        <f t="shared" ca="1" si="115"/>
        <v>#N/A</v>
      </c>
      <c r="AO217" s="406" t="e">
        <f t="shared" ca="1" si="115"/>
        <v>#N/A</v>
      </c>
      <c r="AP217" s="406" t="e">
        <f t="shared" ca="1" si="115"/>
        <v>#N/A</v>
      </c>
      <c r="AQ217" s="406" t="e">
        <f t="shared" ca="1" si="115"/>
        <v>#N/A</v>
      </c>
      <c r="AR217" s="406" t="e">
        <f t="shared" ca="1" si="114"/>
        <v>#N/A</v>
      </c>
      <c r="AS217" s="406" t="e">
        <f t="shared" ca="1" si="114"/>
        <v>#N/A</v>
      </c>
      <c r="AT217" s="406" t="e">
        <f t="shared" ca="1" si="114"/>
        <v>#N/A</v>
      </c>
      <c r="AU217" s="406" t="e">
        <f t="shared" ca="1" si="114"/>
        <v>#N/A</v>
      </c>
      <c r="AV217" s="406" t="e">
        <f t="shared" ca="1" si="114"/>
        <v>#N/A</v>
      </c>
      <c r="AW217" s="406" t="e">
        <f t="shared" ca="1" si="114"/>
        <v>#N/A</v>
      </c>
      <c r="AX217" s="406" t="e">
        <f t="shared" ca="1" si="114"/>
        <v>#N/A</v>
      </c>
      <c r="AY217" s="406" t="e">
        <f t="shared" ca="1" si="114"/>
        <v>#N/A</v>
      </c>
      <c r="AZ217" s="406" t="e">
        <f t="shared" ca="1" si="114"/>
        <v>#N/A</v>
      </c>
      <c r="BA217" s="406" t="e">
        <f t="shared" ca="1" si="114"/>
        <v>#N/A</v>
      </c>
      <c r="BB217" s="408"/>
      <c r="BC217" s="408" t="str">
        <f t="shared" ca="1" si="109"/>
        <v/>
      </c>
      <c r="BD217" s="408" t="s">
        <v>1278</v>
      </c>
      <c r="BE217" s="408" t="s">
        <v>1278</v>
      </c>
    </row>
    <row r="218" spans="3:57" ht="16.5" customHeight="1" x14ac:dyDescent="0.25">
      <c r="C218" s="406">
        <f t="shared" si="110"/>
        <v>216</v>
      </c>
      <c r="D218" s="406" t="e">
        <f t="shared" ca="1" si="111"/>
        <v>#N/A</v>
      </c>
      <c r="E218" s="406" t="e">
        <f t="shared" ca="1" si="111"/>
        <v>#N/A</v>
      </c>
      <c r="F218" s="406" t="e">
        <f t="shared" ca="1" si="111"/>
        <v>#N/A</v>
      </c>
      <c r="G218" s="406" t="e">
        <f t="shared" ca="1" si="111"/>
        <v>#N/A</v>
      </c>
      <c r="H218" s="406" t="e">
        <f t="shared" ca="1" si="111"/>
        <v>#N/A</v>
      </c>
      <c r="I218" s="406" t="e">
        <f t="shared" ca="1" si="111"/>
        <v>#N/A</v>
      </c>
      <c r="J218" s="406" t="e">
        <f t="shared" ca="1" si="111"/>
        <v>#N/A</v>
      </c>
      <c r="K218" s="406" t="e">
        <f t="shared" ca="1" si="111"/>
        <v>#N/A</v>
      </c>
      <c r="L218" s="406" t="e">
        <f t="shared" ca="1" si="111"/>
        <v>#N/A</v>
      </c>
      <c r="M218" s="406" t="e">
        <f t="shared" ca="1" si="111"/>
        <v>#N/A</v>
      </c>
      <c r="N218" s="406" t="e">
        <f t="shared" ca="1" si="111"/>
        <v>#N/A</v>
      </c>
      <c r="O218" s="406" t="e">
        <f t="shared" ca="1" si="111"/>
        <v>#N/A</v>
      </c>
      <c r="P218" s="406" t="e">
        <f t="shared" ca="1" si="111"/>
        <v>#N/A</v>
      </c>
      <c r="Q218" s="406" t="e">
        <f t="shared" ca="1" si="111"/>
        <v>#N/A</v>
      </c>
      <c r="R218" s="406" t="e">
        <f t="shared" ca="1" si="111"/>
        <v>#N/A</v>
      </c>
      <c r="S218" s="406" t="e">
        <f t="shared" ca="1" si="111"/>
        <v>#N/A</v>
      </c>
      <c r="T218" s="406" t="e">
        <f t="shared" ca="1" si="112"/>
        <v>#N/A</v>
      </c>
      <c r="U218" s="406" t="e">
        <f t="shared" ca="1" si="112"/>
        <v>#N/A</v>
      </c>
      <c r="V218" s="406" t="e">
        <f t="shared" ca="1" si="112"/>
        <v>#N/A</v>
      </c>
      <c r="W218" s="406" t="e">
        <f t="shared" ca="1" si="112"/>
        <v>#N/A</v>
      </c>
      <c r="X218" s="406" t="e">
        <f t="shared" ca="1" si="112"/>
        <v>#N/A</v>
      </c>
      <c r="Y218" s="406" t="e">
        <f t="shared" ca="1" si="112"/>
        <v>#N/A</v>
      </c>
      <c r="Z218" s="406" t="e">
        <f t="shared" ca="1" si="112"/>
        <v>#N/A</v>
      </c>
      <c r="AA218" s="406" t="e">
        <f t="shared" ca="1" si="112"/>
        <v>#N/A</v>
      </c>
      <c r="AB218" s="406" t="e">
        <f t="shared" ca="1" si="112"/>
        <v>#N/A</v>
      </c>
      <c r="AC218" s="406" t="e">
        <f t="shared" ca="1" si="112"/>
        <v>#N/A</v>
      </c>
      <c r="AD218" s="406" t="e">
        <f t="shared" ca="1" si="112"/>
        <v>#N/A</v>
      </c>
      <c r="AE218" s="406" t="e">
        <f t="shared" ca="1" si="112"/>
        <v>#N/A</v>
      </c>
      <c r="AF218" s="406" t="e">
        <f t="shared" ca="1" si="112"/>
        <v>#N/A</v>
      </c>
      <c r="AG218" s="406" t="e">
        <f t="shared" ca="1" si="112"/>
        <v>#N/A</v>
      </c>
      <c r="AH218" s="406" t="e">
        <f t="shared" ca="1" si="112"/>
        <v>#N/A</v>
      </c>
      <c r="AI218" s="406" t="e">
        <f t="shared" ca="1" si="112"/>
        <v>#N/A</v>
      </c>
      <c r="AJ218" s="406" t="e">
        <f t="shared" ca="1" si="115"/>
        <v>#N/A</v>
      </c>
      <c r="AK218" s="406" t="e">
        <f t="shared" ca="1" si="115"/>
        <v>#N/A</v>
      </c>
      <c r="AL218" s="406" t="e">
        <f t="shared" ca="1" si="115"/>
        <v>#N/A</v>
      </c>
      <c r="AM218" s="406" t="e">
        <f t="shared" ca="1" si="115"/>
        <v>#N/A</v>
      </c>
      <c r="AN218" s="406" t="e">
        <f t="shared" ca="1" si="115"/>
        <v>#N/A</v>
      </c>
      <c r="AO218" s="406" t="e">
        <f t="shared" ca="1" si="115"/>
        <v>#N/A</v>
      </c>
      <c r="AP218" s="406" t="e">
        <f t="shared" ca="1" si="115"/>
        <v>#N/A</v>
      </c>
      <c r="AQ218" s="406" t="e">
        <f t="shared" ca="1" si="115"/>
        <v>#N/A</v>
      </c>
      <c r="AR218" s="406" t="e">
        <f t="shared" ca="1" si="114"/>
        <v>#N/A</v>
      </c>
      <c r="AS218" s="406" t="e">
        <f t="shared" ca="1" si="114"/>
        <v>#N/A</v>
      </c>
      <c r="AT218" s="406" t="e">
        <f t="shared" ca="1" si="114"/>
        <v>#N/A</v>
      </c>
      <c r="AU218" s="406" t="e">
        <f t="shared" ca="1" si="114"/>
        <v>#N/A</v>
      </c>
      <c r="AV218" s="406" t="e">
        <f t="shared" ca="1" si="114"/>
        <v>#N/A</v>
      </c>
      <c r="AW218" s="406" t="e">
        <f t="shared" ca="1" si="114"/>
        <v>#N/A</v>
      </c>
      <c r="AX218" s="406" t="e">
        <f t="shared" ca="1" si="114"/>
        <v>#N/A</v>
      </c>
      <c r="AY218" s="406" t="e">
        <f t="shared" ca="1" si="114"/>
        <v>#N/A</v>
      </c>
      <c r="AZ218" s="406" t="e">
        <f t="shared" ca="1" si="114"/>
        <v>#N/A</v>
      </c>
      <c r="BA218" s="406" t="e">
        <f t="shared" ca="1" si="114"/>
        <v>#N/A</v>
      </c>
      <c r="BB218" s="408"/>
      <c r="BC218" s="408" t="str">
        <f t="shared" ca="1" si="109"/>
        <v/>
      </c>
      <c r="BD218" s="408" t="s">
        <v>1278</v>
      </c>
      <c r="BE218" s="408" t="s">
        <v>1278</v>
      </c>
    </row>
    <row r="219" spans="3:57" x14ac:dyDescent="0.25">
      <c r="C219" s="406">
        <f t="shared" si="110"/>
        <v>217</v>
      </c>
      <c r="D219" s="406" t="e">
        <f t="shared" ca="1" si="111"/>
        <v>#N/A</v>
      </c>
      <c r="E219" s="406" t="e">
        <f t="shared" ca="1" si="111"/>
        <v>#N/A</v>
      </c>
      <c r="F219" s="406" t="e">
        <f t="shared" ca="1" si="111"/>
        <v>#N/A</v>
      </c>
      <c r="G219" s="406" t="e">
        <f t="shared" ca="1" si="111"/>
        <v>#N/A</v>
      </c>
      <c r="H219" s="406" t="e">
        <f t="shared" ca="1" si="111"/>
        <v>#N/A</v>
      </c>
      <c r="I219" s="406" t="e">
        <f t="shared" ca="1" si="111"/>
        <v>#N/A</v>
      </c>
      <c r="J219" s="406" t="e">
        <f t="shared" ca="1" si="111"/>
        <v>#N/A</v>
      </c>
      <c r="K219" s="406" t="e">
        <f t="shared" ca="1" si="111"/>
        <v>#N/A</v>
      </c>
      <c r="L219" s="406" t="e">
        <f t="shared" ca="1" si="111"/>
        <v>#N/A</v>
      </c>
      <c r="M219" s="406" t="e">
        <f t="shared" ca="1" si="111"/>
        <v>#N/A</v>
      </c>
      <c r="N219" s="406" t="e">
        <f t="shared" ca="1" si="111"/>
        <v>#N/A</v>
      </c>
      <c r="O219" s="406" t="e">
        <f t="shared" ca="1" si="111"/>
        <v>#N/A</v>
      </c>
      <c r="P219" s="406" t="e">
        <f t="shared" ca="1" si="111"/>
        <v>#N/A</v>
      </c>
      <c r="Q219" s="406" t="e">
        <f t="shared" ca="1" si="111"/>
        <v>#N/A</v>
      </c>
      <c r="R219" s="406" t="e">
        <f t="shared" ca="1" si="111"/>
        <v>#N/A</v>
      </c>
      <c r="S219" s="406" t="e">
        <f t="shared" ca="1" si="111"/>
        <v>#N/A</v>
      </c>
      <c r="T219" s="406" t="e">
        <f t="shared" ca="1" si="112"/>
        <v>#N/A</v>
      </c>
      <c r="U219" s="406" t="e">
        <f t="shared" ca="1" si="112"/>
        <v>#N/A</v>
      </c>
      <c r="V219" s="406" t="e">
        <f t="shared" ca="1" si="112"/>
        <v>#N/A</v>
      </c>
      <c r="W219" s="406" t="e">
        <f t="shared" ca="1" si="112"/>
        <v>#N/A</v>
      </c>
      <c r="X219" s="406" t="e">
        <f t="shared" ca="1" si="112"/>
        <v>#N/A</v>
      </c>
      <c r="Y219" s="406" t="e">
        <f t="shared" ca="1" si="112"/>
        <v>#N/A</v>
      </c>
      <c r="Z219" s="406" t="e">
        <f t="shared" ca="1" si="112"/>
        <v>#N/A</v>
      </c>
      <c r="AA219" s="406" t="e">
        <f t="shared" ca="1" si="112"/>
        <v>#N/A</v>
      </c>
      <c r="AB219" s="406" t="e">
        <f t="shared" ca="1" si="112"/>
        <v>#N/A</v>
      </c>
      <c r="AC219" s="406" t="e">
        <f t="shared" ca="1" si="112"/>
        <v>#N/A</v>
      </c>
      <c r="AD219" s="406" t="e">
        <f t="shared" ca="1" si="112"/>
        <v>#N/A</v>
      </c>
      <c r="AE219" s="406" t="e">
        <f t="shared" ca="1" si="112"/>
        <v>#N/A</v>
      </c>
      <c r="AF219" s="406" t="e">
        <f t="shared" ca="1" si="112"/>
        <v>#N/A</v>
      </c>
      <c r="AG219" s="406" t="e">
        <f t="shared" ca="1" si="112"/>
        <v>#N/A</v>
      </c>
      <c r="AH219" s="406" t="e">
        <f t="shared" ca="1" si="112"/>
        <v>#N/A</v>
      </c>
      <c r="AI219" s="406" t="e">
        <f t="shared" ca="1" si="112"/>
        <v>#N/A</v>
      </c>
      <c r="AJ219" s="406" t="e">
        <f t="shared" ca="1" si="115"/>
        <v>#N/A</v>
      </c>
      <c r="AK219" s="406" t="e">
        <f t="shared" ca="1" si="115"/>
        <v>#N/A</v>
      </c>
      <c r="AL219" s="406" t="e">
        <f t="shared" ca="1" si="115"/>
        <v>#N/A</v>
      </c>
      <c r="AM219" s="406" t="e">
        <f t="shared" ca="1" si="115"/>
        <v>#N/A</v>
      </c>
      <c r="AN219" s="406" t="e">
        <f t="shared" ca="1" si="115"/>
        <v>#N/A</v>
      </c>
      <c r="AO219" s="406" t="e">
        <f t="shared" ca="1" si="115"/>
        <v>#N/A</v>
      </c>
      <c r="AP219" s="406" t="e">
        <f t="shared" ca="1" si="115"/>
        <v>#N/A</v>
      </c>
      <c r="AQ219" s="406" t="e">
        <f t="shared" ca="1" si="115"/>
        <v>#N/A</v>
      </c>
      <c r="AR219" s="406" t="e">
        <f t="shared" ca="1" si="114"/>
        <v>#N/A</v>
      </c>
      <c r="AS219" s="406" t="e">
        <f t="shared" ca="1" si="114"/>
        <v>#N/A</v>
      </c>
      <c r="AT219" s="406" t="e">
        <f t="shared" ca="1" si="114"/>
        <v>#N/A</v>
      </c>
      <c r="AU219" s="406" t="e">
        <f t="shared" ca="1" si="114"/>
        <v>#N/A</v>
      </c>
      <c r="AV219" s="406" t="e">
        <f t="shared" ca="1" si="114"/>
        <v>#N/A</v>
      </c>
      <c r="AW219" s="406" t="e">
        <f t="shared" ca="1" si="114"/>
        <v>#N/A</v>
      </c>
      <c r="AX219" s="406" t="e">
        <f t="shared" ca="1" si="114"/>
        <v>#N/A</v>
      </c>
      <c r="AY219" s="406" t="e">
        <f t="shared" ca="1" si="114"/>
        <v>#N/A</v>
      </c>
      <c r="AZ219" s="406" t="e">
        <f t="shared" ca="1" si="114"/>
        <v>#N/A</v>
      </c>
      <c r="BA219" s="406" t="e">
        <f t="shared" ca="1" si="114"/>
        <v>#N/A</v>
      </c>
      <c r="BB219" s="408"/>
      <c r="BC219" s="408" t="str">
        <f t="shared" ca="1" si="109"/>
        <v/>
      </c>
      <c r="BD219" s="408" t="s">
        <v>1278</v>
      </c>
      <c r="BE219" s="408" t="s">
        <v>1278</v>
      </c>
    </row>
    <row r="220" spans="3:57" x14ac:dyDescent="0.25">
      <c r="C220" s="406">
        <f t="shared" si="110"/>
        <v>218</v>
      </c>
      <c r="D220" s="406" t="e">
        <f t="shared" ca="1" si="111"/>
        <v>#N/A</v>
      </c>
      <c r="E220" s="406" t="e">
        <f t="shared" ca="1" si="111"/>
        <v>#N/A</v>
      </c>
      <c r="F220" s="406" t="e">
        <f t="shared" ca="1" si="111"/>
        <v>#N/A</v>
      </c>
      <c r="G220" s="406" t="e">
        <f t="shared" ca="1" si="111"/>
        <v>#N/A</v>
      </c>
      <c r="H220" s="406" t="e">
        <f t="shared" ca="1" si="111"/>
        <v>#N/A</v>
      </c>
      <c r="I220" s="406" t="e">
        <f t="shared" ca="1" si="111"/>
        <v>#N/A</v>
      </c>
      <c r="J220" s="406" t="e">
        <f t="shared" ca="1" si="111"/>
        <v>#N/A</v>
      </c>
      <c r="K220" s="406" t="e">
        <f t="shared" ca="1" si="111"/>
        <v>#N/A</v>
      </c>
      <c r="L220" s="406" t="e">
        <f t="shared" ca="1" si="111"/>
        <v>#N/A</v>
      </c>
      <c r="M220" s="406" t="e">
        <f t="shared" ca="1" si="111"/>
        <v>#N/A</v>
      </c>
      <c r="N220" s="406" t="e">
        <f t="shared" ca="1" si="111"/>
        <v>#N/A</v>
      </c>
      <c r="O220" s="406" t="e">
        <f t="shared" ca="1" si="111"/>
        <v>#N/A</v>
      </c>
      <c r="P220" s="406" t="e">
        <f t="shared" ca="1" si="111"/>
        <v>#N/A</v>
      </c>
      <c r="Q220" s="406" t="e">
        <f t="shared" ca="1" si="111"/>
        <v>#N/A</v>
      </c>
      <c r="R220" s="406" t="e">
        <f t="shared" ca="1" si="111"/>
        <v>#N/A</v>
      </c>
      <c r="S220" s="406" t="e">
        <f t="shared" ca="1" si="111"/>
        <v>#N/A</v>
      </c>
      <c r="T220" s="406" t="e">
        <f t="shared" ca="1" si="112"/>
        <v>#N/A</v>
      </c>
      <c r="U220" s="406" t="e">
        <f t="shared" ca="1" si="112"/>
        <v>#N/A</v>
      </c>
      <c r="V220" s="406" t="e">
        <f t="shared" ca="1" si="112"/>
        <v>#N/A</v>
      </c>
      <c r="W220" s="406" t="e">
        <f t="shared" ca="1" si="112"/>
        <v>#N/A</v>
      </c>
      <c r="X220" s="406" t="e">
        <f t="shared" ca="1" si="112"/>
        <v>#N/A</v>
      </c>
      <c r="Y220" s="406" t="e">
        <f t="shared" ca="1" si="112"/>
        <v>#N/A</v>
      </c>
      <c r="Z220" s="406" t="e">
        <f t="shared" ca="1" si="112"/>
        <v>#N/A</v>
      </c>
      <c r="AA220" s="406" t="e">
        <f t="shared" ca="1" si="112"/>
        <v>#N/A</v>
      </c>
      <c r="AB220" s="406" t="e">
        <f t="shared" ca="1" si="112"/>
        <v>#N/A</v>
      </c>
      <c r="AC220" s="406" t="e">
        <f t="shared" ca="1" si="112"/>
        <v>#N/A</v>
      </c>
      <c r="AD220" s="406" t="e">
        <f t="shared" ca="1" si="112"/>
        <v>#N/A</v>
      </c>
      <c r="AE220" s="406" t="e">
        <f t="shared" ca="1" si="112"/>
        <v>#N/A</v>
      </c>
      <c r="AF220" s="406" t="e">
        <f t="shared" ca="1" si="112"/>
        <v>#N/A</v>
      </c>
      <c r="AG220" s="406" t="e">
        <f t="shared" ca="1" si="112"/>
        <v>#N/A</v>
      </c>
      <c r="AH220" s="406" t="e">
        <f t="shared" ca="1" si="112"/>
        <v>#N/A</v>
      </c>
      <c r="AI220" s="406" t="e">
        <f t="shared" ca="1" si="112"/>
        <v>#N/A</v>
      </c>
      <c r="AJ220" s="406" t="e">
        <f t="shared" ca="1" si="115"/>
        <v>#N/A</v>
      </c>
      <c r="AK220" s="406" t="e">
        <f t="shared" ca="1" si="115"/>
        <v>#N/A</v>
      </c>
      <c r="AL220" s="406" t="e">
        <f t="shared" ca="1" si="115"/>
        <v>#N/A</v>
      </c>
      <c r="AM220" s="406" t="e">
        <f t="shared" ca="1" si="115"/>
        <v>#N/A</v>
      </c>
      <c r="AN220" s="406" t="e">
        <f t="shared" ca="1" si="115"/>
        <v>#N/A</v>
      </c>
      <c r="AO220" s="406" t="e">
        <f t="shared" ca="1" si="115"/>
        <v>#N/A</v>
      </c>
      <c r="AP220" s="406" t="e">
        <f t="shared" ca="1" si="115"/>
        <v>#N/A</v>
      </c>
      <c r="AQ220" s="406" t="e">
        <f t="shared" ca="1" si="115"/>
        <v>#N/A</v>
      </c>
      <c r="AR220" s="406" t="e">
        <f t="shared" ca="1" si="114"/>
        <v>#N/A</v>
      </c>
      <c r="AS220" s="406" t="e">
        <f t="shared" ca="1" si="114"/>
        <v>#N/A</v>
      </c>
      <c r="AT220" s="406" t="e">
        <f t="shared" ca="1" si="114"/>
        <v>#N/A</v>
      </c>
      <c r="AU220" s="406" t="e">
        <f t="shared" ca="1" si="114"/>
        <v>#N/A</v>
      </c>
      <c r="AV220" s="406" t="e">
        <f t="shared" ca="1" si="114"/>
        <v>#N/A</v>
      </c>
      <c r="AW220" s="406" t="e">
        <f t="shared" ca="1" si="114"/>
        <v>#N/A</v>
      </c>
      <c r="AX220" s="406" t="e">
        <f t="shared" ca="1" si="114"/>
        <v>#N/A</v>
      </c>
      <c r="AY220" s="406" t="e">
        <f t="shared" ca="1" si="114"/>
        <v>#N/A</v>
      </c>
      <c r="AZ220" s="406" t="e">
        <f t="shared" ca="1" si="114"/>
        <v>#N/A</v>
      </c>
      <c r="BA220" s="406" t="e">
        <f t="shared" ca="1" si="114"/>
        <v>#N/A</v>
      </c>
      <c r="BB220" s="408"/>
      <c r="BC220" s="408" t="str">
        <f t="shared" ca="1" si="109"/>
        <v/>
      </c>
      <c r="BD220" s="408" t="s">
        <v>1278</v>
      </c>
      <c r="BE220" s="408" t="s">
        <v>1278</v>
      </c>
    </row>
    <row r="221" spans="3:57" x14ac:dyDescent="0.25">
      <c r="C221" s="406">
        <f t="shared" si="110"/>
        <v>219</v>
      </c>
      <c r="D221" s="406" t="e">
        <f t="shared" ca="1" si="111"/>
        <v>#N/A</v>
      </c>
      <c r="E221" s="406" t="e">
        <f t="shared" ca="1" si="111"/>
        <v>#N/A</v>
      </c>
      <c r="F221" s="406" t="e">
        <f t="shared" ca="1" si="111"/>
        <v>#N/A</v>
      </c>
      <c r="G221" s="406" t="e">
        <f t="shared" ca="1" si="111"/>
        <v>#N/A</v>
      </c>
      <c r="H221" s="406" t="e">
        <f t="shared" ca="1" si="111"/>
        <v>#N/A</v>
      </c>
      <c r="I221" s="406" t="e">
        <f t="shared" ca="1" si="111"/>
        <v>#N/A</v>
      </c>
      <c r="J221" s="406" t="e">
        <f t="shared" ca="1" si="111"/>
        <v>#N/A</v>
      </c>
      <c r="K221" s="406" t="e">
        <f t="shared" ca="1" si="111"/>
        <v>#N/A</v>
      </c>
      <c r="L221" s="406" t="e">
        <f t="shared" ca="1" si="111"/>
        <v>#N/A</v>
      </c>
      <c r="M221" s="406" t="e">
        <f t="shared" ca="1" si="111"/>
        <v>#N/A</v>
      </c>
      <c r="N221" s="406" t="e">
        <f t="shared" ca="1" si="111"/>
        <v>#N/A</v>
      </c>
      <c r="O221" s="406" t="e">
        <f t="shared" ca="1" si="111"/>
        <v>#N/A</v>
      </c>
      <c r="P221" s="406" t="e">
        <f t="shared" ca="1" si="111"/>
        <v>#N/A</v>
      </c>
      <c r="Q221" s="406" t="e">
        <f t="shared" ca="1" si="111"/>
        <v>#N/A</v>
      </c>
      <c r="R221" s="406" t="e">
        <f t="shared" ca="1" si="111"/>
        <v>#N/A</v>
      </c>
      <c r="S221" s="406" t="e">
        <f t="shared" ca="1" si="111"/>
        <v>#N/A</v>
      </c>
      <c r="T221" s="406" t="e">
        <f t="shared" ca="1" si="112"/>
        <v>#N/A</v>
      </c>
      <c r="U221" s="406" t="e">
        <f t="shared" ca="1" si="112"/>
        <v>#N/A</v>
      </c>
      <c r="V221" s="406" t="e">
        <f t="shared" ca="1" si="112"/>
        <v>#N/A</v>
      </c>
      <c r="W221" s="406" t="e">
        <f t="shared" ca="1" si="112"/>
        <v>#N/A</v>
      </c>
      <c r="X221" s="406" t="e">
        <f t="shared" ca="1" si="112"/>
        <v>#N/A</v>
      </c>
      <c r="Y221" s="406" t="e">
        <f t="shared" ca="1" si="112"/>
        <v>#N/A</v>
      </c>
      <c r="Z221" s="406" t="e">
        <f t="shared" ca="1" si="112"/>
        <v>#N/A</v>
      </c>
      <c r="AA221" s="406" t="e">
        <f t="shared" ca="1" si="112"/>
        <v>#N/A</v>
      </c>
      <c r="AB221" s="406" t="e">
        <f t="shared" ca="1" si="112"/>
        <v>#N/A</v>
      </c>
      <c r="AC221" s="406" t="e">
        <f t="shared" ca="1" si="112"/>
        <v>#N/A</v>
      </c>
      <c r="AD221" s="406" t="e">
        <f t="shared" ca="1" si="112"/>
        <v>#N/A</v>
      </c>
      <c r="AE221" s="406" t="e">
        <f t="shared" ca="1" si="112"/>
        <v>#N/A</v>
      </c>
      <c r="AF221" s="406" t="e">
        <f t="shared" ca="1" si="112"/>
        <v>#N/A</v>
      </c>
      <c r="AG221" s="406" t="e">
        <f t="shared" ca="1" si="112"/>
        <v>#N/A</v>
      </c>
      <c r="AH221" s="406" t="e">
        <f t="shared" ca="1" si="112"/>
        <v>#N/A</v>
      </c>
      <c r="AI221" s="406" t="e">
        <f t="shared" ca="1" si="112"/>
        <v>#N/A</v>
      </c>
      <c r="AJ221" s="406" t="e">
        <f t="shared" ca="1" si="115"/>
        <v>#N/A</v>
      </c>
      <c r="AK221" s="406" t="e">
        <f t="shared" ca="1" si="115"/>
        <v>#N/A</v>
      </c>
      <c r="AL221" s="406" t="e">
        <f t="shared" ca="1" si="115"/>
        <v>#N/A</v>
      </c>
      <c r="AM221" s="406" t="e">
        <f t="shared" ca="1" si="115"/>
        <v>#N/A</v>
      </c>
      <c r="AN221" s="406" t="e">
        <f t="shared" ca="1" si="115"/>
        <v>#N/A</v>
      </c>
      <c r="AO221" s="406" t="e">
        <f t="shared" ca="1" si="115"/>
        <v>#N/A</v>
      </c>
      <c r="AP221" s="406" t="e">
        <f t="shared" ca="1" si="115"/>
        <v>#N/A</v>
      </c>
      <c r="AQ221" s="406" t="e">
        <f t="shared" ca="1" si="115"/>
        <v>#N/A</v>
      </c>
      <c r="AR221" s="406" t="e">
        <f t="shared" ca="1" si="114"/>
        <v>#N/A</v>
      </c>
      <c r="AS221" s="406" t="e">
        <f t="shared" ca="1" si="114"/>
        <v>#N/A</v>
      </c>
      <c r="AT221" s="406" t="e">
        <f t="shared" ca="1" si="114"/>
        <v>#N/A</v>
      </c>
      <c r="AU221" s="406" t="e">
        <f t="shared" ca="1" si="114"/>
        <v>#N/A</v>
      </c>
      <c r="AV221" s="406" t="e">
        <f t="shared" ca="1" si="114"/>
        <v>#N/A</v>
      </c>
      <c r="AW221" s="406" t="e">
        <f t="shared" ca="1" si="114"/>
        <v>#N/A</v>
      </c>
      <c r="AX221" s="406" t="e">
        <f t="shared" ca="1" si="114"/>
        <v>#N/A</v>
      </c>
      <c r="AY221" s="406" t="e">
        <f t="shared" ca="1" si="114"/>
        <v>#N/A</v>
      </c>
      <c r="AZ221" s="406" t="e">
        <f t="shared" ca="1" si="114"/>
        <v>#N/A</v>
      </c>
      <c r="BA221" s="406" t="e">
        <f t="shared" ca="1" si="114"/>
        <v>#N/A</v>
      </c>
      <c r="BB221" s="408"/>
      <c r="BC221" s="408" t="str">
        <f t="shared" ca="1" si="109"/>
        <v/>
      </c>
      <c r="BD221" s="408" t="s">
        <v>1278</v>
      </c>
      <c r="BE221" s="408" t="s">
        <v>1278</v>
      </c>
    </row>
    <row r="222" spans="3:57" x14ac:dyDescent="0.25">
      <c r="C222" s="406">
        <f t="shared" si="110"/>
        <v>220</v>
      </c>
      <c r="D222" s="406" t="e">
        <f t="shared" ca="1" si="111"/>
        <v>#N/A</v>
      </c>
      <c r="E222" s="406" t="e">
        <f t="shared" ca="1" si="111"/>
        <v>#N/A</v>
      </c>
      <c r="F222" s="406" t="e">
        <f t="shared" ca="1" si="111"/>
        <v>#N/A</v>
      </c>
      <c r="G222" s="406" t="e">
        <f t="shared" ca="1" si="111"/>
        <v>#N/A</v>
      </c>
      <c r="H222" s="406" t="e">
        <f t="shared" ca="1" si="111"/>
        <v>#N/A</v>
      </c>
      <c r="I222" s="406" t="e">
        <f t="shared" ca="1" si="111"/>
        <v>#N/A</v>
      </c>
      <c r="J222" s="406" t="e">
        <f t="shared" ca="1" si="111"/>
        <v>#N/A</v>
      </c>
      <c r="K222" s="406" t="e">
        <f t="shared" ca="1" si="111"/>
        <v>#N/A</v>
      </c>
      <c r="L222" s="406" t="e">
        <f t="shared" ca="1" si="111"/>
        <v>#N/A</v>
      </c>
      <c r="M222" s="406" t="e">
        <f t="shared" ca="1" si="111"/>
        <v>#N/A</v>
      </c>
      <c r="N222" s="406" t="e">
        <f t="shared" ca="1" si="111"/>
        <v>#N/A</v>
      </c>
      <c r="O222" s="406" t="e">
        <f t="shared" ca="1" si="111"/>
        <v>#N/A</v>
      </c>
      <c r="P222" s="406" t="e">
        <f t="shared" ca="1" si="111"/>
        <v>#N/A</v>
      </c>
      <c r="Q222" s="406" t="e">
        <f t="shared" ca="1" si="111"/>
        <v>#N/A</v>
      </c>
      <c r="R222" s="406" t="e">
        <f t="shared" ca="1" si="111"/>
        <v>#N/A</v>
      </c>
      <c r="S222" s="406" t="e">
        <f t="shared" ca="1" si="111"/>
        <v>#N/A</v>
      </c>
      <c r="T222" s="406" t="e">
        <f t="shared" ca="1" si="112"/>
        <v>#N/A</v>
      </c>
      <c r="U222" s="406" t="e">
        <f t="shared" ca="1" si="112"/>
        <v>#N/A</v>
      </c>
      <c r="V222" s="406" t="e">
        <f t="shared" ca="1" si="112"/>
        <v>#N/A</v>
      </c>
      <c r="W222" s="406" t="e">
        <f t="shared" ca="1" si="112"/>
        <v>#N/A</v>
      </c>
      <c r="X222" s="406" t="e">
        <f t="shared" ca="1" si="112"/>
        <v>#N/A</v>
      </c>
      <c r="Y222" s="406" t="e">
        <f t="shared" ca="1" si="112"/>
        <v>#N/A</v>
      </c>
      <c r="Z222" s="406" t="e">
        <f t="shared" ca="1" si="112"/>
        <v>#N/A</v>
      </c>
      <c r="AA222" s="406" t="e">
        <f t="shared" ca="1" si="112"/>
        <v>#N/A</v>
      </c>
      <c r="AB222" s="406" t="e">
        <f t="shared" ca="1" si="112"/>
        <v>#N/A</v>
      </c>
      <c r="AC222" s="406" t="e">
        <f t="shared" ca="1" si="112"/>
        <v>#N/A</v>
      </c>
      <c r="AD222" s="406" t="e">
        <f t="shared" ca="1" si="112"/>
        <v>#N/A</v>
      </c>
      <c r="AE222" s="406" t="e">
        <f t="shared" ca="1" si="112"/>
        <v>#N/A</v>
      </c>
      <c r="AF222" s="406" t="e">
        <f t="shared" ca="1" si="112"/>
        <v>#N/A</v>
      </c>
      <c r="AG222" s="406" t="e">
        <f t="shared" ca="1" si="112"/>
        <v>#N/A</v>
      </c>
      <c r="AH222" s="406" t="e">
        <f t="shared" ca="1" si="112"/>
        <v>#N/A</v>
      </c>
      <c r="AI222" s="406" t="e">
        <f t="shared" ca="1" si="112"/>
        <v>#N/A</v>
      </c>
      <c r="AJ222" s="406" t="e">
        <f t="shared" ca="1" si="115"/>
        <v>#N/A</v>
      </c>
      <c r="AK222" s="406" t="e">
        <f t="shared" ca="1" si="115"/>
        <v>#N/A</v>
      </c>
      <c r="AL222" s="406" t="e">
        <f t="shared" ca="1" si="115"/>
        <v>#N/A</v>
      </c>
      <c r="AM222" s="406" t="e">
        <f t="shared" ca="1" si="115"/>
        <v>#N/A</v>
      </c>
      <c r="AN222" s="406" t="e">
        <f t="shared" ca="1" si="115"/>
        <v>#N/A</v>
      </c>
      <c r="AO222" s="406" t="e">
        <f t="shared" ca="1" si="115"/>
        <v>#N/A</v>
      </c>
      <c r="AP222" s="406" t="e">
        <f t="shared" ca="1" si="115"/>
        <v>#N/A</v>
      </c>
      <c r="AQ222" s="406" t="e">
        <f t="shared" ca="1" si="115"/>
        <v>#N/A</v>
      </c>
      <c r="AR222" s="406" t="e">
        <f t="shared" ca="1" si="114"/>
        <v>#N/A</v>
      </c>
      <c r="AS222" s="406" t="e">
        <f t="shared" ca="1" si="114"/>
        <v>#N/A</v>
      </c>
      <c r="AT222" s="406" t="e">
        <f t="shared" ca="1" si="114"/>
        <v>#N/A</v>
      </c>
      <c r="AU222" s="406" t="e">
        <f t="shared" ca="1" si="114"/>
        <v>#N/A</v>
      </c>
      <c r="AV222" s="406" t="e">
        <f t="shared" ca="1" si="114"/>
        <v>#N/A</v>
      </c>
      <c r="AW222" s="406" t="e">
        <f t="shared" ca="1" si="114"/>
        <v>#N/A</v>
      </c>
      <c r="AX222" s="406" t="e">
        <f t="shared" ca="1" si="114"/>
        <v>#N/A</v>
      </c>
      <c r="AY222" s="406" t="e">
        <f t="shared" ca="1" si="114"/>
        <v>#N/A</v>
      </c>
      <c r="AZ222" s="406" t="e">
        <f t="shared" ca="1" si="114"/>
        <v>#N/A</v>
      </c>
      <c r="BA222" s="406" t="e">
        <f t="shared" ca="1" si="114"/>
        <v>#N/A</v>
      </c>
      <c r="BB222" s="408"/>
      <c r="BC222" s="408" t="str">
        <f t="shared" ca="1" si="109"/>
        <v/>
      </c>
      <c r="BD222" s="408" t="s">
        <v>1278</v>
      </c>
      <c r="BE222" s="408" t="s">
        <v>1278</v>
      </c>
    </row>
    <row r="223" spans="3:57" x14ac:dyDescent="0.25">
      <c r="C223" s="406">
        <f t="shared" si="110"/>
        <v>221</v>
      </c>
      <c r="D223" s="406" t="e">
        <f t="shared" ca="1" si="111"/>
        <v>#N/A</v>
      </c>
      <c r="E223" s="406" t="e">
        <f t="shared" ca="1" si="111"/>
        <v>#N/A</v>
      </c>
      <c r="F223" s="406" t="e">
        <f t="shared" ca="1" si="111"/>
        <v>#N/A</v>
      </c>
      <c r="G223" s="406" t="e">
        <f t="shared" ca="1" si="111"/>
        <v>#N/A</v>
      </c>
      <c r="H223" s="406" t="e">
        <f t="shared" ca="1" si="111"/>
        <v>#N/A</v>
      </c>
      <c r="I223" s="406" t="e">
        <f t="shared" ca="1" si="111"/>
        <v>#N/A</v>
      </c>
      <c r="J223" s="406" t="e">
        <f t="shared" ca="1" si="111"/>
        <v>#N/A</v>
      </c>
      <c r="K223" s="406" t="e">
        <f t="shared" ca="1" si="111"/>
        <v>#N/A</v>
      </c>
      <c r="L223" s="406" t="e">
        <f t="shared" ca="1" si="111"/>
        <v>#N/A</v>
      </c>
      <c r="M223" s="406" t="e">
        <f t="shared" ca="1" si="111"/>
        <v>#N/A</v>
      </c>
      <c r="N223" s="406" t="e">
        <f t="shared" ca="1" si="111"/>
        <v>#N/A</v>
      </c>
      <c r="O223" s="406" t="e">
        <f t="shared" ca="1" si="111"/>
        <v>#N/A</v>
      </c>
      <c r="P223" s="406" t="e">
        <f t="shared" ca="1" si="111"/>
        <v>#N/A</v>
      </c>
      <c r="Q223" s="406" t="e">
        <f t="shared" ca="1" si="111"/>
        <v>#N/A</v>
      </c>
      <c r="R223" s="406" t="e">
        <f t="shared" ca="1" si="111"/>
        <v>#N/A</v>
      </c>
      <c r="S223" s="406" t="e">
        <f t="shared" ref="N223:AC239" ca="1" si="116">TRIM(INDIRECT("'" &amp; "TNX RTF" &amp; "'!" &amp; ADDRESS($A$3+$C223,S$1)))</f>
        <v>#N/A</v>
      </c>
      <c r="T223" s="406" t="e">
        <f t="shared" ca="1" si="116"/>
        <v>#N/A</v>
      </c>
      <c r="U223" s="406" t="e">
        <f t="shared" ca="1" si="116"/>
        <v>#N/A</v>
      </c>
      <c r="V223" s="406" t="e">
        <f t="shared" ca="1" si="116"/>
        <v>#N/A</v>
      </c>
      <c r="W223" s="406" t="e">
        <f t="shared" ca="1" si="116"/>
        <v>#N/A</v>
      </c>
      <c r="X223" s="406" t="e">
        <f t="shared" ca="1" si="112"/>
        <v>#N/A</v>
      </c>
      <c r="Y223" s="406" t="e">
        <f t="shared" ca="1" si="112"/>
        <v>#N/A</v>
      </c>
      <c r="Z223" s="406" t="e">
        <f t="shared" ca="1" si="112"/>
        <v>#N/A</v>
      </c>
      <c r="AA223" s="406" t="e">
        <f t="shared" ca="1" si="112"/>
        <v>#N/A</v>
      </c>
      <c r="AB223" s="406" t="e">
        <f t="shared" ca="1" si="112"/>
        <v>#N/A</v>
      </c>
      <c r="AC223" s="406" t="e">
        <f t="shared" ca="1" si="112"/>
        <v>#N/A</v>
      </c>
      <c r="AD223" s="406" t="e">
        <f t="shared" ca="1" si="112"/>
        <v>#N/A</v>
      </c>
      <c r="AE223" s="406" t="e">
        <f t="shared" ca="1" si="112"/>
        <v>#N/A</v>
      </c>
      <c r="AF223" s="406" t="e">
        <f t="shared" ca="1" si="112"/>
        <v>#N/A</v>
      </c>
      <c r="AG223" s="406" t="e">
        <f t="shared" ca="1" si="112"/>
        <v>#N/A</v>
      </c>
      <c r="AH223" s="406" t="e">
        <f t="shared" ca="1" si="112"/>
        <v>#N/A</v>
      </c>
      <c r="AI223" s="406" t="e">
        <f t="shared" ca="1" si="112"/>
        <v>#N/A</v>
      </c>
      <c r="AJ223" s="406" t="e">
        <f t="shared" ca="1" si="115"/>
        <v>#N/A</v>
      </c>
      <c r="AK223" s="406" t="e">
        <f t="shared" ca="1" si="115"/>
        <v>#N/A</v>
      </c>
      <c r="AL223" s="406" t="e">
        <f t="shared" ca="1" si="115"/>
        <v>#N/A</v>
      </c>
      <c r="AM223" s="406" t="e">
        <f t="shared" ca="1" si="115"/>
        <v>#N/A</v>
      </c>
      <c r="AN223" s="406" t="e">
        <f t="shared" ca="1" si="115"/>
        <v>#N/A</v>
      </c>
      <c r="AO223" s="406" t="e">
        <f t="shared" ca="1" si="115"/>
        <v>#N/A</v>
      </c>
      <c r="AP223" s="406" t="e">
        <f t="shared" ca="1" si="115"/>
        <v>#N/A</v>
      </c>
      <c r="AQ223" s="406" t="e">
        <f t="shared" ca="1" si="115"/>
        <v>#N/A</v>
      </c>
      <c r="AR223" s="406" t="e">
        <f t="shared" ca="1" si="114"/>
        <v>#N/A</v>
      </c>
      <c r="AS223" s="406" t="e">
        <f t="shared" ca="1" si="114"/>
        <v>#N/A</v>
      </c>
      <c r="AT223" s="406" t="e">
        <f t="shared" ca="1" si="114"/>
        <v>#N/A</v>
      </c>
      <c r="AU223" s="406" t="e">
        <f t="shared" ca="1" si="114"/>
        <v>#N/A</v>
      </c>
      <c r="AV223" s="406" t="e">
        <f t="shared" ca="1" si="114"/>
        <v>#N/A</v>
      </c>
      <c r="AW223" s="406" t="e">
        <f t="shared" ca="1" si="114"/>
        <v>#N/A</v>
      </c>
      <c r="AX223" s="406" t="e">
        <f t="shared" ca="1" si="114"/>
        <v>#N/A</v>
      </c>
      <c r="AY223" s="406" t="e">
        <f t="shared" ca="1" si="114"/>
        <v>#N/A</v>
      </c>
      <c r="AZ223" s="406" t="e">
        <f t="shared" ca="1" si="114"/>
        <v>#N/A</v>
      </c>
      <c r="BA223" s="406" t="e">
        <f t="shared" ca="1" si="114"/>
        <v>#N/A</v>
      </c>
      <c r="BB223" s="408"/>
      <c r="BC223" s="408" t="str">
        <f t="shared" ca="1" si="109"/>
        <v/>
      </c>
      <c r="BD223" s="408" t="s">
        <v>1278</v>
      </c>
      <c r="BE223" s="408" t="s">
        <v>1278</v>
      </c>
    </row>
    <row r="224" spans="3:57" x14ac:dyDescent="0.25">
      <c r="C224" s="406">
        <f t="shared" si="110"/>
        <v>222</v>
      </c>
      <c r="D224" s="406" t="e">
        <f t="shared" ref="D224:S245" ca="1" si="117">TRIM(INDIRECT("'" &amp; "TNX RTF" &amp; "'!" &amp; ADDRESS($A$3+$C224,D$1)))</f>
        <v>#N/A</v>
      </c>
      <c r="E224" s="406" t="e">
        <f t="shared" ca="1" si="117"/>
        <v>#N/A</v>
      </c>
      <c r="F224" s="406" t="e">
        <f t="shared" ca="1" si="117"/>
        <v>#N/A</v>
      </c>
      <c r="G224" s="406" t="e">
        <f t="shared" ca="1" si="117"/>
        <v>#N/A</v>
      </c>
      <c r="H224" s="406" t="e">
        <f t="shared" ca="1" si="117"/>
        <v>#N/A</v>
      </c>
      <c r="I224" s="406" t="e">
        <f t="shared" ca="1" si="117"/>
        <v>#N/A</v>
      </c>
      <c r="J224" s="406" t="e">
        <f t="shared" ca="1" si="117"/>
        <v>#N/A</v>
      </c>
      <c r="K224" s="406" t="e">
        <f t="shared" ca="1" si="117"/>
        <v>#N/A</v>
      </c>
      <c r="L224" s="406" t="e">
        <f t="shared" ca="1" si="117"/>
        <v>#N/A</v>
      </c>
      <c r="M224" s="406" t="e">
        <f t="shared" ca="1" si="117"/>
        <v>#N/A</v>
      </c>
      <c r="N224" s="406" t="e">
        <f t="shared" ca="1" si="116"/>
        <v>#N/A</v>
      </c>
      <c r="O224" s="406" t="e">
        <f t="shared" ca="1" si="116"/>
        <v>#N/A</v>
      </c>
      <c r="P224" s="406" t="e">
        <f t="shared" ca="1" si="116"/>
        <v>#N/A</v>
      </c>
      <c r="Q224" s="406" t="e">
        <f t="shared" ca="1" si="116"/>
        <v>#N/A</v>
      </c>
      <c r="R224" s="406" t="e">
        <f t="shared" ca="1" si="116"/>
        <v>#N/A</v>
      </c>
      <c r="S224" s="406" t="e">
        <f t="shared" ca="1" si="116"/>
        <v>#N/A</v>
      </c>
      <c r="T224" s="406" t="e">
        <f t="shared" ca="1" si="116"/>
        <v>#N/A</v>
      </c>
      <c r="U224" s="406" t="e">
        <f t="shared" ca="1" si="116"/>
        <v>#N/A</v>
      </c>
      <c r="V224" s="406" t="e">
        <f t="shared" ca="1" si="116"/>
        <v>#N/A</v>
      </c>
      <c r="W224" s="406" t="e">
        <f t="shared" ca="1" si="116"/>
        <v>#N/A</v>
      </c>
      <c r="X224" s="406" t="e">
        <f t="shared" ca="1" si="112"/>
        <v>#N/A</v>
      </c>
      <c r="Y224" s="406" t="e">
        <f t="shared" ca="1" si="112"/>
        <v>#N/A</v>
      </c>
      <c r="Z224" s="406" t="e">
        <f t="shared" ca="1" si="112"/>
        <v>#N/A</v>
      </c>
      <c r="AA224" s="406" t="e">
        <f t="shared" ref="AA224:AP244" ca="1" si="118">TRIM(INDIRECT("'" &amp; "TNX RTF" &amp; "'!" &amp; ADDRESS($A$3+$C224,AA$1)))</f>
        <v>#N/A</v>
      </c>
      <c r="AB224" s="406" t="e">
        <f t="shared" ca="1" si="118"/>
        <v>#N/A</v>
      </c>
      <c r="AC224" s="406" t="e">
        <f t="shared" ca="1" si="118"/>
        <v>#N/A</v>
      </c>
      <c r="AD224" s="406" t="e">
        <f t="shared" ca="1" si="118"/>
        <v>#N/A</v>
      </c>
      <c r="AE224" s="406" t="e">
        <f t="shared" ca="1" si="118"/>
        <v>#N/A</v>
      </c>
      <c r="AF224" s="406" t="e">
        <f t="shared" ca="1" si="118"/>
        <v>#N/A</v>
      </c>
      <c r="AG224" s="406" t="e">
        <f t="shared" ca="1" si="118"/>
        <v>#N/A</v>
      </c>
      <c r="AH224" s="406" t="e">
        <f t="shared" ca="1" si="118"/>
        <v>#N/A</v>
      </c>
      <c r="AI224" s="406" t="e">
        <f t="shared" ca="1" si="118"/>
        <v>#N/A</v>
      </c>
      <c r="AJ224" s="406" t="e">
        <f t="shared" ca="1" si="118"/>
        <v>#N/A</v>
      </c>
      <c r="AK224" s="406" t="e">
        <f t="shared" ca="1" si="118"/>
        <v>#N/A</v>
      </c>
      <c r="AL224" s="406" t="e">
        <f t="shared" ca="1" si="118"/>
        <v>#N/A</v>
      </c>
      <c r="AM224" s="406" t="e">
        <f t="shared" ca="1" si="118"/>
        <v>#N/A</v>
      </c>
      <c r="AN224" s="406" t="e">
        <f t="shared" ca="1" si="118"/>
        <v>#N/A</v>
      </c>
      <c r="AO224" s="406" t="e">
        <f t="shared" ca="1" si="118"/>
        <v>#N/A</v>
      </c>
      <c r="AP224" s="406" t="e">
        <f t="shared" ca="1" si="118"/>
        <v>#N/A</v>
      </c>
      <c r="AQ224" s="406" t="e">
        <f t="shared" ref="AQ224:AQ243" ca="1" si="119">TRIM(INDIRECT("'" &amp; "TNX RTF" &amp; "'!" &amp; ADDRESS($A$3+$C224,AQ$1)))</f>
        <v>#N/A</v>
      </c>
      <c r="AR224" s="406" t="e">
        <f t="shared" ca="1" si="114"/>
        <v>#N/A</v>
      </c>
      <c r="AS224" s="406" t="e">
        <f t="shared" ca="1" si="114"/>
        <v>#N/A</v>
      </c>
      <c r="AT224" s="406" t="e">
        <f t="shared" ca="1" si="114"/>
        <v>#N/A</v>
      </c>
      <c r="AU224" s="406" t="e">
        <f t="shared" ca="1" si="114"/>
        <v>#N/A</v>
      </c>
      <c r="AV224" s="406" t="e">
        <f t="shared" ca="1" si="114"/>
        <v>#N/A</v>
      </c>
      <c r="AW224" s="406" t="e">
        <f t="shared" ca="1" si="114"/>
        <v>#N/A</v>
      </c>
      <c r="AX224" s="406" t="e">
        <f t="shared" ca="1" si="114"/>
        <v>#N/A</v>
      </c>
      <c r="AY224" s="406" t="e">
        <f t="shared" ca="1" si="114"/>
        <v>#N/A</v>
      </c>
      <c r="AZ224" s="406" t="e">
        <f t="shared" ca="1" si="114"/>
        <v>#N/A</v>
      </c>
      <c r="BA224" s="406" t="e">
        <f t="shared" ca="1" si="114"/>
        <v>#N/A</v>
      </c>
      <c r="BB224" s="408"/>
      <c r="BC224" s="408" t="str">
        <f t="shared" ca="1" si="109"/>
        <v/>
      </c>
      <c r="BD224" s="408" t="s">
        <v>1278</v>
      </c>
      <c r="BE224" s="408" t="s">
        <v>1278</v>
      </c>
    </row>
    <row r="225" spans="3:57" x14ac:dyDescent="0.25">
      <c r="C225" s="406">
        <f t="shared" si="110"/>
        <v>223</v>
      </c>
      <c r="D225" s="406" t="e">
        <f t="shared" ca="1" si="117"/>
        <v>#N/A</v>
      </c>
      <c r="E225" s="406" t="e">
        <f t="shared" ca="1" si="117"/>
        <v>#N/A</v>
      </c>
      <c r="F225" s="406" t="e">
        <f t="shared" ca="1" si="117"/>
        <v>#N/A</v>
      </c>
      <c r="G225" s="406" t="e">
        <f t="shared" ca="1" si="117"/>
        <v>#N/A</v>
      </c>
      <c r="H225" s="406" t="e">
        <f t="shared" ca="1" si="117"/>
        <v>#N/A</v>
      </c>
      <c r="I225" s="406" t="e">
        <f t="shared" ca="1" si="117"/>
        <v>#N/A</v>
      </c>
      <c r="J225" s="406" t="e">
        <f t="shared" ca="1" si="117"/>
        <v>#N/A</v>
      </c>
      <c r="K225" s="406" t="e">
        <f t="shared" ca="1" si="117"/>
        <v>#N/A</v>
      </c>
      <c r="L225" s="406" t="e">
        <f t="shared" ca="1" si="117"/>
        <v>#N/A</v>
      </c>
      <c r="M225" s="406" t="e">
        <f t="shared" ca="1" si="117"/>
        <v>#N/A</v>
      </c>
      <c r="N225" s="406" t="e">
        <f t="shared" ca="1" si="116"/>
        <v>#N/A</v>
      </c>
      <c r="O225" s="406" t="e">
        <f t="shared" ca="1" si="116"/>
        <v>#N/A</v>
      </c>
      <c r="P225" s="406" t="e">
        <f t="shared" ca="1" si="116"/>
        <v>#N/A</v>
      </c>
      <c r="Q225" s="406" t="e">
        <f t="shared" ca="1" si="116"/>
        <v>#N/A</v>
      </c>
      <c r="R225" s="406" t="e">
        <f t="shared" ca="1" si="116"/>
        <v>#N/A</v>
      </c>
      <c r="S225" s="406" t="e">
        <f t="shared" ca="1" si="116"/>
        <v>#N/A</v>
      </c>
      <c r="T225" s="406" t="e">
        <f t="shared" ca="1" si="116"/>
        <v>#N/A</v>
      </c>
      <c r="U225" s="406" t="e">
        <f t="shared" ca="1" si="116"/>
        <v>#N/A</v>
      </c>
      <c r="V225" s="406" t="e">
        <f t="shared" ca="1" si="116"/>
        <v>#N/A</v>
      </c>
      <c r="W225" s="406" t="e">
        <f t="shared" ca="1" si="116"/>
        <v>#N/A</v>
      </c>
      <c r="X225" s="406" t="e">
        <f t="shared" ca="1" si="116"/>
        <v>#N/A</v>
      </c>
      <c r="Y225" s="406" t="e">
        <f t="shared" ca="1" si="116"/>
        <v>#N/A</v>
      </c>
      <c r="Z225" s="406" t="e">
        <f t="shared" ca="1" si="116"/>
        <v>#N/A</v>
      </c>
      <c r="AA225" s="406" t="e">
        <f t="shared" ca="1" si="116"/>
        <v>#N/A</v>
      </c>
      <c r="AB225" s="406" t="e">
        <f t="shared" ca="1" si="116"/>
        <v>#N/A</v>
      </c>
      <c r="AC225" s="406" t="e">
        <f t="shared" ca="1" si="116"/>
        <v>#N/A</v>
      </c>
      <c r="AD225" s="406" t="e">
        <f t="shared" ca="1" si="118"/>
        <v>#N/A</v>
      </c>
      <c r="AE225" s="406" t="e">
        <f t="shared" ca="1" si="118"/>
        <v>#N/A</v>
      </c>
      <c r="AF225" s="406" t="e">
        <f t="shared" ca="1" si="118"/>
        <v>#N/A</v>
      </c>
      <c r="AG225" s="406" t="e">
        <f t="shared" ca="1" si="118"/>
        <v>#N/A</v>
      </c>
      <c r="AH225" s="406" t="e">
        <f t="shared" ca="1" si="118"/>
        <v>#N/A</v>
      </c>
      <c r="AI225" s="406" t="e">
        <f t="shared" ca="1" si="118"/>
        <v>#N/A</v>
      </c>
      <c r="AJ225" s="406" t="e">
        <f t="shared" ca="1" si="118"/>
        <v>#N/A</v>
      </c>
      <c r="AK225" s="406" t="e">
        <f t="shared" ca="1" si="118"/>
        <v>#N/A</v>
      </c>
      <c r="AL225" s="406" t="e">
        <f t="shared" ca="1" si="118"/>
        <v>#N/A</v>
      </c>
      <c r="AM225" s="406" t="e">
        <f t="shared" ca="1" si="118"/>
        <v>#N/A</v>
      </c>
      <c r="AN225" s="406" t="e">
        <f t="shared" ca="1" si="118"/>
        <v>#N/A</v>
      </c>
      <c r="AO225" s="406" t="e">
        <f t="shared" ca="1" si="118"/>
        <v>#N/A</v>
      </c>
      <c r="AP225" s="406" t="e">
        <f t="shared" ca="1" si="118"/>
        <v>#N/A</v>
      </c>
      <c r="AQ225" s="406" t="e">
        <f t="shared" ca="1" si="119"/>
        <v>#N/A</v>
      </c>
      <c r="AR225" s="406" t="e">
        <f t="shared" ca="1" si="114"/>
        <v>#N/A</v>
      </c>
      <c r="AS225" s="406" t="e">
        <f t="shared" ca="1" si="114"/>
        <v>#N/A</v>
      </c>
      <c r="AT225" s="406" t="e">
        <f t="shared" ca="1" si="114"/>
        <v>#N/A</v>
      </c>
      <c r="AU225" s="406" t="e">
        <f t="shared" ca="1" si="114"/>
        <v>#N/A</v>
      </c>
      <c r="AV225" s="406" t="e">
        <f t="shared" ca="1" si="114"/>
        <v>#N/A</v>
      </c>
      <c r="AW225" s="406" t="e">
        <f t="shared" ca="1" si="114"/>
        <v>#N/A</v>
      </c>
      <c r="AX225" s="406" t="e">
        <f t="shared" ca="1" si="114"/>
        <v>#N/A</v>
      </c>
      <c r="AY225" s="406" t="e">
        <f t="shared" ca="1" si="114"/>
        <v>#N/A</v>
      </c>
      <c r="AZ225" s="406" t="e">
        <f t="shared" ca="1" si="114"/>
        <v>#N/A</v>
      </c>
      <c r="BA225" s="406" t="e">
        <f t="shared" ca="1" si="114"/>
        <v>#N/A</v>
      </c>
      <c r="BB225" s="408"/>
      <c r="BC225" s="408" t="str">
        <f t="shared" ca="1" si="109"/>
        <v/>
      </c>
      <c r="BD225" s="408" t="s">
        <v>1278</v>
      </c>
      <c r="BE225" s="408" t="s">
        <v>1278</v>
      </c>
    </row>
    <row r="226" spans="3:57" x14ac:dyDescent="0.25">
      <c r="C226" s="406">
        <f t="shared" si="110"/>
        <v>224</v>
      </c>
      <c r="D226" s="406" t="e">
        <f t="shared" ca="1" si="117"/>
        <v>#N/A</v>
      </c>
      <c r="E226" s="406" t="e">
        <f t="shared" ca="1" si="117"/>
        <v>#N/A</v>
      </c>
      <c r="F226" s="406" t="e">
        <f t="shared" ca="1" si="117"/>
        <v>#N/A</v>
      </c>
      <c r="G226" s="406" t="e">
        <f t="shared" ca="1" si="117"/>
        <v>#N/A</v>
      </c>
      <c r="H226" s="406" t="e">
        <f t="shared" ca="1" si="117"/>
        <v>#N/A</v>
      </c>
      <c r="I226" s="406" t="e">
        <f t="shared" ca="1" si="117"/>
        <v>#N/A</v>
      </c>
      <c r="J226" s="406" t="e">
        <f t="shared" ca="1" si="117"/>
        <v>#N/A</v>
      </c>
      <c r="K226" s="406" t="e">
        <f t="shared" ca="1" si="117"/>
        <v>#N/A</v>
      </c>
      <c r="L226" s="406" t="e">
        <f t="shared" ca="1" si="117"/>
        <v>#N/A</v>
      </c>
      <c r="M226" s="406" t="e">
        <f t="shared" ca="1" si="117"/>
        <v>#N/A</v>
      </c>
      <c r="N226" s="406" t="e">
        <f t="shared" ca="1" si="116"/>
        <v>#N/A</v>
      </c>
      <c r="O226" s="406" t="e">
        <f t="shared" ca="1" si="116"/>
        <v>#N/A</v>
      </c>
      <c r="P226" s="406" t="e">
        <f t="shared" ca="1" si="116"/>
        <v>#N/A</v>
      </c>
      <c r="Q226" s="406" t="e">
        <f t="shared" ca="1" si="116"/>
        <v>#N/A</v>
      </c>
      <c r="R226" s="406" t="e">
        <f t="shared" ca="1" si="116"/>
        <v>#N/A</v>
      </c>
      <c r="S226" s="406" t="e">
        <f t="shared" ca="1" si="116"/>
        <v>#N/A</v>
      </c>
      <c r="T226" s="406" t="e">
        <f t="shared" ca="1" si="116"/>
        <v>#N/A</v>
      </c>
      <c r="U226" s="406" t="e">
        <f t="shared" ca="1" si="116"/>
        <v>#N/A</v>
      </c>
      <c r="V226" s="406" t="e">
        <f t="shared" ca="1" si="116"/>
        <v>#N/A</v>
      </c>
      <c r="W226" s="406" t="e">
        <f t="shared" ca="1" si="116"/>
        <v>#N/A</v>
      </c>
      <c r="X226" s="406" t="e">
        <f t="shared" ca="1" si="116"/>
        <v>#N/A</v>
      </c>
      <c r="Y226" s="406" t="e">
        <f t="shared" ca="1" si="116"/>
        <v>#N/A</v>
      </c>
      <c r="Z226" s="406" t="e">
        <f t="shared" ca="1" si="116"/>
        <v>#N/A</v>
      </c>
      <c r="AA226" s="406" t="e">
        <f t="shared" ca="1" si="116"/>
        <v>#N/A</v>
      </c>
      <c r="AB226" s="406" t="e">
        <f t="shared" ca="1" si="116"/>
        <v>#N/A</v>
      </c>
      <c r="AC226" s="406" t="e">
        <f t="shared" ca="1" si="116"/>
        <v>#N/A</v>
      </c>
      <c r="AD226" s="406" t="e">
        <f t="shared" ca="1" si="118"/>
        <v>#N/A</v>
      </c>
      <c r="AE226" s="406" t="e">
        <f t="shared" ca="1" si="118"/>
        <v>#N/A</v>
      </c>
      <c r="AF226" s="406" t="e">
        <f t="shared" ca="1" si="118"/>
        <v>#N/A</v>
      </c>
      <c r="AG226" s="406" t="e">
        <f t="shared" ca="1" si="118"/>
        <v>#N/A</v>
      </c>
      <c r="AH226" s="406" t="e">
        <f t="shared" ca="1" si="118"/>
        <v>#N/A</v>
      </c>
      <c r="AI226" s="406" t="e">
        <f t="shared" ca="1" si="118"/>
        <v>#N/A</v>
      </c>
      <c r="AJ226" s="406" t="e">
        <f t="shared" ca="1" si="118"/>
        <v>#N/A</v>
      </c>
      <c r="AK226" s="406" t="e">
        <f t="shared" ca="1" si="118"/>
        <v>#N/A</v>
      </c>
      <c r="AL226" s="406" t="e">
        <f t="shared" ca="1" si="118"/>
        <v>#N/A</v>
      </c>
      <c r="AM226" s="406" t="e">
        <f t="shared" ca="1" si="118"/>
        <v>#N/A</v>
      </c>
      <c r="AN226" s="406" t="e">
        <f t="shared" ca="1" si="118"/>
        <v>#N/A</v>
      </c>
      <c r="AO226" s="406" t="e">
        <f t="shared" ca="1" si="118"/>
        <v>#N/A</v>
      </c>
      <c r="AP226" s="406" t="e">
        <f t="shared" ca="1" si="118"/>
        <v>#N/A</v>
      </c>
      <c r="AQ226" s="406" t="e">
        <f t="shared" ca="1" si="119"/>
        <v>#N/A</v>
      </c>
      <c r="AR226" s="406" t="e">
        <f t="shared" ca="1" si="114"/>
        <v>#N/A</v>
      </c>
      <c r="AS226" s="406" t="e">
        <f t="shared" ca="1" si="114"/>
        <v>#N/A</v>
      </c>
      <c r="AT226" s="406" t="e">
        <f t="shared" ca="1" si="114"/>
        <v>#N/A</v>
      </c>
      <c r="AU226" s="406" t="e">
        <f t="shared" ca="1" si="114"/>
        <v>#N/A</v>
      </c>
      <c r="AV226" s="406" t="e">
        <f t="shared" ca="1" si="114"/>
        <v>#N/A</v>
      </c>
      <c r="AW226" s="406" t="e">
        <f t="shared" ca="1" si="114"/>
        <v>#N/A</v>
      </c>
      <c r="AX226" s="406" t="e">
        <f t="shared" ca="1" si="114"/>
        <v>#N/A</v>
      </c>
      <c r="AY226" s="406" t="e">
        <f t="shared" ca="1" si="114"/>
        <v>#N/A</v>
      </c>
      <c r="AZ226" s="406" t="e">
        <f t="shared" ca="1" si="114"/>
        <v>#N/A</v>
      </c>
      <c r="BA226" s="406" t="e">
        <f t="shared" ca="1" si="114"/>
        <v>#N/A</v>
      </c>
      <c r="BB226" s="408"/>
      <c r="BC226" s="408" t="str">
        <f t="shared" ca="1" si="109"/>
        <v/>
      </c>
      <c r="BD226" s="408" t="s">
        <v>1278</v>
      </c>
      <c r="BE226" s="408" t="s">
        <v>1278</v>
      </c>
    </row>
    <row r="227" spans="3:57" x14ac:dyDescent="0.25">
      <c r="C227" s="406">
        <f t="shared" si="110"/>
        <v>225</v>
      </c>
      <c r="D227" s="406" t="e">
        <f t="shared" ca="1" si="117"/>
        <v>#N/A</v>
      </c>
      <c r="E227" s="406" t="e">
        <f t="shared" ca="1" si="117"/>
        <v>#N/A</v>
      </c>
      <c r="F227" s="406" t="e">
        <f t="shared" ca="1" si="117"/>
        <v>#N/A</v>
      </c>
      <c r="G227" s="406" t="e">
        <f t="shared" ca="1" si="117"/>
        <v>#N/A</v>
      </c>
      <c r="H227" s="406" t="e">
        <f t="shared" ca="1" si="117"/>
        <v>#N/A</v>
      </c>
      <c r="I227" s="406" t="e">
        <f t="shared" ca="1" si="117"/>
        <v>#N/A</v>
      </c>
      <c r="J227" s="406" t="e">
        <f t="shared" ca="1" si="117"/>
        <v>#N/A</v>
      </c>
      <c r="K227" s="406" t="e">
        <f t="shared" ca="1" si="117"/>
        <v>#N/A</v>
      </c>
      <c r="L227" s="406" t="e">
        <f t="shared" ca="1" si="117"/>
        <v>#N/A</v>
      </c>
      <c r="M227" s="406" t="e">
        <f t="shared" ca="1" si="117"/>
        <v>#N/A</v>
      </c>
      <c r="N227" s="406" t="e">
        <f t="shared" ca="1" si="116"/>
        <v>#N/A</v>
      </c>
      <c r="O227" s="406" t="e">
        <f t="shared" ca="1" si="116"/>
        <v>#N/A</v>
      </c>
      <c r="P227" s="406" t="e">
        <f t="shared" ca="1" si="116"/>
        <v>#N/A</v>
      </c>
      <c r="Q227" s="406" t="e">
        <f t="shared" ca="1" si="116"/>
        <v>#N/A</v>
      </c>
      <c r="R227" s="406" t="e">
        <f t="shared" ca="1" si="116"/>
        <v>#N/A</v>
      </c>
      <c r="S227" s="406" t="e">
        <f t="shared" ca="1" si="116"/>
        <v>#N/A</v>
      </c>
      <c r="T227" s="406" t="e">
        <f t="shared" ca="1" si="116"/>
        <v>#N/A</v>
      </c>
      <c r="U227" s="406" t="e">
        <f t="shared" ca="1" si="116"/>
        <v>#N/A</v>
      </c>
      <c r="V227" s="406" t="e">
        <f t="shared" ca="1" si="116"/>
        <v>#N/A</v>
      </c>
      <c r="W227" s="406" t="e">
        <f t="shared" ca="1" si="116"/>
        <v>#N/A</v>
      </c>
      <c r="X227" s="406" t="e">
        <f t="shared" ca="1" si="116"/>
        <v>#N/A</v>
      </c>
      <c r="Y227" s="406" t="e">
        <f t="shared" ca="1" si="116"/>
        <v>#N/A</v>
      </c>
      <c r="Z227" s="406" t="e">
        <f t="shared" ca="1" si="116"/>
        <v>#N/A</v>
      </c>
      <c r="AA227" s="406" t="e">
        <f t="shared" ca="1" si="116"/>
        <v>#N/A</v>
      </c>
      <c r="AB227" s="406" t="e">
        <f t="shared" ca="1" si="116"/>
        <v>#N/A</v>
      </c>
      <c r="AC227" s="406" t="e">
        <f t="shared" ca="1" si="116"/>
        <v>#N/A</v>
      </c>
      <c r="AD227" s="406" t="e">
        <f t="shared" ca="1" si="118"/>
        <v>#N/A</v>
      </c>
      <c r="AE227" s="406" t="e">
        <f t="shared" ca="1" si="118"/>
        <v>#N/A</v>
      </c>
      <c r="AF227" s="406" t="e">
        <f t="shared" ca="1" si="118"/>
        <v>#N/A</v>
      </c>
      <c r="AG227" s="406" t="e">
        <f t="shared" ca="1" si="118"/>
        <v>#N/A</v>
      </c>
      <c r="AH227" s="406" t="e">
        <f t="shared" ca="1" si="118"/>
        <v>#N/A</v>
      </c>
      <c r="AI227" s="406" t="e">
        <f t="shared" ca="1" si="118"/>
        <v>#N/A</v>
      </c>
      <c r="AJ227" s="406" t="e">
        <f t="shared" ca="1" si="118"/>
        <v>#N/A</v>
      </c>
      <c r="AK227" s="406" t="e">
        <f t="shared" ca="1" si="118"/>
        <v>#N/A</v>
      </c>
      <c r="AL227" s="406" t="e">
        <f t="shared" ca="1" si="118"/>
        <v>#N/A</v>
      </c>
      <c r="AM227" s="406" t="e">
        <f t="shared" ca="1" si="118"/>
        <v>#N/A</v>
      </c>
      <c r="AN227" s="406" t="e">
        <f t="shared" ca="1" si="118"/>
        <v>#N/A</v>
      </c>
      <c r="AO227" s="406" t="e">
        <f t="shared" ca="1" si="118"/>
        <v>#N/A</v>
      </c>
      <c r="AP227" s="406" t="e">
        <f t="shared" ca="1" si="118"/>
        <v>#N/A</v>
      </c>
      <c r="AQ227" s="406" t="e">
        <f t="shared" ca="1" si="119"/>
        <v>#N/A</v>
      </c>
      <c r="AR227" s="406" t="e">
        <f t="shared" ca="1" si="114"/>
        <v>#N/A</v>
      </c>
      <c r="AS227" s="406" t="e">
        <f t="shared" ca="1" si="114"/>
        <v>#N/A</v>
      </c>
      <c r="AT227" s="406" t="e">
        <f t="shared" ca="1" si="114"/>
        <v>#N/A</v>
      </c>
      <c r="AU227" s="406" t="e">
        <f t="shared" ca="1" si="114"/>
        <v>#N/A</v>
      </c>
      <c r="AV227" s="406" t="e">
        <f t="shared" ca="1" si="114"/>
        <v>#N/A</v>
      </c>
      <c r="AW227" s="406" t="e">
        <f t="shared" ca="1" si="114"/>
        <v>#N/A</v>
      </c>
      <c r="AX227" s="406" t="e">
        <f t="shared" ca="1" si="114"/>
        <v>#N/A</v>
      </c>
      <c r="AY227" s="406" t="e">
        <f t="shared" ca="1" si="114"/>
        <v>#N/A</v>
      </c>
      <c r="AZ227" s="406" t="e">
        <f t="shared" ca="1" si="114"/>
        <v>#N/A</v>
      </c>
      <c r="BA227" s="406" t="e">
        <f t="shared" ca="1" si="114"/>
        <v>#N/A</v>
      </c>
      <c r="BB227" s="408"/>
      <c r="BC227" s="408" t="str">
        <f t="shared" ca="1" si="109"/>
        <v/>
      </c>
      <c r="BD227" s="408" t="s">
        <v>1278</v>
      </c>
      <c r="BE227" s="408" t="s">
        <v>1278</v>
      </c>
    </row>
    <row r="228" spans="3:57" x14ac:dyDescent="0.25">
      <c r="C228" s="406">
        <f t="shared" si="110"/>
        <v>226</v>
      </c>
      <c r="D228" s="406" t="e">
        <f t="shared" ca="1" si="117"/>
        <v>#N/A</v>
      </c>
      <c r="E228" s="406" t="e">
        <f t="shared" ca="1" si="117"/>
        <v>#N/A</v>
      </c>
      <c r="F228" s="406" t="e">
        <f t="shared" ca="1" si="117"/>
        <v>#N/A</v>
      </c>
      <c r="G228" s="406" t="e">
        <f t="shared" ca="1" si="117"/>
        <v>#N/A</v>
      </c>
      <c r="H228" s="406" t="e">
        <f t="shared" ca="1" si="117"/>
        <v>#N/A</v>
      </c>
      <c r="I228" s="406" t="e">
        <f t="shared" ca="1" si="117"/>
        <v>#N/A</v>
      </c>
      <c r="J228" s="406" t="e">
        <f t="shared" ca="1" si="117"/>
        <v>#N/A</v>
      </c>
      <c r="K228" s="406" t="e">
        <f t="shared" ca="1" si="117"/>
        <v>#N/A</v>
      </c>
      <c r="L228" s="406" t="e">
        <f t="shared" ca="1" si="117"/>
        <v>#N/A</v>
      </c>
      <c r="M228" s="406" t="e">
        <f t="shared" ca="1" si="117"/>
        <v>#N/A</v>
      </c>
      <c r="N228" s="406" t="e">
        <f t="shared" ca="1" si="116"/>
        <v>#N/A</v>
      </c>
      <c r="O228" s="406" t="e">
        <f t="shared" ca="1" si="116"/>
        <v>#N/A</v>
      </c>
      <c r="P228" s="406" t="e">
        <f t="shared" ca="1" si="116"/>
        <v>#N/A</v>
      </c>
      <c r="Q228" s="406" t="e">
        <f t="shared" ca="1" si="116"/>
        <v>#N/A</v>
      </c>
      <c r="R228" s="406" t="e">
        <f t="shared" ca="1" si="116"/>
        <v>#N/A</v>
      </c>
      <c r="S228" s="406" t="e">
        <f t="shared" ca="1" si="116"/>
        <v>#N/A</v>
      </c>
      <c r="T228" s="406" t="e">
        <f t="shared" ca="1" si="116"/>
        <v>#N/A</v>
      </c>
      <c r="U228" s="406" t="e">
        <f t="shared" ca="1" si="116"/>
        <v>#N/A</v>
      </c>
      <c r="V228" s="406" t="e">
        <f t="shared" ca="1" si="116"/>
        <v>#N/A</v>
      </c>
      <c r="W228" s="406" t="e">
        <f t="shared" ca="1" si="116"/>
        <v>#N/A</v>
      </c>
      <c r="X228" s="406" t="e">
        <f t="shared" ca="1" si="116"/>
        <v>#N/A</v>
      </c>
      <c r="Y228" s="406" t="e">
        <f t="shared" ca="1" si="116"/>
        <v>#N/A</v>
      </c>
      <c r="Z228" s="406" t="e">
        <f t="shared" ca="1" si="116"/>
        <v>#N/A</v>
      </c>
      <c r="AA228" s="406" t="e">
        <f t="shared" ca="1" si="116"/>
        <v>#N/A</v>
      </c>
      <c r="AB228" s="406" t="e">
        <f t="shared" ca="1" si="116"/>
        <v>#N/A</v>
      </c>
      <c r="AC228" s="406" t="e">
        <f t="shared" ca="1" si="116"/>
        <v>#N/A</v>
      </c>
      <c r="AD228" s="406" t="e">
        <f t="shared" ca="1" si="118"/>
        <v>#N/A</v>
      </c>
      <c r="AE228" s="406" t="e">
        <f t="shared" ca="1" si="118"/>
        <v>#N/A</v>
      </c>
      <c r="AF228" s="406" t="e">
        <f t="shared" ca="1" si="118"/>
        <v>#N/A</v>
      </c>
      <c r="AG228" s="406" t="e">
        <f t="shared" ca="1" si="118"/>
        <v>#N/A</v>
      </c>
      <c r="AH228" s="406" t="e">
        <f t="shared" ca="1" si="118"/>
        <v>#N/A</v>
      </c>
      <c r="AI228" s="406" t="e">
        <f t="shared" ca="1" si="118"/>
        <v>#N/A</v>
      </c>
      <c r="AJ228" s="406" t="e">
        <f t="shared" ca="1" si="118"/>
        <v>#N/A</v>
      </c>
      <c r="AK228" s="406" t="e">
        <f t="shared" ca="1" si="118"/>
        <v>#N/A</v>
      </c>
      <c r="AL228" s="406" t="e">
        <f t="shared" ca="1" si="118"/>
        <v>#N/A</v>
      </c>
      <c r="AM228" s="406" t="e">
        <f t="shared" ca="1" si="118"/>
        <v>#N/A</v>
      </c>
      <c r="AN228" s="406" t="e">
        <f t="shared" ca="1" si="118"/>
        <v>#N/A</v>
      </c>
      <c r="AO228" s="406" t="e">
        <f t="shared" ca="1" si="118"/>
        <v>#N/A</v>
      </c>
      <c r="AP228" s="406" t="e">
        <f t="shared" ca="1" si="118"/>
        <v>#N/A</v>
      </c>
      <c r="AQ228" s="406" t="e">
        <f t="shared" ca="1" si="119"/>
        <v>#N/A</v>
      </c>
      <c r="AR228" s="406" t="e">
        <f t="shared" ca="1" si="114"/>
        <v>#N/A</v>
      </c>
      <c r="AS228" s="406" t="e">
        <f t="shared" ca="1" si="114"/>
        <v>#N/A</v>
      </c>
      <c r="AT228" s="406" t="e">
        <f t="shared" ca="1" si="114"/>
        <v>#N/A</v>
      </c>
      <c r="AU228" s="406" t="e">
        <f t="shared" ca="1" si="114"/>
        <v>#N/A</v>
      </c>
      <c r="AV228" s="406" t="e">
        <f t="shared" ca="1" si="114"/>
        <v>#N/A</v>
      </c>
      <c r="AW228" s="406" t="e">
        <f t="shared" ca="1" si="114"/>
        <v>#N/A</v>
      </c>
      <c r="AX228" s="406" t="e">
        <f t="shared" ca="1" si="114"/>
        <v>#N/A</v>
      </c>
      <c r="AY228" s="406" t="e">
        <f t="shared" ca="1" si="114"/>
        <v>#N/A</v>
      </c>
      <c r="AZ228" s="406" t="e">
        <f t="shared" ca="1" si="114"/>
        <v>#N/A</v>
      </c>
      <c r="BA228" s="406" t="e">
        <f t="shared" ca="1" si="114"/>
        <v>#N/A</v>
      </c>
      <c r="BB228" s="408"/>
      <c r="BC228" s="408" t="str">
        <f t="shared" ca="1" si="109"/>
        <v/>
      </c>
      <c r="BD228" s="408" t="s">
        <v>1278</v>
      </c>
      <c r="BE228" s="408" t="s">
        <v>1278</v>
      </c>
    </row>
    <row r="229" spans="3:57" x14ac:dyDescent="0.25">
      <c r="C229" s="406">
        <f t="shared" si="110"/>
        <v>227</v>
      </c>
      <c r="D229" s="406" t="e">
        <f t="shared" ca="1" si="117"/>
        <v>#N/A</v>
      </c>
      <c r="E229" s="406" t="e">
        <f t="shared" ca="1" si="117"/>
        <v>#N/A</v>
      </c>
      <c r="F229" s="406" t="e">
        <f t="shared" ca="1" si="117"/>
        <v>#N/A</v>
      </c>
      <c r="G229" s="406" t="e">
        <f t="shared" ca="1" si="117"/>
        <v>#N/A</v>
      </c>
      <c r="H229" s="406" t="e">
        <f t="shared" ca="1" si="117"/>
        <v>#N/A</v>
      </c>
      <c r="I229" s="406" t="e">
        <f t="shared" ca="1" si="117"/>
        <v>#N/A</v>
      </c>
      <c r="J229" s="406" t="e">
        <f t="shared" ca="1" si="117"/>
        <v>#N/A</v>
      </c>
      <c r="K229" s="406" t="e">
        <f t="shared" ca="1" si="117"/>
        <v>#N/A</v>
      </c>
      <c r="L229" s="406" t="e">
        <f t="shared" ca="1" si="117"/>
        <v>#N/A</v>
      </c>
      <c r="M229" s="406" t="e">
        <f t="shared" ca="1" si="117"/>
        <v>#N/A</v>
      </c>
      <c r="N229" s="406" t="e">
        <f t="shared" ca="1" si="116"/>
        <v>#N/A</v>
      </c>
      <c r="O229" s="406" t="e">
        <f t="shared" ca="1" si="116"/>
        <v>#N/A</v>
      </c>
      <c r="P229" s="406" t="e">
        <f t="shared" ca="1" si="116"/>
        <v>#N/A</v>
      </c>
      <c r="Q229" s="406" t="e">
        <f t="shared" ca="1" si="116"/>
        <v>#N/A</v>
      </c>
      <c r="R229" s="406" t="e">
        <f t="shared" ca="1" si="116"/>
        <v>#N/A</v>
      </c>
      <c r="S229" s="406" t="e">
        <f t="shared" ca="1" si="116"/>
        <v>#N/A</v>
      </c>
      <c r="T229" s="406" t="e">
        <f t="shared" ca="1" si="116"/>
        <v>#N/A</v>
      </c>
      <c r="U229" s="406" t="e">
        <f t="shared" ca="1" si="116"/>
        <v>#N/A</v>
      </c>
      <c r="V229" s="406" t="e">
        <f t="shared" ca="1" si="116"/>
        <v>#N/A</v>
      </c>
      <c r="W229" s="406" t="e">
        <f t="shared" ca="1" si="116"/>
        <v>#N/A</v>
      </c>
      <c r="X229" s="406" t="e">
        <f t="shared" ca="1" si="116"/>
        <v>#N/A</v>
      </c>
      <c r="Y229" s="406" t="e">
        <f t="shared" ca="1" si="116"/>
        <v>#N/A</v>
      </c>
      <c r="Z229" s="406" t="e">
        <f t="shared" ca="1" si="116"/>
        <v>#N/A</v>
      </c>
      <c r="AA229" s="406" t="e">
        <f t="shared" ca="1" si="116"/>
        <v>#N/A</v>
      </c>
      <c r="AB229" s="406" t="e">
        <f t="shared" ca="1" si="116"/>
        <v>#N/A</v>
      </c>
      <c r="AC229" s="406" t="e">
        <f t="shared" ca="1" si="116"/>
        <v>#N/A</v>
      </c>
      <c r="AD229" s="406" t="e">
        <f t="shared" ca="1" si="118"/>
        <v>#N/A</v>
      </c>
      <c r="AE229" s="406" t="e">
        <f t="shared" ca="1" si="118"/>
        <v>#N/A</v>
      </c>
      <c r="AF229" s="406" t="e">
        <f t="shared" ca="1" si="118"/>
        <v>#N/A</v>
      </c>
      <c r="AG229" s="406" t="e">
        <f t="shared" ca="1" si="118"/>
        <v>#N/A</v>
      </c>
      <c r="AH229" s="406" t="e">
        <f t="shared" ca="1" si="118"/>
        <v>#N/A</v>
      </c>
      <c r="AI229" s="406" t="e">
        <f t="shared" ca="1" si="118"/>
        <v>#N/A</v>
      </c>
      <c r="AJ229" s="406" t="e">
        <f t="shared" ca="1" si="118"/>
        <v>#N/A</v>
      </c>
      <c r="AK229" s="406" t="e">
        <f t="shared" ca="1" si="118"/>
        <v>#N/A</v>
      </c>
      <c r="AL229" s="406" t="e">
        <f t="shared" ca="1" si="118"/>
        <v>#N/A</v>
      </c>
      <c r="AM229" s="406" t="e">
        <f t="shared" ca="1" si="118"/>
        <v>#N/A</v>
      </c>
      <c r="AN229" s="406" t="e">
        <f t="shared" ca="1" si="118"/>
        <v>#N/A</v>
      </c>
      <c r="AO229" s="406" t="e">
        <f t="shared" ca="1" si="118"/>
        <v>#N/A</v>
      </c>
      <c r="AP229" s="406" t="e">
        <f t="shared" ca="1" si="118"/>
        <v>#N/A</v>
      </c>
      <c r="AQ229" s="406" t="e">
        <f t="shared" ca="1" si="119"/>
        <v>#N/A</v>
      </c>
      <c r="AR229" s="406" t="e">
        <f t="shared" ca="1" si="114"/>
        <v>#N/A</v>
      </c>
      <c r="AS229" s="406" t="e">
        <f t="shared" ca="1" si="114"/>
        <v>#N/A</v>
      </c>
      <c r="AT229" s="406" t="e">
        <f t="shared" ca="1" si="114"/>
        <v>#N/A</v>
      </c>
      <c r="AU229" s="406" t="e">
        <f t="shared" ca="1" si="114"/>
        <v>#N/A</v>
      </c>
      <c r="AV229" s="406" t="e">
        <f t="shared" ca="1" si="114"/>
        <v>#N/A</v>
      </c>
      <c r="AW229" s="406" t="e">
        <f t="shared" ca="1" si="114"/>
        <v>#N/A</v>
      </c>
      <c r="AX229" s="406" t="e">
        <f t="shared" ca="1" si="114"/>
        <v>#N/A</v>
      </c>
      <c r="AY229" s="406" t="e">
        <f t="shared" ca="1" si="114"/>
        <v>#N/A</v>
      </c>
      <c r="AZ229" s="406" t="e">
        <f t="shared" ca="1" si="114"/>
        <v>#N/A</v>
      </c>
      <c r="BA229" s="406" t="e">
        <f t="shared" ca="1" si="114"/>
        <v>#N/A</v>
      </c>
      <c r="BB229" s="408"/>
      <c r="BC229" s="408" t="str">
        <f t="shared" ca="1" si="109"/>
        <v/>
      </c>
      <c r="BD229" s="408" t="s">
        <v>1278</v>
      </c>
      <c r="BE229" s="408" t="s">
        <v>1278</v>
      </c>
    </row>
    <row r="230" spans="3:57" ht="16.5" customHeight="1" x14ac:dyDescent="0.25">
      <c r="C230" s="406">
        <f t="shared" si="110"/>
        <v>228</v>
      </c>
      <c r="D230" s="406" t="e">
        <f t="shared" ca="1" si="117"/>
        <v>#N/A</v>
      </c>
      <c r="E230" s="406" t="e">
        <f t="shared" ca="1" si="117"/>
        <v>#N/A</v>
      </c>
      <c r="F230" s="406" t="e">
        <f t="shared" ca="1" si="117"/>
        <v>#N/A</v>
      </c>
      <c r="G230" s="406" t="e">
        <f t="shared" ca="1" si="117"/>
        <v>#N/A</v>
      </c>
      <c r="H230" s="406" t="e">
        <f t="shared" ca="1" si="117"/>
        <v>#N/A</v>
      </c>
      <c r="I230" s="406" t="e">
        <f t="shared" ca="1" si="117"/>
        <v>#N/A</v>
      </c>
      <c r="J230" s="406" t="e">
        <f t="shared" ca="1" si="117"/>
        <v>#N/A</v>
      </c>
      <c r="K230" s="406" t="e">
        <f t="shared" ca="1" si="117"/>
        <v>#N/A</v>
      </c>
      <c r="L230" s="406" t="e">
        <f t="shared" ca="1" si="117"/>
        <v>#N/A</v>
      </c>
      <c r="M230" s="406" t="e">
        <f t="shared" ca="1" si="117"/>
        <v>#N/A</v>
      </c>
      <c r="N230" s="406" t="e">
        <f t="shared" ca="1" si="116"/>
        <v>#N/A</v>
      </c>
      <c r="O230" s="406" t="e">
        <f t="shared" ca="1" si="116"/>
        <v>#N/A</v>
      </c>
      <c r="P230" s="406" t="e">
        <f t="shared" ca="1" si="116"/>
        <v>#N/A</v>
      </c>
      <c r="Q230" s="406" t="e">
        <f t="shared" ca="1" si="116"/>
        <v>#N/A</v>
      </c>
      <c r="R230" s="406" t="e">
        <f t="shared" ca="1" si="116"/>
        <v>#N/A</v>
      </c>
      <c r="S230" s="406" t="e">
        <f t="shared" ca="1" si="116"/>
        <v>#N/A</v>
      </c>
      <c r="T230" s="406" t="e">
        <f t="shared" ca="1" si="116"/>
        <v>#N/A</v>
      </c>
      <c r="U230" s="406" t="e">
        <f t="shared" ca="1" si="116"/>
        <v>#N/A</v>
      </c>
      <c r="V230" s="406" t="e">
        <f t="shared" ca="1" si="116"/>
        <v>#N/A</v>
      </c>
      <c r="W230" s="406" t="e">
        <f t="shared" ca="1" si="116"/>
        <v>#N/A</v>
      </c>
      <c r="X230" s="406" t="e">
        <f t="shared" ca="1" si="116"/>
        <v>#N/A</v>
      </c>
      <c r="Y230" s="406" t="e">
        <f t="shared" ca="1" si="116"/>
        <v>#N/A</v>
      </c>
      <c r="Z230" s="406" t="e">
        <f t="shared" ca="1" si="116"/>
        <v>#N/A</v>
      </c>
      <c r="AA230" s="406" t="e">
        <f t="shared" ca="1" si="116"/>
        <v>#N/A</v>
      </c>
      <c r="AB230" s="406" t="e">
        <f t="shared" ca="1" si="116"/>
        <v>#N/A</v>
      </c>
      <c r="AC230" s="406" t="e">
        <f t="shared" ca="1" si="116"/>
        <v>#N/A</v>
      </c>
      <c r="AD230" s="406" t="e">
        <f t="shared" ca="1" si="118"/>
        <v>#N/A</v>
      </c>
      <c r="AE230" s="406" t="e">
        <f t="shared" ca="1" si="118"/>
        <v>#N/A</v>
      </c>
      <c r="AF230" s="406" t="e">
        <f t="shared" ca="1" si="118"/>
        <v>#N/A</v>
      </c>
      <c r="AG230" s="406" t="e">
        <f t="shared" ca="1" si="118"/>
        <v>#N/A</v>
      </c>
      <c r="AH230" s="406" t="e">
        <f t="shared" ca="1" si="118"/>
        <v>#N/A</v>
      </c>
      <c r="AI230" s="406" t="e">
        <f t="shared" ca="1" si="118"/>
        <v>#N/A</v>
      </c>
      <c r="AJ230" s="406" t="e">
        <f t="shared" ca="1" si="118"/>
        <v>#N/A</v>
      </c>
      <c r="AK230" s="406" t="e">
        <f t="shared" ca="1" si="118"/>
        <v>#N/A</v>
      </c>
      <c r="AL230" s="406" t="e">
        <f t="shared" ca="1" si="118"/>
        <v>#N/A</v>
      </c>
      <c r="AM230" s="406" t="e">
        <f t="shared" ca="1" si="118"/>
        <v>#N/A</v>
      </c>
      <c r="AN230" s="406" t="e">
        <f t="shared" ca="1" si="118"/>
        <v>#N/A</v>
      </c>
      <c r="AO230" s="406" t="e">
        <f t="shared" ca="1" si="118"/>
        <v>#N/A</v>
      </c>
      <c r="AP230" s="406" t="e">
        <f t="shared" ca="1" si="118"/>
        <v>#N/A</v>
      </c>
      <c r="AQ230" s="406" t="e">
        <f t="shared" ca="1" si="119"/>
        <v>#N/A</v>
      </c>
      <c r="AR230" s="406" t="e">
        <f t="shared" ca="1" si="114"/>
        <v>#N/A</v>
      </c>
      <c r="AS230" s="406" t="e">
        <f t="shared" ca="1" si="114"/>
        <v>#N/A</v>
      </c>
      <c r="AT230" s="406" t="e">
        <f t="shared" ca="1" si="114"/>
        <v>#N/A</v>
      </c>
      <c r="AU230" s="406" t="e">
        <f t="shared" ca="1" si="114"/>
        <v>#N/A</v>
      </c>
      <c r="AV230" s="406" t="e">
        <f t="shared" ca="1" si="114"/>
        <v>#N/A</v>
      </c>
      <c r="AW230" s="406" t="e">
        <f t="shared" ca="1" si="114"/>
        <v>#N/A</v>
      </c>
      <c r="AX230" s="406" t="e">
        <f t="shared" ca="1" si="114"/>
        <v>#N/A</v>
      </c>
      <c r="AY230" s="406" t="e">
        <f t="shared" ca="1" si="114"/>
        <v>#N/A</v>
      </c>
      <c r="AZ230" s="406" t="e">
        <f t="shared" ca="1" si="114"/>
        <v>#N/A</v>
      </c>
      <c r="BA230" s="406" t="e">
        <f t="shared" ca="1" si="114"/>
        <v>#N/A</v>
      </c>
      <c r="BB230" s="408"/>
      <c r="BC230" s="408" t="str">
        <f t="shared" ca="1" si="109"/>
        <v/>
      </c>
      <c r="BD230" s="408" t="s">
        <v>1278</v>
      </c>
      <c r="BE230" s="408" t="s">
        <v>1278</v>
      </c>
    </row>
    <row r="231" spans="3:57" x14ac:dyDescent="0.25">
      <c r="C231" s="406">
        <f t="shared" si="110"/>
        <v>229</v>
      </c>
      <c r="D231" s="406" t="e">
        <f t="shared" ca="1" si="117"/>
        <v>#N/A</v>
      </c>
      <c r="E231" s="406" t="e">
        <f t="shared" ca="1" si="117"/>
        <v>#N/A</v>
      </c>
      <c r="F231" s="406" t="e">
        <f t="shared" ca="1" si="117"/>
        <v>#N/A</v>
      </c>
      <c r="G231" s="406" t="e">
        <f t="shared" ca="1" si="117"/>
        <v>#N/A</v>
      </c>
      <c r="H231" s="406" t="e">
        <f t="shared" ca="1" si="117"/>
        <v>#N/A</v>
      </c>
      <c r="I231" s="406" t="e">
        <f t="shared" ca="1" si="117"/>
        <v>#N/A</v>
      </c>
      <c r="J231" s="406" t="e">
        <f t="shared" ca="1" si="117"/>
        <v>#N/A</v>
      </c>
      <c r="K231" s="406" t="e">
        <f t="shared" ca="1" si="117"/>
        <v>#N/A</v>
      </c>
      <c r="L231" s="406" t="e">
        <f t="shared" ca="1" si="117"/>
        <v>#N/A</v>
      </c>
      <c r="M231" s="406" t="e">
        <f t="shared" ca="1" si="117"/>
        <v>#N/A</v>
      </c>
      <c r="N231" s="406" t="e">
        <f t="shared" ca="1" si="116"/>
        <v>#N/A</v>
      </c>
      <c r="O231" s="406" t="e">
        <f t="shared" ca="1" si="116"/>
        <v>#N/A</v>
      </c>
      <c r="P231" s="406" t="e">
        <f t="shared" ca="1" si="116"/>
        <v>#N/A</v>
      </c>
      <c r="Q231" s="406" t="e">
        <f t="shared" ca="1" si="116"/>
        <v>#N/A</v>
      </c>
      <c r="R231" s="406" t="e">
        <f t="shared" ca="1" si="116"/>
        <v>#N/A</v>
      </c>
      <c r="S231" s="406" t="e">
        <f t="shared" ca="1" si="116"/>
        <v>#N/A</v>
      </c>
      <c r="T231" s="406" t="e">
        <f t="shared" ca="1" si="116"/>
        <v>#N/A</v>
      </c>
      <c r="U231" s="406" t="e">
        <f t="shared" ca="1" si="116"/>
        <v>#N/A</v>
      </c>
      <c r="V231" s="406" t="e">
        <f t="shared" ca="1" si="116"/>
        <v>#N/A</v>
      </c>
      <c r="W231" s="406" t="e">
        <f t="shared" ca="1" si="116"/>
        <v>#N/A</v>
      </c>
      <c r="X231" s="406" t="e">
        <f t="shared" ca="1" si="116"/>
        <v>#N/A</v>
      </c>
      <c r="Y231" s="406" t="e">
        <f t="shared" ca="1" si="116"/>
        <v>#N/A</v>
      </c>
      <c r="Z231" s="406" t="e">
        <f t="shared" ca="1" si="116"/>
        <v>#N/A</v>
      </c>
      <c r="AA231" s="406" t="e">
        <f t="shared" ca="1" si="116"/>
        <v>#N/A</v>
      </c>
      <c r="AB231" s="406" t="e">
        <f t="shared" ca="1" si="116"/>
        <v>#N/A</v>
      </c>
      <c r="AC231" s="406" t="e">
        <f t="shared" ca="1" si="116"/>
        <v>#N/A</v>
      </c>
      <c r="AD231" s="406" t="e">
        <f t="shared" ca="1" si="118"/>
        <v>#N/A</v>
      </c>
      <c r="AE231" s="406" t="e">
        <f t="shared" ca="1" si="118"/>
        <v>#N/A</v>
      </c>
      <c r="AF231" s="406" t="e">
        <f t="shared" ca="1" si="118"/>
        <v>#N/A</v>
      </c>
      <c r="AG231" s="406" t="e">
        <f t="shared" ca="1" si="118"/>
        <v>#N/A</v>
      </c>
      <c r="AH231" s="406" t="e">
        <f t="shared" ca="1" si="118"/>
        <v>#N/A</v>
      </c>
      <c r="AI231" s="406" t="e">
        <f t="shared" ca="1" si="118"/>
        <v>#N/A</v>
      </c>
      <c r="AJ231" s="406" t="e">
        <f t="shared" ca="1" si="118"/>
        <v>#N/A</v>
      </c>
      <c r="AK231" s="406" t="e">
        <f t="shared" ca="1" si="118"/>
        <v>#N/A</v>
      </c>
      <c r="AL231" s="406" t="e">
        <f t="shared" ca="1" si="118"/>
        <v>#N/A</v>
      </c>
      <c r="AM231" s="406" t="e">
        <f t="shared" ca="1" si="118"/>
        <v>#N/A</v>
      </c>
      <c r="AN231" s="406" t="e">
        <f t="shared" ca="1" si="118"/>
        <v>#N/A</v>
      </c>
      <c r="AO231" s="406" t="e">
        <f t="shared" ca="1" si="118"/>
        <v>#N/A</v>
      </c>
      <c r="AP231" s="406" t="e">
        <f t="shared" ca="1" si="118"/>
        <v>#N/A</v>
      </c>
      <c r="AQ231" s="406" t="e">
        <f t="shared" ca="1" si="119"/>
        <v>#N/A</v>
      </c>
      <c r="AR231" s="406" t="e">
        <f t="shared" ca="1" si="114"/>
        <v>#N/A</v>
      </c>
      <c r="AS231" s="406" t="e">
        <f t="shared" ca="1" si="114"/>
        <v>#N/A</v>
      </c>
      <c r="AT231" s="406" t="e">
        <f t="shared" ca="1" si="114"/>
        <v>#N/A</v>
      </c>
      <c r="AU231" s="406" t="e">
        <f t="shared" ca="1" si="114"/>
        <v>#N/A</v>
      </c>
      <c r="AV231" s="406" t="e">
        <f t="shared" ca="1" si="114"/>
        <v>#N/A</v>
      </c>
      <c r="AW231" s="406" t="e">
        <f t="shared" ca="1" si="114"/>
        <v>#N/A</v>
      </c>
      <c r="AX231" s="406" t="e">
        <f t="shared" ca="1" si="114"/>
        <v>#N/A</v>
      </c>
      <c r="AY231" s="406" t="e">
        <f t="shared" ca="1" si="114"/>
        <v>#N/A</v>
      </c>
      <c r="AZ231" s="406" t="e">
        <f t="shared" ca="1" si="114"/>
        <v>#N/A</v>
      </c>
      <c r="BA231" s="406" t="e">
        <f t="shared" ca="1" si="114"/>
        <v>#N/A</v>
      </c>
      <c r="BB231" s="408"/>
      <c r="BC231" s="408" t="str">
        <f t="shared" ca="1" si="109"/>
        <v/>
      </c>
      <c r="BD231" s="408" t="s">
        <v>1278</v>
      </c>
      <c r="BE231" s="408" t="s">
        <v>1278</v>
      </c>
    </row>
    <row r="232" spans="3:57" x14ac:dyDescent="0.25">
      <c r="C232" s="406">
        <f t="shared" si="110"/>
        <v>230</v>
      </c>
      <c r="D232" s="406" t="e">
        <f t="shared" ca="1" si="117"/>
        <v>#N/A</v>
      </c>
      <c r="E232" s="406" t="e">
        <f t="shared" ca="1" si="117"/>
        <v>#N/A</v>
      </c>
      <c r="F232" s="406" t="e">
        <f t="shared" ca="1" si="117"/>
        <v>#N/A</v>
      </c>
      <c r="G232" s="406" t="e">
        <f t="shared" ca="1" si="117"/>
        <v>#N/A</v>
      </c>
      <c r="H232" s="406" t="e">
        <f t="shared" ca="1" si="117"/>
        <v>#N/A</v>
      </c>
      <c r="I232" s="406" t="e">
        <f t="shared" ca="1" si="117"/>
        <v>#N/A</v>
      </c>
      <c r="J232" s="406" t="e">
        <f t="shared" ca="1" si="117"/>
        <v>#N/A</v>
      </c>
      <c r="K232" s="406" t="e">
        <f t="shared" ca="1" si="117"/>
        <v>#N/A</v>
      </c>
      <c r="L232" s="406" t="e">
        <f t="shared" ca="1" si="117"/>
        <v>#N/A</v>
      </c>
      <c r="M232" s="406" t="e">
        <f t="shared" ca="1" si="117"/>
        <v>#N/A</v>
      </c>
      <c r="N232" s="406" t="e">
        <f t="shared" ca="1" si="116"/>
        <v>#N/A</v>
      </c>
      <c r="O232" s="406" t="e">
        <f t="shared" ca="1" si="116"/>
        <v>#N/A</v>
      </c>
      <c r="P232" s="406" t="e">
        <f t="shared" ca="1" si="116"/>
        <v>#N/A</v>
      </c>
      <c r="Q232" s="406" t="e">
        <f t="shared" ca="1" si="116"/>
        <v>#N/A</v>
      </c>
      <c r="R232" s="406" t="e">
        <f t="shared" ca="1" si="116"/>
        <v>#N/A</v>
      </c>
      <c r="S232" s="406" t="e">
        <f t="shared" ca="1" si="116"/>
        <v>#N/A</v>
      </c>
      <c r="T232" s="406" t="e">
        <f t="shared" ca="1" si="116"/>
        <v>#N/A</v>
      </c>
      <c r="U232" s="406" t="e">
        <f t="shared" ca="1" si="116"/>
        <v>#N/A</v>
      </c>
      <c r="V232" s="406" t="e">
        <f t="shared" ca="1" si="116"/>
        <v>#N/A</v>
      </c>
      <c r="W232" s="406" t="e">
        <f t="shared" ca="1" si="116"/>
        <v>#N/A</v>
      </c>
      <c r="X232" s="406" t="e">
        <f t="shared" ca="1" si="116"/>
        <v>#N/A</v>
      </c>
      <c r="Y232" s="406" t="e">
        <f t="shared" ca="1" si="116"/>
        <v>#N/A</v>
      </c>
      <c r="Z232" s="406" t="e">
        <f t="shared" ca="1" si="116"/>
        <v>#N/A</v>
      </c>
      <c r="AA232" s="406" t="e">
        <f t="shared" ca="1" si="116"/>
        <v>#N/A</v>
      </c>
      <c r="AB232" s="406" t="e">
        <f t="shared" ca="1" si="116"/>
        <v>#N/A</v>
      </c>
      <c r="AC232" s="406" t="e">
        <f t="shared" ca="1" si="116"/>
        <v>#N/A</v>
      </c>
      <c r="AD232" s="406" t="e">
        <f t="shared" ca="1" si="118"/>
        <v>#N/A</v>
      </c>
      <c r="AE232" s="406" t="e">
        <f t="shared" ca="1" si="118"/>
        <v>#N/A</v>
      </c>
      <c r="AF232" s="406" t="e">
        <f t="shared" ca="1" si="118"/>
        <v>#N/A</v>
      </c>
      <c r="AG232" s="406" t="e">
        <f t="shared" ca="1" si="118"/>
        <v>#N/A</v>
      </c>
      <c r="AH232" s="406" t="e">
        <f t="shared" ca="1" si="118"/>
        <v>#N/A</v>
      </c>
      <c r="AI232" s="406" t="e">
        <f t="shared" ca="1" si="118"/>
        <v>#N/A</v>
      </c>
      <c r="AJ232" s="406" t="e">
        <f t="shared" ca="1" si="118"/>
        <v>#N/A</v>
      </c>
      <c r="AK232" s="406" t="e">
        <f t="shared" ca="1" si="118"/>
        <v>#N/A</v>
      </c>
      <c r="AL232" s="406" t="e">
        <f t="shared" ca="1" si="118"/>
        <v>#N/A</v>
      </c>
      <c r="AM232" s="406" t="e">
        <f t="shared" ca="1" si="118"/>
        <v>#N/A</v>
      </c>
      <c r="AN232" s="406" t="e">
        <f t="shared" ca="1" si="118"/>
        <v>#N/A</v>
      </c>
      <c r="AO232" s="406" t="e">
        <f t="shared" ca="1" si="118"/>
        <v>#N/A</v>
      </c>
      <c r="AP232" s="406" t="e">
        <f t="shared" ca="1" si="118"/>
        <v>#N/A</v>
      </c>
      <c r="AQ232" s="406" t="e">
        <f t="shared" ca="1" si="119"/>
        <v>#N/A</v>
      </c>
      <c r="AR232" s="406" t="e">
        <f t="shared" ca="1" si="114"/>
        <v>#N/A</v>
      </c>
      <c r="AS232" s="406" t="e">
        <f t="shared" ca="1" si="114"/>
        <v>#N/A</v>
      </c>
      <c r="AT232" s="406" t="e">
        <f t="shared" ca="1" si="114"/>
        <v>#N/A</v>
      </c>
      <c r="AU232" s="406" t="e">
        <f t="shared" ca="1" si="114"/>
        <v>#N/A</v>
      </c>
      <c r="AV232" s="406" t="e">
        <f t="shared" ca="1" si="114"/>
        <v>#N/A</v>
      </c>
      <c r="AW232" s="406" t="e">
        <f t="shared" ca="1" si="114"/>
        <v>#N/A</v>
      </c>
      <c r="AX232" s="406" t="e">
        <f t="shared" ca="1" si="114"/>
        <v>#N/A</v>
      </c>
      <c r="AY232" s="406" t="e">
        <f t="shared" ca="1" si="114"/>
        <v>#N/A</v>
      </c>
      <c r="AZ232" s="406" t="e">
        <f t="shared" ca="1" si="114"/>
        <v>#N/A</v>
      </c>
      <c r="BA232" s="406" t="e">
        <f t="shared" ca="1" si="114"/>
        <v>#N/A</v>
      </c>
      <c r="BB232" s="408"/>
      <c r="BC232" s="408" t="str">
        <f t="shared" ca="1" si="109"/>
        <v/>
      </c>
      <c r="BD232" s="408" t="s">
        <v>1278</v>
      </c>
      <c r="BE232" s="408" t="s">
        <v>1278</v>
      </c>
    </row>
    <row r="233" spans="3:57" x14ac:dyDescent="0.25">
      <c r="C233" s="406">
        <f t="shared" si="110"/>
        <v>231</v>
      </c>
      <c r="D233" s="406" t="e">
        <f t="shared" ca="1" si="117"/>
        <v>#N/A</v>
      </c>
      <c r="E233" s="406" t="e">
        <f t="shared" ca="1" si="117"/>
        <v>#N/A</v>
      </c>
      <c r="F233" s="406" t="e">
        <f t="shared" ca="1" si="117"/>
        <v>#N/A</v>
      </c>
      <c r="G233" s="406" t="e">
        <f t="shared" ca="1" si="117"/>
        <v>#N/A</v>
      </c>
      <c r="H233" s="406" t="e">
        <f t="shared" ca="1" si="117"/>
        <v>#N/A</v>
      </c>
      <c r="I233" s="406" t="e">
        <f t="shared" ca="1" si="117"/>
        <v>#N/A</v>
      </c>
      <c r="J233" s="406" t="e">
        <f t="shared" ca="1" si="117"/>
        <v>#N/A</v>
      </c>
      <c r="K233" s="406" t="e">
        <f t="shared" ca="1" si="117"/>
        <v>#N/A</v>
      </c>
      <c r="L233" s="406" t="e">
        <f t="shared" ca="1" si="117"/>
        <v>#N/A</v>
      </c>
      <c r="M233" s="406" t="e">
        <f t="shared" ca="1" si="117"/>
        <v>#N/A</v>
      </c>
      <c r="N233" s="406" t="e">
        <f t="shared" ca="1" si="116"/>
        <v>#N/A</v>
      </c>
      <c r="O233" s="406" t="e">
        <f t="shared" ca="1" si="116"/>
        <v>#N/A</v>
      </c>
      <c r="P233" s="406" t="e">
        <f t="shared" ca="1" si="116"/>
        <v>#N/A</v>
      </c>
      <c r="Q233" s="406" t="e">
        <f t="shared" ca="1" si="116"/>
        <v>#N/A</v>
      </c>
      <c r="R233" s="406" t="e">
        <f t="shared" ca="1" si="116"/>
        <v>#N/A</v>
      </c>
      <c r="S233" s="406" t="e">
        <f t="shared" ca="1" si="116"/>
        <v>#N/A</v>
      </c>
      <c r="T233" s="406" t="e">
        <f t="shared" ca="1" si="116"/>
        <v>#N/A</v>
      </c>
      <c r="U233" s="406" t="e">
        <f t="shared" ca="1" si="116"/>
        <v>#N/A</v>
      </c>
      <c r="V233" s="406" t="e">
        <f t="shared" ca="1" si="116"/>
        <v>#N/A</v>
      </c>
      <c r="W233" s="406" t="e">
        <f t="shared" ca="1" si="116"/>
        <v>#N/A</v>
      </c>
      <c r="X233" s="406" t="e">
        <f t="shared" ca="1" si="116"/>
        <v>#N/A</v>
      </c>
      <c r="Y233" s="406" t="e">
        <f t="shared" ca="1" si="116"/>
        <v>#N/A</v>
      </c>
      <c r="Z233" s="406" t="e">
        <f t="shared" ca="1" si="116"/>
        <v>#N/A</v>
      </c>
      <c r="AA233" s="406" t="e">
        <f t="shared" ca="1" si="116"/>
        <v>#N/A</v>
      </c>
      <c r="AB233" s="406" t="e">
        <f t="shared" ca="1" si="116"/>
        <v>#N/A</v>
      </c>
      <c r="AC233" s="406" t="e">
        <f t="shared" ca="1" si="116"/>
        <v>#N/A</v>
      </c>
      <c r="AD233" s="406" t="e">
        <f t="shared" ca="1" si="118"/>
        <v>#N/A</v>
      </c>
      <c r="AE233" s="406" t="e">
        <f t="shared" ca="1" si="118"/>
        <v>#N/A</v>
      </c>
      <c r="AF233" s="406" t="e">
        <f t="shared" ca="1" si="118"/>
        <v>#N/A</v>
      </c>
      <c r="AG233" s="406" t="e">
        <f t="shared" ca="1" si="118"/>
        <v>#N/A</v>
      </c>
      <c r="AH233" s="406" t="e">
        <f t="shared" ca="1" si="118"/>
        <v>#N/A</v>
      </c>
      <c r="AI233" s="406" t="e">
        <f t="shared" ca="1" si="118"/>
        <v>#N/A</v>
      </c>
      <c r="AJ233" s="406" t="e">
        <f t="shared" ca="1" si="118"/>
        <v>#N/A</v>
      </c>
      <c r="AK233" s="406" t="e">
        <f t="shared" ca="1" si="118"/>
        <v>#N/A</v>
      </c>
      <c r="AL233" s="406" t="e">
        <f t="shared" ca="1" si="118"/>
        <v>#N/A</v>
      </c>
      <c r="AM233" s="406" t="e">
        <f t="shared" ca="1" si="118"/>
        <v>#N/A</v>
      </c>
      <c r="AN233" s="406" t="e">
        <f t="shared" ca="1" si="118"/>
        <v>#N/A</v>
      </c>
      <c r="AO233" s="406" t="e">
        <f t="shared" ca="1" si="118"/>
        <v>#N/A</v>
      </c>
      <c r="AP233" s="406" t="e">
        <f t="shared" ca="1" si="118"/>
        <v>#N/A</v>
      </c>
      <c r="AQ233" s="406" t="e">
        <f t="shared" ca="1" si="119"/>
        <v>#N/A</v>
      </c>
      <c r="AR233" s="406" t="e">
        <f t="shared" ca="1" si="114"/>
        <v>#N/A</v>
      </c>
      <c r="AS233" s="406" t="e">
        <f t="shared" ca="1" si="114"/>
        <v>#N/A</v>
      </c>
      <c r="AT233" s="406" t="e">
        <f t="shared" ca="1" si="114"/>
        <v>#N/A</v>
      </c>
      <c r="AU233" s="406" t="e">
        <f t="shared" ca="1" si="114"/>
        <v>#N/A</v>
      </c>
      <c r="AV233" s="406" t="e">
        <f t="shared" ca="1" si="114"/>
        <v>#N/A</v>
      </c>
      <c r="AW233" s="406" t="e">
        <f t="shared" ca="1" si="114"/>
        <v>#N/A</v>
      </c>
      <c r="AX233" s="406" t="e">
        <f t="shared" ca="1" si="114"/>
        <v>#N/A</v>
      </c>
      <c r="AY233" s="406" t="e">
        <f t="shared" ca="1" si="114"/>
        <v>#N/A</v>
      </c>
      <c r="AZ233" s="406" t="e">
        <f t="shared" ca="1" si="114"/>
        <v>#N/A</v>
      </c>
      <c r="BA233" s="406" t="e">
        <f t="shared" ca="1" si="114"/>
        <v>#N/A</v>
      </c>
      <c r="BB233" s="408"/>
      <c r="BC233" s="408" t="str">
        <f t="shared" ca="1" si="109"/>
        <v/>
      </c>
      <c r="BD233" s="408" t="s">
        <v>1278</v>
      </c>
      <c r="BE233" s="408" t="s">
        <v>1278</v>
      </c>
    </row>
    <row r="234" spans="3:57" x14ac:dyDescent="0.25">
      <c r="C234" s="406">
        <f t="shared" si="110"/>
        <v>232</v>
      </c>
      <c r="D234" s="406" t="e">
        <f t="shared" ca="1" si="117"/>
        <v>#N/A</v>
      </c>
      <c r="E234" s="406" t="e">
        <f t="shared" ca="1" si="117"/>
        <v>#N/A</v>
      </c>
      <c r="F234" s="406" t="e">
        <f t="shared" ca="1" si="117"/>
        <v>#N/A</v>
      </c>
      <c r="G234" s="406" t="e">
        <f t="shared" ca="1" si="117"/>
        <v>#N/A</v>
      </c>
      <c r="H234" s="406" t="e">
        <f t="shared" ca="1" si="117"/>
        <v>#N/A</v>
      </c>
      <c r="I234" s="406" t="e">
        <f t="shared" ca="1" si="117"/>
        <v>#N/A</v>
      </c>
      <c r="J234" s="406" t="e">
        <f t="shared" ca="1" si="117"/>
        <v>#N/A</v>
      </c>
      <c r="K234" s="406" t="e">
        <f t="shared" ca="1" si="117"/>
        <v>#N/A</v>
      </c>
      <c r="L234" s="406" t="e">
        <f t="shared" ca="1" si="117"/>
        <v>#N/A</v>
      </c>
      <c r="M234" s="406" t="e">
        <f t="shared" ca="1" si="117"/>
        <v>#N/A</v>
      </c>
      <c r="N234" s="406" t="e">
        <f t="shared" ca="1" si="116"/>
        <v>#N/A</v>
      </c>
      <c r="O234" s="406" t="e">
        <f t="shared" ca="1" si="116"/>
        <v>#N/A</v>
      </c>
      <c r="P234" s="406" t="e">
        <f t="shared" ca="1" si="116"/>
        <v>#N/A</v>
      </c>
      <c r="Q234" s="406" t="e">
        <f t="shared" ca="1" si="116"/>
        <v>#N/A</v>
      </c>
      <c r="R234" s="406" t="e">
        <f t="shared" ca="1" si="116"/>
        <v>#N/A</v>
      </c>
      <c r="S234" s="406" t="e">
        <f t="shared" ca="1" si="116"/>
        <v>#N/A</v>
      </c>
      <c r="T234" s="406" t="e">
        <f t="shared" ca="1" si="116"/>
        <v>#N/A</v>
      </c>
      <c r="U234" s="406" t="e">
        <f t="shared" ca="1" si="116"/>
        <v>#N/A</v>
      </c>
      <c r="V234" s="406" t="e">
        <f t="shared" ca="1" si="116"/>
        <v>#N/A</v>
      </c>
      <c r="W234" s="406" t="e">
        <f t="shared" ca="1" si="116"/>
        <v>#N/A</v>
      </c>
      <c r="X234" s="406" t="e">
        <f t="shared" ca="1" si="116"/>
        <v>#N/A</v>
      </c>
      <c r="Y234" s="406" t="e">
        <f t="shared" ca="1" si="116"/>
        <v>#N/A</v>
      </c>
      <c r="Z234" s="406" t="e">
        <f t="shared" ca="1" si="116"/>
        <v>#N/A</v>
      </c>
      <c r="AA234" s="406" t="e">
        <f t="shared" ca="1" si="116"/>
        <v>#N/A</v>
      </c>
      <c r="AB234" s="406" t="e">
        <f t="shared" ca="1" si="116"/>
        <v>#N/A</v>
      </c>
      <c r="AC234" s="406" t="e">
        <f t="shared" ca="1" si="116"/>
        <v>#N/A</v>
      </c>
      <c r="AD234" s="406" t="e">
        <f t="shared" ca="1" si="118"/>
        <v>#N/A</v>
      </c>
      <c r="AE234" s="406" t="e">
        <f t="shared" ca="1" si="118"/>
        <v>#N/A</v>
      </c>
      <c r="AF234" s="406" t="e">
        <f t="shared" ca="1" si="118"/>
        <v>#N/A</v>
      </c>
      <c r="AG234" s="406" t="e">
        <f t="shared" ca="1" si="118"/>
        <v>#N/A</v>
      </c>
      <c r="AH234" s="406" t="e">
        <f t="shared" ca="1" si="118"/>
        <v>#N/A</v>
      </c>
      <c r="AI234" s="406" t="e">
        <f t="shared" ca="1" si="118"/>
        <v>#N/A</v>
      </c>
      <c r="AJ234" s="406" t="e">
        <f t="shared" ca="1" si="118"/>
        <v>#N/A</v>
      </c>
      <c r="AK234" s="406" t="e">
        <f t="shared" ca="1" si="118"/>
        <v>#N/A</v>
      </c>
      <c r="AL234" s="406" t="e">
        <f t="shared" ca="1" si="118"/>
        <v>#N/A</v>
      </c>
      <c r="AM234" s="406" t="e">
        <f t="shared" ca="1" si="118"/>
        <v>#N/A</v>
      </c>
      <c r="AN234" s="406" t="e">
        <f t="shared" ca="1" si="118"/>
        <v>#N/A</v>
      </c>
      <c r="AO234" s="406" t="e">
        <f t="shared" ca="1" si="118"/>
        <v>#N/A</v>
      </c>
      <c r="AP234" s="406" t="e">
        <f t="shared" ca="1" si="118"/>
        <v>#N/A</v>
      </c>
      <c r="AQ234" s="406" t="e">
        <f t="shared" ca="1" si="119"/>
        <v>#N/A</v>
      </c>
      <c r="AR234" s="406" t="e">
        <f t="shared" ca="1" si="114"/>
        <v>#N/A</v>
      </c>
      <c r="AS234" s="406" t="e">
        <f t="shared" ca="1" si="114"/>
        <v>#N/A</v>
      </c>
      <c r="AT234" s="406" t="e">
        <f t="shared" ca="1" si="114"/>
        <v>#N/A</v>
      </c>
      <c r="AU234" s="406" t="e">
        <f t="shared" ref="AR234:BA259" ca="1" si="120">TRIM(INDIRECT("'" &amp; "TNX RTF" &amp; "'!" &amp; ADDRESS($A$3+$C234,AU$1)))</f>
        <v>#N/A</v>
      </c>
      <c r="AV234" s="406" t="e">
        <f t="shared" ca="1" si="120"/>
        <v>#N/A</v>
      </c>
      <c r="AW234" s="406" t="e">
        <f t="shared" ca="1" si="120"/>
        <v>#N/A</v>
      </c>
      <c r="AX234" s="406" t="e">
        <f t="shared" ca="1" si="120"/>
        <v>#N/A</v>
      </c>
      <c r="AY234" s="406" t="e">
        <f t="shared" ca="1" si="120"/>
        <v>#N/A</v>
      </c>
      <c r="AZ234" s="406" t="e">
        <f t="shared" ca="1" si="120"/>
        <v>#N/A</v>
      </c>
      <c r="BA234" s="406" t="e">
        <f t="shared" ca="1" si="120"/>
        <v>#N/A</v>
      </c>
      <c r="BB234" s="408"/>
      <c r="BC234" s="408" t="str">
        <f t="shared" ca="1" si="109"/>
        <v/>
      </c>
      <c r="BD234" s="408" t="s">
        <v>1278</v>
      </c>
      <c r="BE234" s="408" t="s">
        <v>1278</v>
      </c>
    </row>
    <row r="235" spans="3:57" x14ac:dyDescent="0.25">
      <c r="C235" s="406">
        <f t="shared" si="110"/>
        <v>233</v>
      </c>
      <c r="D235" s="406" t="e">
        <f t="shared" ca="1" si="117"/>
        <v>#N/A</v>
      </c>
      <c r="E235" s="406" t="e">
        <f t="shared" ca="1" si="117"/>
        <v>#N/A</v>
      </c>
      <c r="F235" s="406" t="e">
        <f t="shared" ca="1" si="117"/>
        <v>#N/A</v>
      </c>
      <c r="G235" s="406" t="e">
        <f t="shared" ca="1" si="117"/>
        <v>#N/A</v>
      </c>
      <c r="H235" s="406" t="e">
        <f t="shared" ca="1" si="117"/>
        <v>#N/A</v>
      </c>
      <c r="I235" s="406" t="e">
        <f t="shared" ca="1" si="117"/>
        <v>#N/A</v>
      </c>
      <c r="J235" s="406" t="e">
        <f t="shared" ca="1" si="117"/>
        <v>#N/A</v>
      </c>
      <c r="K235" s="406" t="e">
        <f t="shared" ca="1" si="117"/>
        <v>#N/A</v>
      </c>
      <c r="L235" s="406" t="e">
        <f t="shared" ca="1" si="117"/>
        <v>#N/A</v>
      </c>
      <c r="M235" s="406" t="e">
        <f t="shared" ca="1" si="117"/>
        <v>#N/A</v>
      </c>
      <c r="N235" s="406" t="e">
        <f t="shared" ca="1" si="116"/>
        <v>#N/A</v>
      </c>
      <c r="O235" s="406" t="e">
        <f t="shared" ca="1" si="116"/>
        <v>#N/A</v>
      </c>
      <c r="P235" s="406" t="e">
        <f t="shared" ca="1" si="116"/>
        <v>#N/A</v>
      </c>
      <c r="Q235" s="406" t="e">
        <f t="shared" ca="1" si="116"/>
        <v>#N/A</v>
      </c>
      <c r="R235" s="406" t="e">
        <f t="shared" ca="1" si="116"/>
        <v>#N/A</v>
      </c>
      <c r="S235" s="406" t="e">
        <f t="shared" ca="1" si="116"/>
        <v>#N/A</v>
      </c>
      <c r="T235" s="406" t="e">
        <f t="shared" ca="1" si="116"/>
        <v>#N/A</v>
      </c>
      <c r="U235" s="406" t="e">
        <f t="shared" ca="1" si="116"/>
        <v>#N/A</v>
      </c>
      <c r="V235" s="406" t="e">
        <f t="shared" ca="1" si="116"/>
        <v>#N/A</v>
      </c>
      <c r="W235" s="406" t="e">
        <f t="shared" ca="1" si="116"/>
        <v>#N/A</v>
      </c>
      <c r="X235" s="406" t="e">
        <f t="shared" ca="1" si="116"/>
        <v>#N/A</v>
      </c>
      <c r="Y235" s="406" t="e">
        <f t="shared" ca="1" si="116"/>
        <v>#N/A</v>
      </c>
      <c r="Z235" s="406" t="e">
        <f t="shared" ca="1" si="116"/>
        <v>#N/A</v>
      </c>
      <c r="AA235" s="406" t="e">
        <f t="shared" ca="1" si="116"/>
        <v>#N/A</v>
      </c>
      <c r="AB235" s="406" t="e">
        <f t="shared" ca="1" si="116"/>
        <v>#N/A</v>
      </c>
      <c r="AC235" s="406" t="e">
        <f t="shared" ca="1" si="116"/>
        <v>#N/A</v>
      </c>
      <c r="AD235" s="406" t="e">
        <f t="shared" ca="1" si="118"/>
        <v>#N/A</v>
      </c>
      <c r="AE235" s="406" t="e">
        <f t="shared" ca="1" si="118"/>
        <v>#N/A</v>
      </c>
      <c r="AF235" s="406" t="e">
        <f t="shared" ca="1" si="118"/>
        <v>#N/A</v>
      </c>
      <c r="AG235" s="406" t="e">
        <f t="shared" ca="1" si="118"/>
        <v>#N/A</v>
      </c>
      <c r="AH235" s="406" t="e">
        <f t="shared" ca="1" si="118"/>
        <v>#N/A</v>
      </c>
      <c r="AI235" s="406" t="e">
        <f t="shared" ca="1" si="118"/>
        <v>#N/A</v>
      </c>
      <c r="AJ235" s="406" t="e">
        <f t="shared" ca="1" si="118"/>
        <v>#N/A</v>
      </c>
      <c r="AK235" s="406" t="e">
        <f t="shared" ca="1" si="118"/>
        <v>#N/A</v>
      </c>
      <c r="AL235" s="406" t="e">
        <f t="shared" ca="1" si="118"/>
        <v>#N/A</v>
      </c>
      <c r="AM235" s="406" t="e">
        <f t="shared" ca="1" si="118"/>
        <v>#N/A</v>
      </c>
      <c r="AN235" s="406" t="e">
        <f t="shared" ca="1" si="118"/>
        <v>#N/A</v>
      </c>
      <c r="AO235" s="406" t="e">
        <f t="shared" ca="1" si="118"/>
        <v>#N/A</v>
      </c>
      <c r="AP235" s="406" t="e">
        <f t="shared" ca="1" si="118"/>
        <v>#N/A</v>
      </c>
      <c r="AQ235" s="406" t="e">
        <f t="shared" ca="1" si="119"/>
        <v>#N/A</v>
      </c>
      <c r="AR235" s="406" t="e">
        <f t="shared" ca="1" si="120"/>
        <v>#N/A</v>
      </c>
      <c r="AS235" s="406" t="e">
        <f t="shared" ca="1" si="120"/>
        <v>#N/A</v>
      </c>
      <c r="AT235" s="406" t="e">
        <f t="shared" ca="1" si="120"/>
        <v>#N/A</v>
      </c>
      <c r="AU235" s="406" t="e">
        <f t="shared" ca="1" si="120"/>
        <v>#N/A</v>
      </c>
      <c r="AV235" s="406" t="e">
        <f t="shared" ca="1" si="120"/>
        <v>#N/A</v>
      </c>
      <c r="AW235" s="406" t="e">
        <f t="shared" ca="1" si="120"/>
        <v>#N/A</v>
      </c>
      <c r="AX235" s="406" t="e">
        <f t="shared" ca="1" si="120"/>
        <v>#N/A</v>
      </c>
      <c r="AY235" s="406" t="e">
        <f t="shared" ca="1" si="120"/>
        <v>#N/A</v>
      </c>
      <c r="AZ235" s="406" t="e">
        <f t="shared" ca="1" si="120"/>
        <v>#N/A</v>
      </c>
      <c r="BA235" s="406" t="e">
        <f t="shared" ca="1" si="120"/>
        <v>#N/A</v>
      </c>
      <c r="BB235" s="408"/>
      <c r="BC235" s="408" t="str">
        <f t="shared" ca="1" si="109"/>
        <v/>
      </c>
      <c r="BD235" s="408" t="s">
        <v>1278</v>
      </c>
      <c r="BE235" s="408" t="s">
        <v>1278</v>
      </c>
    </row>
    <row r="236" spans="3:57" x14ac:dyDescent="0.25">
      <c r="C236" s="406">
        <f t="shared" si="110"/>
        <v>234</v>
      </c>
      <c r="D236" s="406" t="e">
        <f t="shared" ca="1" si="117"/>
        <v>#N/A</v>
      </c>
      <c r="E236" s="406" t="e">
        <f t="shared" ca="1" si="117"/>
        <v>#N/A</v>
      </c>
      <c r="F236" s="406" t="e">
        <f t="shared" ca="1" si="117"/>
        <v>#N/A</v>
      </c>
      <c r="G236" s="406" t="e">
        <f t="shared" ca="1" si="117"/>
        <v>#N/A</v>
      </c>
      <c r="H236" s="406" t="e">
        <f t="shared" ca="1" si="117"/>
        <v>#N/A</v>
      </c>
      <c r="I236" s="406" t="e">
        <f t="shared" ca="1" si="117"/>
        <v>#N/A</v>
      </c>
      <c r="J236" s="406" t="e">
        <f t="shared" ca="1" si="117"/>
        <v>#N/A</v>
      </c>
      <c r="K236" s="406" t="e">
        <f t="shared" ca="1" si="117"/>
        <v>#N/A</v>
      </c>
      <c r="L236" s="406" t="e">
        <f t="shared" ca="1" si="117"/>
        <v>#N/A</v>
      </c>
      <c r="M236" s="406" t="e">
        <f t="shared" ca="1" si="117"/>
        <v>#N/A</v>
      </c>
      <c r="N236" s="406" t="e">
        <f t="shared" ca="1" si="116"/>
        <v>#N/A</v>
      </c>
      <c r="O236" s="406" t="e">
        <f t="shared" ca="1" si="116"/>
        <v>#N/A</v>
      </c>
      <c r="P236" s="406" t="e">
        <f t="shared" ca="1" si="116"/>
        <v>#N/A</v>
      </c>
      <c r="Q236" s="406" t="e">
        <f t="shared" ca="1" si="116"/>
        <v>#N/A</v>
      </c>
      <c r="R236" s="406" t="e">
        <f t="shared" ca="1" si="116"/>
        <v>#N/A</v>
      </c>
      <c r="S236" s="406" t="e">
        <f t="shared" ca="1" si="116"/>
        <v>#N/A</v>
      </c>
      <c r="T236" s="406" t="e">
        <f t="shared" ca="1" si="116"/>
        <v>#N/A</v>
      </c>
      <c r="U236" s="406" t="e">
        <f t="shared" ca="1" si="116"/>
        <v>#N/A</v>
      </c>
      <c r="V236" s="406" t="e">
        <f t="shared" ca="1" si="116"/>
        <v>#N/A</v>
      </c>
      <c r="W236" s="406" t="e">
        <f t="shared" ca="1" si="116"/>
        <v>#N/A</v>
      </c>
      <c r="X236" s="406" t="e">
        <f t="shared" ca="1" si="116"/>
        <v>#N/A</v>
      </c>
      <c r="Y236" s="406" t="e">
        <f t="shared" ca="1" si="116"/>
        <v>#N/A</v>
      </c>
      <c r="Z236" s="406" t="e">
        <f t="shared" ca="1" si="116"/>
        <v>#N/A</v>
      </c>
      <c r="AA236" s="406" t="e">
        <f t="shared" ca="1" si="116"/>
        <v>#N/A</v>
      </c>
      <c r="AB236" s="406" t="e">
        <f t="shared" ca="1" si="116"/>
        <v>#N/A</v>
      </c>
      <c r="AC236" s="406" t="e">
        <f t="shared" ca="1" si="116"/>
        <v>#N/A</v>
      </c>
      <c r="AD236" s="406" t="e">
        <f t="shared" ca="1" si="118"/>
        <v>#N/A</v>
      </c>
      <c r="AE236" s="406" t="e">
        <f t="shared" ca="1" si="118"/>
        <v>#N/A</v>
      </c>
      <c r="AF236" s="406" t="e">
        <f t="shared" ca="1" si="118"/>
        <v>#N/A</v>
      </c>
      <c r="AG236" s="406" t="e">
        <f t="shared" ca="1" si="118"/>
        <v>#N/A</v>
      </c>
      <c r="AH236" s="406" t="e">
        <f t="shared" ca="1" si="118"/>
        <v>#N/A</v>
      </c>
      <c r="AI236" s="406" t="e">
        <f t="shared" ca="1" si="118"/>
        <v>#N/A</v>
      </c>
      <c r="AJ236" s="406" t="e">
        <f t="shared" ca="1" si="118"/>
        <v>#N/A</v>
      </c>
      <c r="AK236" s="406" t="e">
        <f t="shared" ca="1" si="118"/>
        <v>#N/A</v>
      </c>
      <c r="AL236" s="406" t="e">
        <f t="shared" ca="1" si="118"/>
        <v>#N/A</v>
      </c>
      <c r="AM236" s="406" t="e">
        <f t="shared" ca="1" si="118"/>
        <v>#N/A</v>
      </c>
      <c r="AN236" s="406" t="e">
        <f t="shared" ca="1" si="118"/>
        <v>#N/A</v>
      </c>
      <c r="AO236" s="406" t="e">
        <f t="shared" ca="1" si="118"/>
        <v>#N/A</v>
      </c>
      <c r="AP236" s="406" t="e">
        <f t="shared" ca="1" si="118"/>
        <v>#N/A</v>
      </c>
      <c r="AQ236" s="406" t="e">
        <f t="shared" ca="1" si="119"/>
        <v>#N/A</v>
      </c>
      <c r="AR236" s="406" t="e">
        <f t="shared" ca="1" si="120"/>
        <v>#N/A</v>
      </c>
      <c r="AS236" s="406" t="e">
        <f t="shared" ca="1" si="120"/>
        <v>#N/A</v>
      </c>
      <c r="AT236" s="406" t="e">
        <f t="shared" ca="1" si="120"/>
        <v>#N/A</v>
      </c>
      <c r="AU236" s="406" t="e">
        <f t="shared" ca="1" si="120"/>
        <v>#N/A</v>
      </c>
      <c r="AV236" s="406" t="e">
        <f t="shared" ca="1" si="120"/>
        <v>#N/A</v>
      </c>
      <c r="AW236" s="406" t="e">
        <f t="shared" ca="1" si="120"/>
        <v>#N/A</v>
      </c>
      <c r="AX236" s="406" t="e">
        <f t="shared" ca="1" si="120"/>
        <v>#N/A</v>
      </c>
      <c r="AY236" s="406" t="e">
        <f t="shared" ca="1" si="120"/>
        <v>#N/A</v>
      </c>
      <c r="AZ236" s="406" t="e">
        <f t="shared" ca="1" si="120"/>
        <v>#N/A</v>
      </c>
      <c r="BA236" s="406" t="e">
        <f t="shared" ca="1" si="120"/>
        <v>#N/A</v>
      </c>
      <c r="BB236" s="408"/>
      <c r="BC236" s="408" t="str">
        <f t="shared" ca="1" si="109"/>
        <v/>
      </c>
      <c r="BD236" s="408" t="s">
        <v>1278</v>
      </c>
      <c r="BE236" s="408" t="s">
        <v>1278</v>
      </c>
    </row>
    <row r="237" spans="3:57" x14ac:dyDescent="0.25">
      <c r="C237" s="406">
        <f t="shared" si="110"/>
        <v>235</v>
      </c>
      <c r="D237" s="406" t="e">
        <f t="shared" ca="1" si="117"/>
        <v>#N/A</v>
      </c>
      <c r="E237" s="406" t="e">
        <f t="shared" ca="1" si="117"/>
        <v>#N/A</v>
      </c>
      <c r="F237" s="406" t="e">
        <f t="shared" ca="1" si="117"/>
        <v>#N/A</v>
      </c>
      <c r="G237" s="406" t="e">
        <f t="shared" ca="1" si="117"/>
        <v>#N/A</v>
      </c>
      <c r="H237" s="406" t="e">
        <f t="shared" ca="1" si="117"/>
        <v>#N/A</v>
      </c>
      <c r="I237" s="406" t="e">
        <f t="shared" ca="1" si="117"/>
        <v>#N/A</v>
      </c>
      <c r="J237" s="406" t="e">
        <f t="shared" ca="1" si="117"/>
        <v>#N/A</v>
      </c>
      <c r="K237" s="406" t="e">
        <f t="shared" ca="1" si="117"/>
        <v>#N/A</v>
      </c>
      <c r="L237" s="406" t="e">
        <f t="shared" ca="1" si="117"/>
        <v>#N/A</v>
      </c>
      <c r="M237" s="406" t="e">
        <f t="shared" ca="1" si="117"/>
        <v>#N/A</v>
      </c>
      <c r="N237" s="406" t="e">
        <f t="shared" ca="1" si="116"/>
        <v>#N/A</v>
      </c>
      <c r="O237" s="406" t="e">
        <f t="shared" ca="1" si="116"/>
        <v>#N/A</v>
      </c>
      <c r="P237" s="406" t="e">
        <f t="shared" ca="1" si="116"/>
        <v>#N/A</v>
      </c>
      <c r="Q237" s="406" t="e">
        <f t="shared" ca="1" si="116"/>
        <v>#N/A</v>
      </c>
      <c r="R237" s="406" t="e">
        <f t="shared" ca="1" si="116"/>
        <v>#N/A</v>
      </c>
      <c r="S237" s="406" t="e">
        <f t="shared" ca="1" si="116"/>
        <v>#N/A</v>
      </c>
      <c r="T237" s="406" t="e">
        <f t="shared" ca="1" si="116"/>
        <v>#N/A</v>
      </c>
      <c r="U237" s="406" t="e">
        <f t="shared" ca="1" si="116"/>
        <v>#N/A</v>
      </c>
      <c r="V237" s="406" t="e">
        <f t="shared" ca="1" si="116"/>
        <v>#N/A</v>
      </c>
      <c r="W237" s="406" t="e">
        <f t="shared" ca="1" si="116"/>
        <v>#N/A</v>
      </c>
      <c r="X237" s="406" t="e">
        <f t="shared" ca="1" si="116"/>
        <v>#N/A</v>
      </c>
      <c r="Y237" s="406" t="e">
        <f t="shared" ca="1" si="116"/>
        <v>#N/A</v>
      </c>
      <c r="Z237" s="406" t="e">
        <f t="shared" ca="1" si="116"/>
        <v>#N/A</v>
      </c>
      <c r="AA237" s="406" t="e">
        <f t="shared" ca="1" si="116"/>
        <v>#N/A</v>
      </c>
      <c r="AB237" s="406" t="e">
        <f t="shared" ca="1" si="116"/>
        <v>#N/A</v>
      </c>
      <c r="AC237" s="406" t="e">
        <f t="shared" ca="1" si="116"/>
        <v>#N/A</v>
      </c>
      <c r="AD237" s="406" t="e">
        <f t="shared" ca="1" si="118"/>
        <v>#N/A</v>
      </c>
      <c r="AE237" s="406" t="e">
        <f t="shared" ca="1" si="118"/>
        <v>#N/A</v>
      </c>
      <c r="AF237" s="406" t="e">
        <f t="shared" ca="1" si="118"/>
        <v>#N/A</v>
      </c>
      <c r="AG237" s="406" t="e">
        <f t="shared" ca="1" si="118"/>
        <v>#N/A</v>
      </c>
      <c r="AH237" s="406" t="e">
        <f t="shared" ca="1" si="118"/>
        <v>#N/A</v>
      </c>
      <c r="AI237" s="406" t="e">
        <f t="shared" ca="1" si="118"/>
        <v>#N/A</v>
      </c>
      <c r="AJ237" s="406" t="e">
        <f t="shared" ca="1" si="118"/>
        <v>#N/A</v>
      </c>
      <c r="AK237" s="406" t="e">
        <f t="shared" ca="1" si="118"/>
        <v>#N/A</v>
      </c>
      <c r="AL237" s="406" t="e">
        <f t="shared" ca="1" si="118"/>
        <v>#N/A</v>
      </c>
      <c r="AM237" s="406" t="e">
        <f t="shared" ca="1" si="118"/>
        <v>#N/A</v>
      </c>
      <c r="AN237" s="406" t="e">
        <f t="shared" ca="1" si="118"/>
        <v>#N/A</v>
      </c>
      <c r="AO237" s="406" t="e">
        <f t="shared" ca="1" si="118"/>
        <v>#N/A</v>
      </c>
      <c r="AP237" s="406" t="e">
        <f t="shared" ca="1" si="118"/>
        <v>#N/A</v>
      </c>
      <c r="AQ237" s="406" t="e">
        <f t="shared" ca="1" si="119"/>
        <v>#N/A</v>
      </c>
      <c r="AR237" s="406" t="e">
        <f t="shared" ca="1" si="120"/>
        <v>#N/A</v>
      </c>
      <c r="AS237" s="406" t="e">
        <f t="shared" ca="1" si="120"/>
        <v>#N/A</v>
      </c>
      <c r="AT237" s="406" t="e">
        <f t="shared" ca="1" si="120"/>
        <v>#N/A</v>
      </c>
      <c r="AU237" s="406" t="e">
        <f t="shared" ca="1" si="120"/>
        <v>#N/A</v>
      </c>
      <c r="AV237" s="406" t="e">
        <f t="shared" ca="1" si="120"/>
        <v>#N/A</v>
      </c>
      <c r="AW237" s="406" t="e">
        <f t="shared" ca="1" si="120"/>
        <v>#N/A</v>
      </c>
      <c r="AX237" s="406" t="e">
        <f t="shared" ca="1" si="120"/>
        <v>#N/A</v>
      </c>
      <c r="AY237" s="406" t="e">
        <f t="shared" ca="1" si="120"/>
        <v>#N/A</v>
      </c>
      <c r="AZ237" s="406" t="e">
        <f t="shared" ca="1" si="120"/>
        <v>#N/A</v>
      </c>
      <c r="BA237" s="406" t="e">
        <f t="shared" ca="1" si="120"/>
        <v>#N/A</v>
      </c>
      <c r="BB237" s="408"/>
      <c r="BC237" s="408" t="str">
        <f t="shared" ca="1" si="109"/>
        <v/>
      </c>
      <c r="BD237" s="408" t="s">
        <v>1278</v>
      </c>
      <c r="BE237" s="408" t="s">
        <v>1278</v>
      </c>
    </row>
    <row r="238" spans="3:57" x14ac:dyDescent="0.25">
      <c r="C238" s="406">
        <f t="shared" si="110"/>
        <v>236</v>
      </c>
      <c r="D238" s="406" t="e">
        <f t="shared" ca="1" si="117"/>
        <v>#N/A</v>
      </c>
      <c r="E238" s="406" t="e">
        <f t="shared" ca="1" si="117"/>
        <v>#N/A</v>
      </c>
      <c r="F238" s="406" t="e">
        <f t="shared" ca="1" si="117"/>
        <v>#N/A</v>
      </c>
      <c r="G238" s="406" t="e">
        <f t="shared" ca="1" si="117"/>
        <v>#N/A</v>
      </c>
      <c r="H238" s="406" t="e">
        <f t="shared" ca="1" si="117"/>
        <v>#N/A</v>
      </c>
      <c r="I238" s="406" t="e">
        <f t="shared" ca="1" si="117"/>
        <v>#N/A</v>
      </c>
      <c r="J238" s="406" t="e">
        <f t="shared" ca="1" si="117"/>
        <v>#N/A</v>
      </c>
      <c r="K238" s="406" t="e">
        <f t="shared" ca="1" si="117"/>
        <v>#N/A</v>
      </c>
      <c r="L238" s="406" t="e">
        <f t="shared" ca="1" si="117"/>
        <v>#N/A</v>
      </c>
      <c r="M238" s="406" t="e">
        <f t="shared" ca="1" si="117"/>
        <v>#N/A</v>
      </c>
      <c r="N238" s="406" t="e">
        <f t="shared" ca="1" si="116"/>
        <v>#N/A</v>
      </c>
      <c r="O238" s="406" t="e">
        <f t="shared" ca="1" si="116"/>
        <v>#N/A</v>
      </c>
      <c r="P238" s="406" t="e">
        <f t="shared" ca="1" si="116"/>
        <v>#N/A</v>
      </c>
      <c r="Q238" s="406" t="e">
        <f t="shared" ca="1" si="116"/>
        <v>#N/A</v>
      </c>
      <c r="R238" s="406" t="e">
        <f t="shared" ca="1" si="116"/>
        <v>#N/A</v>
      </c>
      <c r="S238" s="406" t="e">
        <f t="shared" ca="1" si="116"/>
        <v>#N/A</v>
      </c>
      <c r="T238" s="406" t="e">
        <f t="shared" ca="1" si="116"/>
        <v>#N/A</v>
      </c>
      <c r="U238" s="406" t="e">
        <f t="shared" ca="1" si="116"/>
        <v>#N/A</v>
      </c>
      <c r="V238" s="406" t="e">
        <f t="shared" ca="1" si="116"/>
        <v>#N/A</v>
      </c>
      <c r="W238" s="406" t="e">
        <f t="shared" ca="1" si="116"/>
        <v>#N/A</v>
      </c>
      <c r="X238" s="406" t="e">
        <f t="shared" ca="1" si="116"/>
        <v>#N/A</v>
      </c>
      <c r="Y238" s="406" t="e">
        <f t="shared" ca="1" si="116"/>
        <v>#N/A</v>
      </c>
      <c r="Z238" s="406" t="e">
        <f t="shared" ca="1" si="116"/>
        <v>#N/A</v>
      </c>
      <c r="AA238" s="406" t="e">
        <f t="shared" ca="1" si="116"/>
        <v>#N/A</v>
      </c>
      <c r="AB238" s="406" t="e">
        <f t="shared" ca="1" si="116"/>
        <v>#N/A</v>
      </c>
      <c r="AC238" s="406" t="e">
        <f t="shared" ca="1" si="116"/>
        <v>#N/A</v>
      </c>
      <c r="AD238" s="406" t="e">
        <f t="shared" ca="1" si="118"/>
        <v>#N/A</v>
      </c>
      <c r="AE238" s="406" t="e">
        <f t="shared" ca="1" si="118"/>
        <v>#N/A</v>
      </c>
      <c r="AF238" s="406" t="e">
        <f t="shared" ca="1" si="118"/>
        <v>#N/A</v>
      </c>
      <c r="AG238" s="406" t="e">
        <f t="shared" ca="1" si="118"/>
        <v>#N/A</v>
      </c>
      <c r="AH238" s="406" t="e">
        <f t="shared" ca="1" si="118"/>
        <v>#N/A</v>
      </c>
      <c r="AI238" s="406" t="e">
        <f t="shared" ca="1" si="118"/>
        <v>#N/A</v>
      </c>
      <c r="AJ238" s="406" t="e">
        <f t="shared" ca="1" si="118"/>
        <v>#N/A</v>
      </c>
      <c r="AK238" s="406" t="e">
        <f t="shared" ca="1" si="118"/>
        <v>#N/A</v>
      </c>
      <c r="AL238" s="406" t="e">
        <f t="shared" ca="1" si="118"/>
        <v>#N/A</v>
      </c>
      <c r="AM238" s="406" t="e">
        <f t="shared" ca="1" si="118"/>
        <v>#N/A</v>
      </c>
      <c r="AN238" s="406" t="e">
        <f t="shared" ca="1" si="118"/>
        <v>#N/A</v>
      </c>
      <c r="AO238" s="406" t="e">
        <f t="shared" ca="1" si="118"/>
        <v>#N/A</v>
      </c>
      <c r="AP238" s="406" t="e">
        <f t="shared" ca="1" si="118"/>
        <v>#N/A</v>
      </c>
      <c r="AQ238" s="406" t="e">
        <f t="shared" ca="1" si="119"/>
        <v>#N/A</v>
      </c>
      <c r="AR238" s="406" t="e">
        <f t="shared" ca="1" si="120"/>
        <v>#N/A</v>
      </c>
      <c r="AS238" s="406" t="e">
        <f t="shared" ca="1" si="120"/>
        <v>#N/A</v>
      </c>
      <c r="AT238" s="406" t="e">
        <f t="shared" ca="1" si="120"/>
        <v>#N/A</v>
      </c>
      <c r="AU238" s="406" t="e">
        <f t="shared" ca="1" si="120"/>
        <v>#N/A</v>
      </c>
      <c r="AV238" s="406" t="e">
        <f t="shared" ca="1" si="120"/>
        <v>#N/A</v>
      </c>
      <c r="AW238" s="406" t="e">
        <f t="shared" ca="1" si="120"/>
        <v>#N/A</v>
      </c>
      <c r="AX238" s="406" t="e">
        <f t="shared" ca="1" si="120"/>
        <v>#N/A</v>
      </c>
      <c r="AY238" s="406" t="e">
        <f t="shared" ca="1" si="120"/>
        <v>#N/A</v>
      </c>
      <c r="AZ238" s="406" t="e">
        <f t="shared" ca="1" si="120"/>
        <v>#N/A</v>
      </c>
      <c r="BA238" s="406" t="e">
        <f t="shared" ca="1" si="120"/>
        <v>#N/A</v>
      </c>
      <c r="BB238" s="408"/>
      <c r="BC238" s="408" t="str">
        <f t="shared" ca="1" si="109"/>
        <v/>
      </c>
      <c r="BD238" s="408" t="s">
        <v>1278</v>
      </c>
      <c r="BE238" s="408" t="s">
        <v>1278</v>
      </c>
    </row>
    <row r="239" spans="3:57" x14ac:dyDescent="0.25">
      <c r="C239" s="406">
        <f t="shared" si="110"/>
        <v>237</v>
      </c>
      <c r="D239" s="406" t="e">
        <f t="shared" ca="1" si="117"/>
        <v>#N/A</v>
      </c>
      <c r="E239" s="406" t="e">
        <f t="shared" ca="1" si="117"/>
        <v>#N/A</v>
      </c>
      <c r="F239" s="406" t="e">
        <f t="shared" ca="1" si="117"/>
        <v>#N/A</v>
      </c>
      <c r="G239" s="406" t="e">
        <f t="shared" ca="1" si="117"/>
        <v>#N/A</v>
      </c>
      <c r="H239" s="406" t="e">
        <f t="shared" ca="1" si="117"/>
        <v>#N/A</v>
      </c>
      <c r="I239" s="406" t="e">
        <f t="shared" ca="1" si="117"/>
        <v>#N/A</v>
      </c>
      <c r="J239" s="406" t="e">
        <f t="shared" ca="1" si="117"/>
        <v>#N/A</v>
      </c>
      <c r="K239" s="406" t="e">
        <f t="shared" ca="1" si="117"/>
        <v>#N/A</v>
      </c>
      <c r="L239" s="406" t="e">
        <f t="shared" ca="1" si="117"/>
        <v>#N/A</v>
      </c>
      <c r="M239" s="406" t="e">
        <f t="shared" ca="1" si="117"/>
        <v>#N/A</v>
      </c>
      <c r="N239" s="406" t="e">
        <f t="shared" ca="1" si="116"/>
        <v>#N/A</v>
      </c>
      <c r="O239" s="406" t="e">
        <f t="shared" ca="1" si="116"/>
        <v>#N/A</v>
      </c>
      <c r="P239" s="406" t="e">
        <f t="shared" ca="1" si="116"/>
        <v>#N/A</v>
      </c>
      <c r="Q239" s="406" t="e">
        <f t="shared" ca="1" si="116"/>
        <v>#N/A</v>
      </c>
      <c r="R239" s="406" t="e">
        <f t="shared" ca="1" si="116"/>
        <v>#N/A</v>
      </c>
      <c r="S239" s="406" t="e">
        <f t="shared" ca="1" si="116"/>
        <v>#N/A</v>
      </c>
      <c r="T239" s="406" t="e">
        <f t="shared" ca="1" si="116"/>
        <v>#N/A</v>
      </c>
      <c r="U239" s="406" t="e">
        <f t="shared" ca="1" si="116"/>
        <v>#N/A</v>
      </c>
      <c r="V239" s="406" t="e">
        <f t="shared" ca="1" si="116"/>
        <v>#N/A</v>
      </c>
      <c r="W239" s="406" t="e">
        <f t="shared" ca="1" si="116"/>
        <v>#N/A</v>
      </c>
      <c r="X239" s="406" t="e">
        <f t="shared" ca="1" si="116"/>
        <v>#N/A</v>
      </c>
      <c r="Y239" s="406" t="e">
        <f t="shared" ca="1" si="116"/>
        <v>#N/A</v>
      </c>
      <c r="Z239" s="406" t="e">
        <f t="shared" ca="1" si="116"/>
        <v>#N/A</v>
      </c>
      <c r="AA239" s="406" t="e">
        <f t="shared" ca="1" si="116"/>
        <v>#N/A</v>
      </c>
      <c r="AB239" s="406" t="e">
        <f t="shared" ca="1" si="116"/>
        <v>#N/A</v>
      </c>
      <c r="AC239" s="406" t="e">
        <f t="shared" ca="1" si="116"/>
        <v>#N/A</v>
      </c>
      <c r="AD239" s="406" t="e">
        <f t="shared" ca="1" si="118"/>
        <v>#N/A</v>
      </c>
      <c r="AE239" s="406" t="e">
        <f t="shared" ca="1" si="118"/>
        <v>#N/A</v>
      </c>
      <c r="AF239" s="406" t="e">
        <f t="shared" ca="1" si="118"/>
        <v>#N/A</v>
      </c>
      <c r="AG239" s="406" t="e">
        <f t="shared" ca="1" si="118"/>
        <v>#N/A</v>
      </c>
      <c r="AH239" s="406" t="e">
        <f t="shared" ca="1" si="118"/>
        <v>#N/A</v>
      </c>
      <c r="AI239" s="406" t="e">
        <f t="shared" ca="1" si="118"/>
        <v>#N/A</v>
      </c>
      <c r="AJ239" s="406" t="e">
        <f t="shared" ca="1" si="118"/>
        <v>#N/A</v>
      </c>
      <c r="AK239" s="406" t="e">
        <f t="shared" ca="1" si="118"/>
        <v>#N/A</v>
      </c>
      <c r="AL239" s="406" t="e">
        <f t="shared" ca="1" si="118"/>
        <v>#N/A</v>
      </c>
      <c r="AM239" s="406" t="e">
        <f t="shared" ca="1" si="118"/>
        <v>#N/A</v>
      </c>
      <c r="AN239" s="406" t="e">
        <f t="shared" ca="1" si="118"/>
        <v>#N/A</v>
      </c>
      <c r="AO239" s="406" t="e">
        <f t="shared" ca="1" si="118"/>
        <v>#N/A</v>
      </c>
      <c r="AP239" s="406" t="e">
        <f t="shared" ca="1" si="118"/>
        <v>#N/A</v>
      </c>
      <c r="AQ239" s="406" t="e">
        <f t="shared" ca="1" si="119"/>
        <v>#N/A</v>
      </c>
      <c r="AR239" s="406" t="e">
        <f t="shared" ca="1" si="120"/>
        <v>#N/A</v>
      </c>
      <c r="AS239" s="406" t="e">
        <f t="shared" ca="1" si="120"/>
        <v>#N/A</v>
      </c>
      <c r="AT239" s="406" t="e">
        <f t="shared" ca="1" si="120"/>
        <v>#N/A</v>
      </c>
      <c r="AU239" s="406" t="e">
        <f t="shared" ca="1" si="120"/>
        <v>#N/A</v>
      </c>
      <c r="AV239" s="406" t="e">
        <f t="shared" ca="1" si="120"/>
        <v>#N/A</v>
      </c>
      <c r="AW239" s="406" t="e">
        <f t="shared" ca="1" si="120"/>
        <v>#N/A</v>
      </c>
      <c r="AX239" s="406" t="e">
        <f t="shared" ca="1" si="120"/>
        <v>#N/A</v>
      </c>
      <c r="AY239" s="406" t="e">
        <f t="shared" ca="1" si="120"/>
        <v>#N/A</v>
      </c>
      <c r="AZ239" s="406" t="e">
        <f t="shared" ca="1" si="120"/>
        <v>#N/A</v>
      </c>
      <c r="BA239" s="406" t="e">
        <f t="shared" ca="1" si="120"/>
        <v>#N/A</v>
      </c>
      <c r="BB239" s="408"/>
      <c r="BC239" s="408" t="str">
        <f t="shared" ca="1" si="109"/>
        <v/>
      </c>
      <c r="BD239" s="408" t="s">
        <v>1278</v>
      </c>
      <c r="BE239" s="408" t="s">
        <v>1278</v>
      </c>
    </row>
    <row r="240" spans="3:57" x14ac:dyDescent="0.25">
      <c r="C240" s="406">
        <f t="shared" si="110"/>
        <v>238</v>
      </c>
      <c r="D240" s="406" t="e">
        <f t="shared" ca="1" si="117"/>
        <v>#N/A</v>
      </c>
      <c r="E240" s="406" t="e">
        <f t="shared" ca="1" si="117"/>
        <v>#N/A</v>
      </c>
      <c r="F240" s="406" t="e">
        <f t="shared" ca="1" si="117"/>
        <v>#N/A</v>
      </c>
      <c r="G240" s="406" t="e">
        <f t="shared" ca="1" si="117"/>
        <v>#N/A</v>
      </c>
      <c r="H240" s="406" t="e">
        <f t="shared" ca="1" si="117"/>
        <v>#N/A</v>
      </c>
      <c r="I240" s="406" t="e">
        <f t="shared" ca="1" si="117"/>
        <v>#N/A</v>
      </c>
      <c r="J240" s="406" t="e">
        <f t="shared" ca="1" si="117"/>
        <v>#N/A</v>
      </c>
      <c r="K240" s="406" t="e">
        <f t="shared" ca="1" si="117"/>
        <v>#N/A</v>
      </c>
      <c r="L240" s="406" t="e">
        <f t="shared" ca="1" si="117"/>
        <v>#N/A</v>
      </c>
      <c r="M240" s="406" t="e">
        <f t="shared" ca="1" si="117"/>
        <v>#N/A</v>
      </c>
      <c r="N240" s="406" t="e">
        <f t="shared" ca="1" si="117"/>
        <v>#N/A</v>
      </c>
      <c r="O240" s="406" t="e">
        <f t="shared" ca="1" si="117"/>
        <v>#N/A</v>
      </c>
      <c r="P240" s="406" t="e">
        <f t="shared" ca="1" si="117"/>
        <v>#N/A</v>
      </c>
      <c r="Q240" s="406" t="e">
        <f t="shared" ca="1" si="117"/>
        <v>#N/A</v>
      </c>
      <c r="R240" s="406" t="e">
        <f t="shared" ca="1" si="117"/>
        <v>#N/A</v>
      </c>
      <c r="S240" s="406" t="e">
        <f t="shared" ca="1" si="117"/>
        <v>#N/A</v>
      </c>
      <c r="T240" s="406" t="e">
        <f t="shared" ref="T240:AG263" ca="1" si="121">TRIM(INDIRECT("'" &amp; "TNX RTF" &amp; "'!" &amp; ADDRESS($A$3+$C240,T$1)))</f>
        <v>#N/A</v>
      </c>
      <c r="U240" s="406" t="e">
        <f t="shared" ca="1" si="121"/>
        <v>#N/A</v>
      </c>
      <c r="V240" s="406" t="e">
        <f t="shared" ca="1" si="121"/>
        <v>#N/A</v>
      </c>
      <c r="W240" s="406" t="e">
        <f t="shared" ca="1" si="121"/>
        <v>#N/A</v>
      </c>
      <c r="X240" s="406" t="e">
        <f t="shared" ca="1" si="121"/>
        <v>#N/A</v>
      </c>
      <c r="Y240" s="406" t="e">
        <f t="shared" ca="1" si="121"/>
        <v>#N/A</v>
      </c>
      <c r="Z240" s="406" t="e">
        <f t="shared" ca="1" si="121"/>
        <v>#N/A</v>
      </c>
      <c r="AA240" s="406" t="e">
        <f t="shared" ca="1" si="121"/>
        <v>#N/A</v>
      </c>
      <c r="AB240" s="406" t="e">
        <f t="shared" ca="1" si="121"/>
        <v>#N/A</v>
      </c>
      <c r="AC240" s="406" t="e">
        <f t="shared" ca="1" si="121"/>
        <v>#N/A</v>
      </c>
      <c r="AD240" s="406" t="e">
        <f t="shared" ca="1" si="121"/>
        <v>#N/A</v>
      </c>
      <c r="AE240" s="406" t="e">
        <f t="shared" ca="1" si="121"/>
        <v>#N/A</v>
      </c>
      <c r="AF240" s="406" t="e">
        <f t="shared" ca="1" si="121"/>
        <v>#N/A</v>
      </c>
      <c r="AG240" s="406" t="e">
        <f t="shared" ca="1" si="121"/>
        <v>#N/A</v>
      </c>
      <c r="AH240" s="406" t="e">
        <f t="shared" ca="1" si="118"/>
        <v>#N/A</v>
      </c>
      <c r="AI240" s="406" t="e">
        <f t="shared" ca="1" si="118"/>
        <v>#N/A</v>
      </c>
      <c r="AJ240" s="406" t="e">
        <f t="shared" ca="1" si="118"/>
        <v>#N/A</v>
      </c>
      <c r="AK240" s="406" t="e">
        <f t="shared" ca="1" si="118"/>
        <v>#N/A</v>
      </c>
      <c r="AL240" s="406" t="e">
        <f t="shared" ca="1" si="118"/>
        <v>#N/A</v>
      </c>
      <c r="AM240" s="406" t="e">
        <f t="shared" ca="1" si="118"/>
        <v>#N/A</v>
      </c>
      <c r="AN240" s="406" t="e">
        <f t="shared" ca="1" si="118"/>
        <v>#N/A</v>
      </c>
      <c r="AO240" s="406" t="e">
        <f t="shared" ca="1" si="118"/>
        <v>#N/A</v>
      </c>
      <c r="AP240" s="406" t="e">
        <f t="shared" ca="1" si="118"/>
        <v>#N/A</v>
      </c>
      <c r="AQ240" s="406" t="e">
        <f t="shared" ca="1" si="119"/>
        <v>#N/A</v>
      </c>
      <c r="AR240" s="406" t="e">
        <f t="shared" ca="1" si="120"/>
        <v>#N/A</v>
      </c>
      <c r="AS240" s="406" t="e">
        <f t="shared" ca="1" si="120"/>
        <v>#N/A</v>
      </c>
      <c r="AT240" s="406" t="e">
        <f t="shared" ca="1" si="120"/>
        <v>#N/A</v>
      </c>
      <c r="AU240" s="406" t="e">
        <f t="shared" ca="1" si="120"/>
        <v>#N/A</v>
      </c>
      <c r="AV240" s="406" t="e">
        <f t="shared" ca="1" si="120"/>
        <v>#N/A</v>
      </c>
      <c r="AW240" s="406" t="e">
        <f t="shared" ca="1" si="120"/>
        <v>#N/A</v>
      </c>
      <c r="AX240" s="406" t="e">
        <f t="shared" ca="1" si="120"/>
        <v>#N/A</v>
      </c>
      <c r="AY240" s="406" t="e">
        <f t="shared" ca="1" si="120"/>
        <v>#N/A</v>
      </c>
      <c r="AZ240" s="406" t="e">
        <f t="shared" ca="1" si="120"/>
        <v>#N/A</v>
      </c>
      <c r="BA240" s="406" t="e">
        <f t="shared" ca="1" si="120"/>
        <v>#N/A</v>
      </c>
      <c r="BB240" s="408"/>
      <c r="BC240" s="408" t="str">
        <f t="shared" ca="1" si="109"/>
        <v/>
      </c>
      <c r="BD240" s="408" t="s">
        <v>1278</v>
      </c>
      <c r="BE240" s="408" t="s">
        <v>1278</v>
      </c>
    </row>
    <row r="241" spans="3:57" x14ac:dyDescent="0.25">
      <c r="C241" s="406">
        <f t="shared" si="110"/>
        <v>239</v>
      </c>
      <c r="D241" s="406" t="e">
        <f t="shared" ca="1" si="117"/>
        <v>#N/A</v>
      </c>
      <c r="E241" s="406" t="e">
        <f t="shared" ca="1" si="117"/>
        <v>#N/A</v>
      </c>
      <c r="F241" s="406" t="e">
        <f t="shared" ca="1" si="117"/>
        <v>#N/A</v>
      </c>
      <c r="G241" s="406" t="e">
        <f t="shared" ca="1" si="117"/>
        <v>#N/A</v>
      </c>
      <c r="H241" s="406" t="e">
        <f t="shared" ca="1" si="117"/>
        <v>#N/A</v>
      </c>
      <c r="I241" s="406" t="e">
        <f t="shared" ca="1" si="117"/>
        <v>#N/A</v>
      </c>
      <c r="J241" s="406" t="e">
        <f t="shared" ca="1" si="117"/>
        <v>#N/A</v>
      </c>
      <c r="K241" s="406" t="e">
        <f t="shared" ca="1" si="117"/>
        <v>#N/A</v>
      </c>
      <c r="L241" s="406" t="e">
        <f t="shared" ca="1" si="117"/>
        <v>#N/A</v>
      </c>
      <c r="M241" s="406" t="e">
        <f t="shared" ca="1" si="117"/>
        <v>#N/A</v>
      </c>
      <c r="N241" s="406" t="e">
        <f t="shared" ca="1" si="117"/>
        <v>#N/A</v>
      </c>
      <c r="O241" s="406" t="e">
        <f t="shared" ca="1" si="117"/>
        <v>#N/A</v>
      </c>
      <c r="P241" s="406" t="e">
        <f t="shared" ca="1" si="117"/>
        <v>#N/A</v>
      </c>
      <c r="Q241" s="406" t="e">
        <f t="shared" ca="1" si="117"/>
        <v>#N/A</v>
      </c>
      <c r="R241" s="406" t="e">
        <f t="shared" ca="1" si="117"/>
        <v>#N/A</v>
      </c>
      <c r="S241" s="406" t="e">
        <f t="shared" ca="1" si="117"/>
        <v>#N/A</v>
      </c>
      <c r="T241" s="406" t="e">
        <f t="shared" ca="1" si="121"/>
        <v>#N/A</v>
      </c>
      <c r="U241" s="406" t="e">
        <f t="shared" ca="1" si="121"/>
        <v>#N/A</v>
      </c>
      <c r="V241" s="406" t="e">
        <f t="shared" ca="1" si="121"/>
        <v>#N/A</v>
      </c>
      <c r="W241" s="406" t="e">
        <f t="shared" ca="1" si="121"/>
        <v>#N/A</v>
      </c>
      <c r="X241" s="406" t="e">
        <f t="shared" ca="1" si="121"/>
        <v>#N/A</v>
      </c>
      <c r="Y241" s="406" t="e">
        <f t="shared" ca="1" si="121"/>
        <v>#N/A</v>
      </c>
      <c r="Z241" s="406" t="e">
        <f t="shared" ca="1" si="121"/>
        <v>#N/A</v>
      </c>
      <c r="AA241" s="406" t="e">
        <f t="shared" ca="1" si="121"/>
        <v>#N/A</v>
      </c>
      <c r="AB241" s="406" t="e">
        <f t="shared" ca="1" si="121"/>
        <v>#N/A</v>
      </c>
      <c r="AC241" s="406" t="e">
        <f t="shared" ca="1" si="121"/>
        <v>#N/A</v>
      </c>
      <c r="AD241" s="406" t="e">
        <f t="shared" ca="1" si="121"/>
        <v>#N/A</v>
      </c>
      <c r="AE241" s="406" t="e">
        <f t="shared" ca="1" si="121"/>
        <v>#N/A</v>
      </c>
      <c r="AF241" s="406" t="e">
        <f t="shared" ca="1" si="121"/>
        <v>#N/A</v>
      </c>
      <c r="AG241" s="406" t="e">
        <f t="shared" ca="1" si="121"/>
        <v>#N/A</v>
      </c>
      <c r="AH241" s="406" t="e">
        <f t="shared" ca="1" si="118"/>
        <v>#N/A</v>
      </c>
      <c r="AI241" s="406" t="e">
        <f t="shared" ca="1" si="118"/>
        <v>#N/A</v>
      </c>
      <c r="AJ241" s="406" t="e">
        <f t="shared" ca="1" si="118"/>
        <v>#N/A</v>
      </c>
      <c r="AK241" s="406" t="e">
        <f t="shared" ca="1" si="118"/>
        <v>#N/A</v>
      </c>
      <c r="AL241" s="406" t="e">
        <f t="shared" ca="1" si="118"/>
        <v>#N/A</v>
      </c>
      <c r="AM241" s="406" t="e">
        <f t="shared" ca="1" si="118"/>
        <v>#N/A</v>
      </c>
      <c r="AN241" s="406" t="e">
        <f t="shared" ca="1" si="118"/>
        <v>#N/A</v>
      </c>
      <c r="AO241" s="406" t="e">
        <f t="shared" ca="1" si="118"/>
        <v>#N/A</v>
      </c>
      <c r="AP241" s="406" t="e">
        <f t="shared" ca="1" si="118"/>
        <v>#N/A</v>
      </c>
      <c r="AQ241" s="406" t="e">
        <f t="shared" ca="1" si="119"/>
        <v>#N/A</v>
      </c>
      <c r="AR241" s="406" t="e">
        <f t="shared" ca="1" si="120"/>
        <v>#N/A</v>
      </c>
      <c r="AS241" s="406" t="e">
        <f t="shared" ca="1" si="120"/>
        <v>#N/A</v>
      </c>
      <c r="AT241" s="406" t="e">
        <f t="shared" ca="1" si="120"/>
        <v>#N/A</v>
      </c>
      <c r="AU241" s="406" t="e">
        <f t="shared" ca="1" si="120"/>
        <v>#N/A</v>
      </c>
      <c r="AV241" s="406" t="e">
        <f t="shared" ca="1" si="120"/>
        <v>#N/A</v>
      </c>
      <c r="AW241" s="406" t="e">
        <f t="shared" ca="1" si="120"/>
        <v>#N/A</v>
      </c>
      <c r="AX241" s="406" t="e">
        <f t="shared" ca="1" si="120"/>
        <v>#N/A</v>
      </c>
      <c r="AY241" s="406" t="e">
        <f t="shared" ca="1" si="120"/>
        <v>#N/A</v>
      </c>
      <c r="AZ241" s="406" t="e">
        <f t="shared" ca="1" si="120"/>
        <v>#N/A</v>
      </c>
      <c r="BA241" s="406" t="e">
        <f t="shared" ca="1" si="120"/>
        <v>#N/A</v>
      </c>
      <c r="BB241" s="408"/>
      <c r="BC241" s="408" t="str">
        <f t="shared" ca="1" si="109"/>
        <v/>
      </c>
      <c r="BD241" s="408" t="s">
        <v>1278</v>
      </c>
      <c r="BE241" s="408" t="s">
        <v>1278</v>
      </c>
    </row>
    <row r="242" spans="3:57" x14ac:dyDescent="0.25">
      <c r="C242" s="406">
        <f t="shared" si="110"/>
        <v>240</v>
      </c>
      <c r="D242" s="406" t="e">
        <f t="shared" ca="1" si="117"/>
        <v>#N/A</v>
      </c>
      <c r="E242" s="406" t="e">
        <f t="shared" ca="1" si="117"/>
        <v>#N/A</v>
      </c>
      <c r="F242" s="406" t="e">
        <f t="shared" ca="1" si="117"/>
        <v>#N/A</v>
      </c>
      <c r="G242" s="406" t="e">
        <f t="shared" ca="1" si="117"/>
        <v>#N/A</v>
      </c>
      <c r="H242" s="406" t="e">
        <f t="shared" ca="1" si="117"/>
        <v>#N/A</v>
      </c>
      <c r="I242" s="406" t="e">
        <f t="shared" ca="1" si="117"/>
        <v>#N/A</v>
      </c>
      <c r="J242" s="406" t="e">
        <f t="shared" ca="1" si="117"/>
        <v>#N/A</v>
      </c>
      <c r="K242" s="406" t="e">
        <f t="shared" ca="1" si="117"/>
        <v>#N/A</v>
      </c>
      <c r="L242" s="406" t="e">
        <f t="shared" ca="1" si="117"/>
        <v>#N/A</v>
      </c>
      <c r="M242" s="406" t="e">
        <f t="shared" ca="1" si="117"/>
        <v>#N/A</v>
      </c>
      <c r="N242" s="406" t="e">
        <f t="shared" ca="1" si="117"/>
        <v>#N/A</v>
      </c>
      <c r="O242" s="406" t="e">
        <f t="shared" ca="1" si="117"/>
        <v>#N/A</v>
      </c>
      <c r="P242" s="406" t="e">
        <f t="shared" ca="1" si="117"/>
        <v>#N/A</v>
      </c>
      <c r="Q242" s="406" t="e">
        <f t="shared" ca="1" si="117"/>
        <v>#N/A</v>
      </c>
      <c r="R242" s="406" t="e">
        <f t="shared" ca="1" si="117"/>
        <v>#N/A</v>
      </c>
      <c r="S242" s="406" t="e">
        <f t="shared" ca="1" si="117"/>
        <v>#N/A</v>
      </c>
      <c r="T242" s="406" t="e">
        <f t="shared" ca="1" si="121"/>
        <v>#N/A</v>
      </c>
      <c r="U242" s="406" t="e">
        <f t="shared" ca="1" si="121"/>
        <v>#N/A</v>
      </c>
      <c r="V242" s="406" t="e">
        <f t="shared" ca="1" si="121"/>
        <v>#N/A</v>
      </c>
      <c r="W242" s="406" t="e">
        <f t="shared" ca="1" si="121"/>
        <v>#N/A</v>
      </c>
      <c r="X242" s="406" t="e">
        <f t="shared" ca="1" si="121"/>
        <v>#N/A</v>
      </c>
      <c r="Y242" s="406" t="e">
        <f t="shared" ca="1" si="121"/>
        <v>#N/A</v>
      </c>
      <c r="Z242" s="406" t="e">
        <f t="shared" ca="1" si="121"/>
        <v>#N/A</v>
      </c>
      <c r="AA242" s="406" t="e">
        <f t="shared" ca="1" si="121"/>
        <v>#N/A</v>
      </c>
      <c r="AB242" s="406" t="e">
        <f t="shared" ca="1" si="121"/>
        <v>#N/A</v>
      </c>
      <c r="AC242" s="406" t="e">
        <f t="shared" ca="1" si="121"/>
        <v>#N/A</v>
      </c>
      <c r="AD242" s="406" t="e">
        <f t="shared" ca="1" si="121"/>
        <v>#N/A</v>
      </c>
      <c r="AE242" s="406" t="e">
        <f t="shared" ca="1" si="121"/>
        <v>#N/A</v>
      </c>
      <c r="AF242" s="406" t="e">
        <f t="shared" ca="1" si="121"/>
        <v>#N/A</v>
      </c>
      <c r="AG242" s="406" t="e">
        <f t="shared" ca="1" si="121"/>
        <v>#N/A</v>
      </c>
      <c r="AH242" s="406" t="e">
        <f t="shared" ca="1" si="118"/>
        <v>#N/A</v>
      </c>
      <c r="AI242" s="406" t="e">
        <f t="shared" ca="1" si="118"/>
        <v>#N/A</v>
      </c>
      <c r="AJ242" s="406" t="e">
        <f t="shared" ca="1" si="118"/>
        <v>#N/A</v>
      </c>
      <c r="AK242" s="406" t="e">
        <f t="shared" ca="1" si="118"/>
        <v>#N/A</v>
      </c>
      <c r="AL242" s="406" t="e">
        <f t="shared" ca="1" si="118"/>
        <v>#N/A</v>
      </c>
      <c r="AM242" s="406" t="e">
        <f t="shared" ca="1" si="118"/>
        <v>#N/A</v>
      </c>
      <c r="AN242" s="406" t="e">
        <f t="shared" ca="1" si="118"/>
        <v>#N/A</v>
      </c>
      <c r="AO242" s="406" t="e">
        <f t="shared" ca="1" si="118"/>
        <v>#N/A</v>
      </c>
      <c r="AP242" s="406" t="e">
        <f t="shared" ca="1" si="118"/>
        <v>#N/A</v>
      </c>
      <c r="AQ242" s="406" t="e">
        <f t="shared" ca="1" si="119"/>
        <v>#N/A</v>
      </c>
      <c r="AR242" s="406" t="e">
        <f t="shared" ca="1" si="120"/>
        <v>#N/A</v>
      </c>
      <c r="AS242" s="406" t="e">
        <f t="shared" ca="1" si="120"/>
        <v>#N/A</v>
      </c>
      <c r="AT242" s="406" t="e">
        <f t="shared" ca="1" si="120"/>
        <v>#N/A</v>
      </c>
      <c r="AU242" s="406" t="e">
        <f t="shared" ca="1" si="120"/>
        <v>#N/A</v>
      </c>
      <c r="AV242" s="406" t="e">
        <f t="shared" ca="1" si="120"/>
        <v>#N/A</v>
      </c>
      <c r="AW242" s="406" t="e">
        <f t="shared" ca="1" si="120"/>
        <v>#N/A</v>
      </c>
      <c r="AX242" s="406" t="e">
        <f t="shared" ca="1" si="120"/>
        <v>#N/A</v>
      </c>
      <c r="AY242" s="406" t="e">
        <f t="shared" ca="1" si="120"/>
        <v>#N/A</v>
      </c>
      <c r="AZ242" s="406" t="e">
        <f t="shared" ca="1" si="120"/>
        <v>#N/A</v>
      </c>
      <c r="BA242" s="406" t="e">
        <f t="shared" ca="1" si="120"/>
        <v>#N/A</v>
      </c>
      <c r="BB242" s="408"/>
      <c r="BC242" s="408" t="str">
        <f t="shared" ca="1" si="109"/>
        <v/>
      </c>
      <c r="BD242" s="408" t="s">
        <v>1278</v>
      </c>
      <c r="BE242" s="408" t="s">
        <v>1278</v>
      </c>
    </row>
    <row r="243" spans="3:57" x14ac:dyDescent="0.25">
      <c r="C243" s="406">
        <f t="shared" si="110"/>
        <v>241</v>
      </c>
      <c r="D243" s="406" t="e">
        <f t="shared" ca="1" si="117"/>
        <v>#N/A</v>
      </c>
      <c r="E243" s="406" t="e">
        <f t="shared" ca="1" si="117"/>
        <v>#N/A</v>
      </c>
      <c r="F243" s="406" t="e">
        <f t="shared" ca="1" si="117"/>
        <v>#N/A</v>
      </c>
      <c r="G243" s="406" t="e">
        <f t="shared" ca="1" si="117"/>
        <v>#N/A</v>
      </c>
      <c r="H243" s="406" t="e">
        <f t="shared" ca="1" si="117"/>
        <v>#N/A</v>
      </c>
      <c r="I243" s="406" t="e">
        <f t="shared" ca="1" si="117"/>
        <v>#N/A</v>
      </c>
      <c r="J243" s="406" t="e">
        <f t="shared" ca="1" si="117"/>
        <v>#N/A</v>
      </c>
      <c r="K243" s="406" t="e">
        <f t="shared" ca="1" si="117"/>
        <v>#N/A</v>
      </c>
      <c r="L243" s="406" t="e">
        <f t="shared" ca="1" si="117"/>
        <v>#N/A</v>
      </c>
      <c r="M243" s="406" t="e">
        <f t="shared" ca="1" si="117"/>
        <v>#N/A</v>
      </c>
      <c r="N243" s="406" t="e">
        <f t="shared" ca="1" si="117"/>
        <v>#N/A</v>
      </c>
      <c r="O243" s="406" t="e">
        <f t="shared" ca="1" si="117"/>
        <v>#N/A</v>
      </c>
      <c r="P243" s="406" t="e">
        <f t="shared" ca="1" si="117"/>
        <v>#N/A</v>
      </c>
      <c r="Q243" s="406" t="e">
        <f t="shared" ca="1" si="117"/>
        <v>#N/A</v>
      </c>
      <c r="R243" s="406" t="e">
        <f t="shared" ca="1" si="117"/>
        <v>#N/A</v>
      </c>
      <c r="S243" s="406" t="e">
        <f t="shared" ca="1" si="117"/>
        <v>#N/A</v>
      </c>
      <c r="T243" s="406" t="e">
        <f t="shared" ca="1" si="121"/>
        <v>#N/A</v>
      </c>
      <c r="U243" s="406" t="e">
        <f t="shared" ca="1" si="121"/>
        <v>#N/A</v>
      </c>
      <c r="V243" s="406" t="e">
        <f t="shared" ca="1" si="121"/>
        <v>#N/A</v>
      </c>
      <c r="W243" s="406" t="e">
        <f t="shared" ca="1" si="121"/>
        <v>#N/A</v>
      </c>
      <c r="X243" s="406" t="e">
        <f t="shared" ca="1" si="121"/>
        <v>#N/A</v>
      </c>
      <c r="Y243" s="406" t="e">
        <f t="shared" ca="1" si="121"/>
        <v>#N/A</v>
      </c>
      <c r="Z243" s="406" t="e">
        <f t="shared" ca="1" si="121"/>
        <v>#N/A</v>
      </c>
      <c r="AA243" s="406" t="e">
        <f t="shared" ca="1" si="121"/>
        <v>#N/A</v>
      </c>
      <c r="AB243" s="406" t="e">
        <f t="shared" ca="1" si="121"/>
        <v>#N/A</v>
      </c>
      <c r="AC243" s="406" t="e">
        <f t="shared" ca="1" si="121"/>
        <v>#N/A</v>
      </c>
      <c r="AD243" s="406" t="e">
        <f t="shared" ca="1" si="121"/>
        <v>#N/A</v>
      </c>
      <c r="AE243" s="406" t="e">
        <f t="shared" ca="1" si="121"/>
        <v>#N/A</v>
      </c>
      <c r="AF243" s="406" t="e">
        <f t="shared" ca="1" si="121"/>
        <v>#N/A</v>
      </c>
      <c r="AG243" s="406" t="e">
        <f t="shared" ca="1" si="121"/>
        <v>#N/A</v>
      </c>
      <c r="AH243" s="406" t="e">
        <f t="shared" ca="1" si="118"/>
        <v>#N/A</v>
      </c>
      <c r="AI243" s="406" t="e">
        <f t="shared" ca="1" si="118"/>
        <v>#N/A</v>
      </c>
      <c r="AJ243" s="406" t="e">
        <f t="shared" ca="1" si="118"/>
        <v>#N/A</v>
      </c>
      <c r="AK243" s="406" t="e">
        <f t="shared" ca="1" si="118"/>
        <v>#N/A</v>
      </c>
      <c r="AL243" s="406" t="e">
        <f t="shared" ca="1" si="118"/>
        <v>#N/A</v>
      </c>
      <c r="AM243" s="406" t="e">
        <f t="shared" ca="1" si="118"/>
        <v>#N/A</v>
      </c>
      <c r="AN243" s="406" t="e">
        <f t="shared" ca="1" si="118"/>
        <v>#N/A</v>
      </c>
      <c r="AO243" s="406" t="e">
        <f t="shared" ca="1" si="118"/>
        <v>#N/A</v>
      </c>
      <c r="AP243" s="406" t="e">
        <f t="shared" ca="1" si="118"/>
        <v>#N/A</v>
      </c>
      <c r="AQ243" s="406" t="e">
        <f t="shared" ca="1" si="119"/>
        <v>#N/A</v>
      </c>
      <c r="AR243" s="406" t="e">
        <f t="shared" ca="1" si="120"/>
        <v>#N/A</v>
      </c>
      <c r="AS243" s="406" t="e">
        <f t="shared" ca="1" si="120"/>
        <v>#N/A</v>
      </c>
      <c r="AT243" s="406" t="e">
        <f t="shared" ca="1" si="120"/>
        <v>#N/A</v>
      </c>
      <c r="AU243" s="406" t="e">
        <f t="shared" ca="1" si="120"/>
        <v>#N/A</v>
      </c>
      <c r="AV243" s="406" t="e">
        <f t="shared" ca="1" si="120"/>
        <v>#N/A</v>
      </c>
      <c r="AW243" s="406" t="e">
        <f t="shared" ca="1" si="120"/>
        <v>#N/A</v>
      </c>
      <c r="AX243" s="406" t="e">
        <f t="shared" ca="1" si="120"/>
        <v>#N/A</v>
      </c>
      <c r="AY243" s="406" t="e">
        <f t="shared" ca="1" si="120"/>
        <v>#N/A</v>
      </c>
      <c r="AZ243" s="406" t="e">
        <f t="shared" ca="1" si="120"/>
        <v>#N/A</v>
      </c>
      <c r="BA243" s="406" t="e">
        <f t="shared" ca="1" si="120"/>
        <v>#N/A</v>
      </c>
      <c r="BB243" s="408"/>
      <c r="BC243" s="408" t="str">
        <f t="shared" ca="1" si="109"/>
        <v/>
      </c>
      <c r="BD243" s="408" t="s">
        <v>1278</v>
      </c>
      <c r="BE243" s="408" t="s">
        <v>1278</v>
      </c>
    </row>
    <row r="244" spans="3:57" x14ac:dyDescent="0.25">
      <c r="C244" s="406">
        <f t="shared" si="110"/>
        <v>242</v>
      </c>
      <c r="D244" s="406" t="e">
        <f t="shared" ca="1" si="117"/>
        <v>#N/A</v>
      </c>
      <c r="E244" s="406" t="e">
        <f t="shared" ca="1" si="117"/>
        <v>#N/A</v>
      </c>
      <c r="F244" s="406" t="e">
        <f t="shared" ca="1" si="117"/>
        <v>#N/A</v>
      </c>
      <c r="G244" s="406" t="e">
        <f t="shared" ca="1" si="117"/>
        <v>#N/A</v>
      </c>
      <c r="H244" s="406" t="e">
        <f t="shared" ca="1" si="117"/>
        <v>#N/A</v>
      </c>
      <c r="I244" s="406" t="e">
        <f t="shared" ca="1" si="117"/>
        <v>#N/A</v>
      </c>
      <c r="J244" s="406" t="e">
        <f t="shared" ca="1" si="117"/>
        <v>#N/A</v>
      </c>
      <c r="K244" s="406" t="e">
        <f t="shared" ca="1" si="117"/>
        <v>#N/A</v>
      </c>
      <c r="L244" s="406" t="e">
        <f t="shared" ca="1" si="117"/>
        <v>#N/A</v>
      </c>
      <c r="M244" s="406" t="e">
        <f t="shared" ca="1" si="117"/>
        <v>#N/A</v>
      </c>
      <c r="N244" s="406" t="e">
        <f t="shared" ca="1" si="117"/>
        <v>#N/A</v>
      </c>
      <c r="O244" s="406" t="e">
        <f t="shared" ca="1" si="117"/>
        <v>#N/A</v>
      </c>
      <c r="P244" s="406" t="e">
        <f t="shared" ca="1" si="117"/>
        <v>#N/A</v>
      </c>
      <c r="Q244" s="406" t="e">
        <f t="shared" ca="1" si="117"/>
        <v>#N/A</v>
      </c>
      <c r="R244" s="406" t="e">
        <f t="shared" ca="1" si="117"/>
        <v>#N/A</v>
      </c>
      <c r="S244" s="406" t="e">
        <f t="shared" ca="1" si="117"/>
        <v>#N/A</v>
      </c>
      <c r="T244" s="406" t="e">
        <f t="shared" ca="1" si="121"/>
        <v>#N/A</v>
      </c>
      <c r="U244" s="406" t="e">
        <f t="shared" ca="1" si="121"/>
        <v>#N/A</v>
      </c>
      <c r="V244" s="406" t="e">
        <f t="shared" ca="1" si="121"/>
        <v>#N/A</v>
      </c>
      <c r="W244" s="406" t="e">
        <f t="shared" ca="1" si="121"/>
        <v>#N/A</v>
      </c>
      <c r="X244" s="406" t="e">
        <f t="shared" ca="1" si="121"/>
        <v>#N/A</v>
      </c>
      <c r="Y244" s="406" t="e">
        <f t="shared" ca="1" si="121"/>
        <v>#N/A</v>
      </c>
      <c r="Z244" s="406" t="e">
        <f t="shared" ca="1" si="121"/>
        <v>#N/A</v>
      </c>
      <c r="AA244" s="406" t="e">
        <f t="shared" ca="1" si="121"/>
        <v>#N/A</v>
      </c>
      <c r="AB244" s="406" t="e">
        <f t="shared" ca="1" si="121"/>
        <v>#N/A</v>
      </c>
      <c r="AC244" s="406" t="e">
        <f t="shared" ca="1" si="121"/>
        <v>#N/A</v>
      </c>
      <c r="AD244" s="406" t="e">
        <f t="shared" ca="1" si="121"/>
        <v>#N/A</v>
      </c>
      <c r="AE244" s="406" t="e">
        <f t="shared" ca="1" si="121"/>
        <v>#N/A</v>
      </c>
      <c r="AF244" s="406" t="e">
        <f t="shared" ca="1" si="121"/>
        <v>#N/A</v>
      </c>
      <c r="AG244" s="406" t="e">
        <f t="shared" ca="1" si="121"/>
        <v>#N/A</v>
      </c>
      <c r="AH244" s="406" t="e">
        <f t="shared" ca="1" si="118"/>
        <v>#N/A</v>
      </c>
      <c r="AI244" s="406" t="e">
        <f t="shared" ca="1" si="118"/>
        <v>#N/A</v>
      </c>
      <c r="AJ244" s="406" t="e">
        <f t="shared" ca="1" si="118"/>
        <v>#N/A</v>
      </c>
      <c r="AK244" s="406" t="e">
        <f t="shared" ca="1" si="118"/>
        <v>#N/A</v>
      </c>
      <c r="AL244" s="406" t="e">
        <f t="shared" ca="1" si="118"/>
        <v>#N/A</v>
      </c>
      <c r="AM244" s="406" t="e">
        <f t="shared" ca="1" si="118"/>
        <v>#N/A</v>
      </c>
      <c r="AN244" s="406" t="e">
        <f t="shared" ca="1" si="118"/>
        <v>#N/A</v>
      </c>
      <c r="AO244" s="406" t="e">
        <f t="shared" ca="1" si="118"/>
        <v>#N/A</v>
      </c>
      <c r="AP244" s="406" t="e">
        <f t="shared" ref="AH244:AQ270" ca="1" si="122">TRIM(INDIRECT("'" &amp; "TNX RTF" &amp; "'!" &amp; ADDRESS($A$3+$C244,AP$1)))</f>
        <v>#N/A</v>
      </c>
      <c r="AQ244" s="406" t="e">
        <f t="shared" ca="1" si="122"/>
        <v>#N/A</v>
      </c>
      <c r="AR244" s="406" t="e">
        <f t="shared" ca="1" si="120"/>
        <v>#N/A</v>
      </c>
      <c r="AS244" s="406" t="e">
        <f t="shared" ca="1" si="120"/>
        <v>#N/A</v>
      </c>
      <c r="AT244" s="406" t="e">
        <f t="shared" ca="1" si="120"/>
        <v>#N/A</v>
      </c>
      <c r="AU244" s="406" t="e">
        <f t="shared" ca="1" si="120"/>
        <v>#N/A</v>
      </c>
      <c r="AV244" s="406" t="e">
        <f t="shared" ca="1" si="120"/>
        <v>#N/A</v>
      </c>
      <c r="AW244" s="406" t="e">
        <f t="shared" ca="1" si="120"/>
        <v>#N/A</v>
      </c>
      <c r="AX244" s="406" t="e">
        <f t="shared" ca="1" si="120"/>
        <v>#N/A</v>
      </c>
      <c r="AY244" s="406" t="e">
        <f t="shared" ca="1" si="120"/>
        <v>#N/A</v>
      </c>
      <c r="AZ244" s="406" t="e">
        <f t="shared" ca="1" si="120"/>
        <v>#N/A</v>
      </c>
      <c r="BA244" s="406" t="e">
        <f t="shared" ca="1" si="120"/>
        <v>#N/A</v>
      </c>
      <c r="BB244" s="408"/>
      <c r="BC244" s="408" t="str">
        <f t="shared" ca="1" si="109"/>
        <v/>
      </c>
      <c r="BD244" s="408" t="s">
        <v>1278</v>
      </c>
      <c r="BE244" s="408" t="s">
        <v>1278</v>
      </c>
    </row>
    <row r="245" spans="3:57" x14ac:dyDescent="0.25">
      <c r="C245" s="406">
        <f t="shared" si="110"/>
        <v>243</v>
      </c>
      <c r="D245" s="406" t="e">
        <f t="shared" ca="1" si="117"/>
        <v>#N/A</v>
      </c>
      <c r="E245" s="406" t="e">
        <f t="shared" ca="1" si="117"/>
        <v>#N/A</v>
      </c>
      <c r="F245" s="406" t="e">
        <f t="shared" ca="1" si="117"/>
        <v>#N/A</v>
      </c>
      <c r="G245" s="406" t="e">
        <f t="shared" ca="1" si="117"/>
        <v>#N/A</v>
      </c>
      <c r="H245" s="406" t="e">
        <f t="shared" ca="1" si="117"/>
        <v>#N/A</v>
      </c>
      <c r="I245" s="406" t="e">
        <f t="shared" ca="1" si="117"/>
        <v>#N/A</v>
      </c>
      <c r="J245" s="406" t="e">
        <f t="shared" ca="1" si="117"/>
        <v>#N/A</v>
      </c>
      <c r="K245" s="406" t="e">
        <f t="shared" ca="1" si="117"/>
        <v>#N/A</v>
      </c>
      <c r="L245" s="406" t="e">
        <f t="shared" ca="1" si="117"/>
        <v>#N/A</v>
      </c>
      <c r="M245" s="406" t="e">
        <f t="shared" ca="1" si="117"/>
        <v>#N/A</v>
      </c>
      <c r="N245" s="406" t="e">
        <f t="shared" ca="1" si="117"/>
        <v>#N/A</v>
      </c>
      <c r="O245" s="406" t="e">
        <f t="shared" ca="1" si="117"/>
        <v>#N/A</v>
      </c>
      <c r="P245" s="406" t="e">
        <f t="shared" ca="1" si="117"/>
        <v>#N/A</v>
      </c>
      <c r="Q245" s="406" t="e">
        <f t="shared" ca="1" si="117"/>
        <v>#N/A</v>
      </c>
      <c r="R245" s="406" t="e">
        <f t="shared" ca="1" si="117"/>
        <v>#N/A</v>
      </c>
      <c r="S245" s="406" t="e">
        <f t="shared" ref="N245:W270" ca="1" si="123">TRIM(INDIRECT("'" &amp; "TNX RTF" &amp; "'!" &amp; ADDRESS($A$3+$C245,S$1)))</f>
        <v>#N/A</v>
      </c>
      <c r="T245" s="406" t="e">
        <f t="shared" ca="1" si="123"/>
        <v>#N/A</v>
      </c>
      <c r="U245" s="406" t="e">
        <f t="shared" ca="1" si="123"/>
        <v>#N/A</v>
      </c>
      <c r="V245" s="406" t="e">
        <f t="shared" ca="1" si="123"/>
        <v>#N/A</v>
      </c>
      <c r="W245" s="406" t="e">
        <f t="shared" ca="1" si="123"/>
        <v>#N/A</v>
      </c>
      <c r="X245" s="406" t="e">
        <f t="shared" ca="1" si="121"/>
        <v>#N/A</v>
      </c>
      <c r="Y245" s="406" t="e">
        <f t="shared" ca="1" si="121"/>
        <v>#N/A</v>
      </c>
      <c r="Z245" s="406" t="e">
        <f t="shared" ca="1" si="121"/>
        <v>#N/A</v>
      </c>
      <c r="AA245" s="406" t="e">
        <f t="shared" ca="1" si="121"/>
        <v>#N/A</v>
      </c>
      <c r="AB245" s="406" t="e">
        <f t="shared" ca="1" si="121"/>
        <v>#N/A</v>
      </c>
      <c r="AC245" s="406" t="e">
        <f t="shared" ca="1" si="121"/>
        <v>#N/A</v>
      </c>
      <c r="AD245" s="406" t="e">
        <f t="shared" ca="1" si="121"/>
        <v>#N/A</v>
      </c>
      <c r="AE245" s="406" t="e">
        <f t="shared" ca="1" si="121"/>
        <v>#N/A</v>
      </c>
      <c r="AF245" s="406" t="e">
        <f t="shared" ca="1" si="121"/>
        <v>#N/A</v>
      </c>
      <c r="AG245" s="406" t="e">
        <f t="shared" ca="1" si="121"/>
        <v>#N/A</v>
      </c>
      <c r="AH245" s="406" t="e">
        <f t="shared" ca="1" si="122"/>
        <v>#N/A</v>
      </c>
      <c r="AI245" s="406" t="e">
        <f t="shared" ca="1" si="122"/>
        <v>#N/A</v>
      </c>
      <c r="AJ245" s="406" t="e">
        <f t="shared" ca="1" si="122"/>
        <v>#N/A</v>
      </c>
      <c r="AK245" s="406" t="e">
        <f t="shared" ca="1" si="122"/>
        <v>#N/A</v>
      </c>
      <c r="AL245" s="406" t="e">
        <f t="shared" ca="1" si="122"/>
        <v>#N/A</v>
      </c>
      <c r="AM245" s="406" t="e">
        <f t="shared" ca="1" si="122"/>
        <v>#N/A</v>
      </c>
      <c r="AN245" s="406" t="e">
        <f t="shared" ca="1" si="122"/>
        <v>#N/A</v>
      </c>
      <c r="AO245" s="406" t="e">
        <f t="shared" ca="1" si="122"/>
        <v>#N/A</v>
      </c>
      <c r="AP245" s="406" t="e">
        <f t="shared" ca="1" si="122"/>
        <v>#N/A</v>
      </c>
      <c r="AQ245" s="406" t="e">
        <f t="shared" ca="1" si="122"/>
        <v>#N/A</v>
      </c>
      <c r="AR245" s="406" t="e">
        <f t="shared" ca="1" si="120"/>
        <v>#N/A</v>
      </c>
      <c r="AS245" s="406" t="e">
        <f t="shared" ca="1" si="120"/>
        <v>#N/A</v>
      </c>
      <c r="AT245" s="406" t="e">
        <f t="shared" ca="1" si="120"/>
        <v>#N/A</v>
      </c>
      <c r="AU245" s="406" t="e">
        <f t="shared" ca="1" si="120"/>
        <v>#N/A</v>
      </c>
      <c r="AV245" s="406" t="e">
        <f t="shared" ca="1" si="120"/>
        <v>#N/A</v>
      </c>
      <c r="AW245" s="406" t="e">
        <f t="shared" ca="1" si="120"/>
        <v>#N/A</v>
      </c>
      <c r="AX245" s="406" t="e">
        <f t="shared" ca="1" si="120"/>
        <v>#N/A</v>
      </c>
      <c r="AY245" s="406" t="e">
        <f t="shared" ca="1" si="120"/>
        <v>#N/A</v>
      </c>
      <c r="AZ245" s="406" t="e">
        <f t="shared" ca="1" si="120"/>
        <v>#N/A</v>
      </c>
      <c r="BA245" s="406" t="e">
        <f t="shared" ca="1" si="120"/>
        <v>#N/A</v>
      </c>
      <c r="BB245" s="408"/>
      <c r="BC245" s="408" t="str">
        <f t="shared" ca="1" si="109"/>
        <v/>
      </c>
      <c r="BD245" s="408" t="s">
        <v>1278</v>
      </c>
      <c r="BE245" s="408" t="s">
        <v>1278</v>
      </c>
    </row>
    <row r="246" spans="3:57" x14ac:dyDescent="0.25">
      <c r="C246" s="406">
        <f t="shared" si="110"/>
        <v>244</v>
      </c>
      <c r="D246" s="406" t="e">
        <f t="shared" ref="D246:M271" ca="1" si="124">TRIM(INDIRECT("'" &amp; "TNX RTF" &amp; "'!" &amp; ADDRESS($A$3+$C246,D$1)))</f>
        <v>#N/A</v>
      </c>
      <c r="E246" s="406" t="e">
        <f t="shared" ca="1" si="124"/>
        <v>#N/A</v>
      </c>
      <c r="F246" s="406" t="e">
        <f t="shared" ca="1" si="124"/>
        <v>#N/A</v>
      </c>
      <c r="G246" s="406" t="e">
        <f t="shared" ca="1" si="124"/>
        <v>#N/A</v>
      </c>
      <c r="H246" s="406" t="e">
        <f t="shared" ca="1" si="124"/>
        <v>#N/A</v>
      </c>
      <c r="I246" s="406" t="e">
        <f t="shared" ca="1" si="124"/>
        <v>#N/A</v>
      </c>
      <c r="J246" s="406" t="e">
        <f t="shared" ca="1" si="124"/>
        <v>#N/A</v>
      </c>
      <c r="K246" s="406" t="e">
        <f t="shared" ca="1" si="124"/>
        <v>#N/A</v>
      </c>
      <c r="L246" s="406" t="e">
        <f t="shared" ca="1" si="124"/>
        <v>#N/A</v>
      </c>
      <c r="M246" s="406" t="e">
        <f t="shared" ca="1" si="124"/>
        <v>#N/A</v>
      </c>
      <c r="N246" s="406" t="e">
        <f t="shared" ca="1" si="123"/>
        <v>#N/A</v>
      </c>
      <c r="O246" s="406" t="e">
        <f t="shared" ca="1" si="123"/>
        <v>#N/A</v>
      </c>
      <c r="P246" s="406" t="e">
        <f t="shared" ca="1" si="123"/>
        <v>#N/A</v>
      </c>
      <c r="Q246" s="406" t="e">
        <f t="shared" ca="1" si="123"/>
        <v>#N/A</v>
      </c>
      <c r="R246" s="406" t="e">
        <f t="shared" ca="1" si="123"/>
        <v>#N/A</v>
      </c>
      <c r="S246" s="406" t="e">
        <f t="shared" ca="1" si="123"/>
        <v>#N/A</v>
      </c>
      <c r="T246" s="406" t="e">
        <f t="shared" ca="1" si="123"/>
        <v>#N/A</v>
      </c>
      <c r="U246" s="406" t="e">
        <f t="shared" ca="1" si="123"/>
        <v>#N/A</v>
      </c>
      <c r="V246" s="406" t="e">
        <f t="shared" ca="1" si="123"/>
        <v>#N/A</v>
      </c>
      <c r="W246" s="406" t="e">
        <f t="shared" ca="1" si="123"/>
        <v>#N/A</v>
      </c>
      <c r="X246" s="406" t="e">
        <f t="shared" ca="1" si="121"/>
        <v>#N/A</v>
      </c>
      <c r="Y246" s="406" t="e">
        <f t="shared" ca="1" si="121"/>
        <v>#N/A</v>
      </c>
      <c r="Z246" s="406" t="e">
        <f t="shared" ca="1" si="121"/>
        <v>#N/A</v>
      </c>
      <c r="AA246" s="406" t="e">
        <f t="shared" ca="1" si="121"/>
        <v>#N/A</v>
      </c>
      <c r="AB246" s="406" t="e">
        <f t="shared" ca="1" si="121"/>
        <v>#N/A</v>
      </c>
      <c r="AC246" s="406" t="e">
        <f t="shared" ca="1" si="121"/>
        <v>#N/A</v>
      </c>
      <c r="AD246" s="406" t="e">
        <f t="shared" ca="1" si="121"/>
        <v>#N/A</v>
      </c>
      <c r="AE246" s="406" t="e">
        <f t="shared" ca="1" si="121"/>
        <v>#N/A</v>
      </c>
      <c r="AF246" s="406" t="e">
        <f t="shared" ca="1" si="121"/>
        <v>#N/A</v>
      </c>
      <c r="AG246" s="406" t="e">
        <f t="shared" ca="1" si="121"/>
        <v>#N/A</v>
      </c>
      <c r="AH246" s="406" t="e">
        <f t="shared" ca="1" si="122"/>
        <v>#N/A</v>
      </c>
      <c r="AI246" s="406" t="e">
        <f t="shared" ca="1" si="122"/>
        <v>#N/A</v>
      </c>
      <c r="AJ246" s="406" t="e">
        <f t="shared" ca="1" si="122"/>
        <v>#N/A</v>
      </c>
      <c r="AK246" s="406" t="e">
        <f t="shared" ca="1" si="122"/>
        <v>#N/A</v>
      </c>
      <c r="AL246" s="406" t="e">
        <f t="shared" ca="1" si="122"/>
        <v>#N/A</v>
      </c>
      <c r="AM246" s="406" t="e">
        <f t="shared" ca="1" si="122"/>
        <v>#N/A</v>
      </c>
      <c r="AN246" s="406" t="e">
        <f t="shared" ca="1" si="122"/>
        <v>#N/A</v>
      </c>
      <c r="AO246" s="406" t="e">
        <f t="shared" ca="1" si="122"/>
        <v>#N/A</v>
      </c>
      <c r="AP246" s="406" t="e">
        <f t="shared" ca="1" si="122"/>
        <v>#N/A</v>
      </c>
      <c r="AQ246" s="406" t="e">
        <f t="shared" ca="1" si="122"/>
        <v>#N/A</v>
      </c>
      <c r="AR246" s="406" t="e">
        <f t="shared" ca="1" si="120"/>
        <v>#N/A</v>
      </c>
      <c r="AS246" s="406" t="e">
        <f t="shared" ca="1" si="120"/>
        <v>#N/A</v>
      </c>
      <c r="AT246" s="406" t="e">
        <f t="shared" ca="1" si="120"/>
        <v>#N/A</v>
      </c>
      <c r="AU246" s="406" t="e">
        <f t="shared" ca="1" si="120"/>
        <v>#N/A</v>
      </c>
      <c r="AV246" s="406" t="e">
        <f t="shared" ca="1" si="120"/>
        <v>#N/A</v>
      </c>
      <c r="AW246" s="406" t="e">
        <f t="shared" ca="1" si="120"/>
        <v>#N/A</v>
      </c>
      <c r="AX246" s="406" t="e">
        <f t="shared" ca="1" si="120"/>
        <v>#N/A</v>
      </c>
      <c r="AY246" s="406" t="e">
        <f t="shared" ca="1" si="120"/>
        <v>#N/A</v>
      </c>
      <c r="AZ246" s="406" t="e">
        <f t="shared" ca="1" si="120"/>
        <v>#N/A</v>
      </c>
      <c r="BA246" s="406" t="e">
        <f t="shared" ca="1" si="120"/>
        <v>#N/A</v>
      </c>
      <c r="BB246" s="408"/>
      <c r="BC246" s="408" t="str">
        <f t="shared" ca="1" si="109"/>
        <v/>
      </c>
      <c r="BD246" s="408" t="s">
        <v>1278</v>
      </c>
      <c r="BE246" s="408" t="s">
        <v>1278</v>
      </c>
    </row>
    <row r="247" spans="3:57" x14ac:dyDescent="0.25">
      <c r="C247" s="406">
        <f t="shared" si="110"/>
        <v>245</v>
      </c>
      <c r="D247" s="406" t="e">
        <f t="shared" ca="1" si="124"/>
        <v>#N/A</v>
      </c>
      <c r="E247" s="406" t="e">
        <f t="shared" ca="1" si="124"/>
        <v>#N/A</v>
      </c>
      <c r="F247" s="406" t="e">
        <f t="shared" ca="1" si="124"/>
        <v>#N/A</v>
      </c>
      <c r="G247" s="406" t="e">
        <f t="shared" ca="1" si="124"/>
        <v>#N/A</v>
      </c>
      <c r="H247" s="406" t="e">
        <f t="shared" ca="1" si="124"/>
        <v>#N/A</v>
      </c>
      <c r="I247" s="406" t="e">
        <f t="shared" ca="1" si="124"/>
        <v>#N/A</v>
      </c>
      <c r="J247" s="406" t="e">
        <f t="shared" ca="1" si="124"/>
        <v>#N/A</v>
      </c>
      <c r="K247" s="406" t="e">
        <f t="shared" ca="1" si="124"/>
        <v>#N/A</v>
      </c>
      <c r="L247" s="406" t="e">
        <f t="shared" ca="1" si="124"/>
        <v>#N/A</v>
      </c>
      <c r="M247" s="406" t="e">
        <f t="shared" ca="1" si="124"/>
        <v>#N/A</v>
      </c>
      <c r="N247" s="406" t="e">
        <f t="shared" ca="1" si="123"/>
        <v>#N/A</v>
      </c>
      <c r="O247" s="406" t="e">
        <f t="shared" ca="1" si="123"/>
        <v>#N/A</v>
      </c>
      <c r="P247" s="406" t="e">
        <f t="shared" ca="1" si="123"/>
        <v>#N/A</v>
      </c>
      <c r="Q247" s="406" t="e">
        <f t="shared" ca="1" si="123"/>
        <v>#N/A</v>
      </c>
      <c r="R247" s="406" t="e">
        <f t="shared" ca="1" si="123"/>
        <v>#N/A</v>
      </c>
      <c r="S247" s="406" t="e">
        <f t="shared" ca="1" si="123"/>
        <v>#N/A</v>
      </c>
      <c r="T247" s="406" t="e">
        <f t="shared" ca="1" si="123"/>
        <v>#N/A</v>
      </c>
      <c r="U247" s="406" t="e">
        <f t="shared" ca="1" si="123"/>
        <v>#N/A</v>
      </c>
      <c r="V247" s="406" t="e">
        <f t="shared" ca="1" si="123"/>
        <v>#N/A</v>
      </c>
      <c r="W247" s="406" t="e">
        <f t="shared" ca="1" si="123"/>
        <v>#N/A</v>
      </c>
      <c r="X247" s="406" t="e">
        <f t="shared" ca="1" si="121"/>
        <v>#N/A</v>
      </c>
      <c r="Y247" s="406" t="e">
        <f t="shared" ca="1" si="121"/>
        <v>#N/A</v>
      </c>
      <c r="Z247" s="406" t="e">
        <f t="shared" ca="1" si="121"/>
        <v>#N/A</v>
      </c>
      <c r="AA247" s="406" t="e">
        <f t="shared" ca="1" si="121"/>
        <v>#N/A</v>
      </c>
      <c r="AB247" s="406" t="e">
        <f t="shared" ca="1" si="121"/>
        <v>#N/A</v>
      </c>
      <c r="AC247" s="406" t="e">
        <f t="shared" ca="1" si="121"/>
        <v>#N/A</v>
      </c>
      <c r="AD247" s="406" t="e">
        <f t="shared" ca="1" si="121"/>
        <v>#N/A</v>
      </c>
      <c r="AE247" s="406" t="e">
        <f t="shared" ca="1" si="121"/>
        <v>#N/A</v>
      </c>
      <c r="AF247" s="406" t="e">
        <f t="shared" ca="1" si="121"/>
        <v>#N/A</v>
      </c>
      <c r="AG247" s="406" t="e">
        <f t="shared" ca="1" si="121"/>
        <v>#N/A</v>
      </c>
      <c r="AH247" s="406" t="e">
        <f t="shared" ca="1" si="122"/>
        <v>#N/A</v>
      </c>
      <c r="AI247" s="406" t="e">
        <f t="shared" ca="1" si="122"/>
        <v>#N/A</v>
      </c>
      <c r="AJ247" s="406" t="e">
        <f t="shared" ca="1" si="122"/>
        <v>#N/A</v>
      </c>
      <c r="AK247" s="406" t="e">
        <f t="shared" ca="1" si="122"/>
        <v>#N/A</v>
      </c>
      <c r="AL247" s="406" t="e">
        <f t="shared" ca="1" si="122"/>
        <v>#N/A</v>
      </c>
      <c r="AM247" s="406" t="e">
        <f t="shared" ca="1" si="122"/>
        <v>#N/A</v>
      </c>
      <c r="AN247" s="406" t="e">
        <f t="shared" ca="1" si="122"/>
        <v>#N/A</v>
      </c>
      <c r="AO247" s="406" t="e">
        <f t="shared" ca="1" si="122"/>
        <v>#N/A</v>
      </c>
      <c r="AP247" s="406" t="e">
        <f t="shared" ca="1" si="122"/>
        <v>#N/A</v>
      </c>
      <c r="AQ247" s="406" t="e">
        <f t="shared" ca="1" si="122"/>
        <v>#N/A</v>
      </c>
      <c r="AR247" s="406" t="e">
        <f t="shared" ca="1" si="120"/>
        <v>#N/A</v>
      </c>
      <c r="AS247" s="406" t="e">
        <f t="shared" ca="1" si="120"/>
        <v>#N/A</v>
      </c>
      <c r="AT247" s="406" t="e">
        <f t="shared" ca="1" si="120"/>
        <v>#N/A</v>
      </c>
      <c r="AU247" s="406" t="e">
        <f t="shared" ca="1" si="120"/>
        <v>#N/A</v>
      </c>
      <c r="AV247" s="406" t="e">
        <f t="shared" ca="1" si="120"/>
        <v>#N/A</v>
      </c>
      <c r="AW247" s="406" t="e">
        <f t="shared" ca="1" si="120"/>
        <v>#N/A</v>
      </c>
      <c r="AX247" s="406" t="e">
        <f t="shared" ca="1" si="120"/>
        <v>#N/A</v>
      </c>
      <c r="AY247" s="406" t="e">
        <f t="shared" ca="1" si="120"/>
        <v>#N/A</v>
      </c>
      <c r="AZ247" s="406" t="e">
        <f t="shared" ca="1" si="120"/>
        <v>#N/A</v>
      </c>
      <c r="BA247" s="406" t="e">
        <f t="shared" ca="1" si="120"/>
        <v>#N/A</v>
      </c>
      <c r="BB247" s="408"/>
      <c r="BC247" s="408" t="str">
        <f t="shared" ca="1" si="109"/>
        <v/>
      </c>
      <c r="BD247" s="408" t="s">
        <v>1278</v>
      </c>
      <c r="BE247" s="408" t="s">
        <v>1278</v>
      </c>
    </row>
    <row r="248" spans="3:57" x14ac:dyDescent="0.25">
      <c r="C248" s="406">
        <f t="shared" si="110"/>
        <v>246</v>
      </c>
      <c r="D248" s="406" t="e">
        <f t="shared" ca="1" si="124"/>
        <v>#N/A</v>
      </c>
      <c r="E248" s="406" t="e">
        <f t="shared" ca="1" si="124"/>
        <v>#N/A</v>
      </c>
      <c r="F248" s="406" t="e">
        <f t="shared" ca="1" si="124"/>
        <v>#N/A</v>
      </c>
      <c r="G248" s="406" t="e">
        <f t="shared" ca="1" si="124"/>
        <v>#N/A</v>
      </c>
      <c r="H248" s="406" t="e">
        <f t="shared" ca="1" si="124"/>
        <v>#N/A</v>
      </c>
      <c r="I248" s="406" t="e">
        <f t="shared" ca="1" si="124"/>
        <v>#N/A</v>
      </c>
      <c r="J248" s="406" t="e">
        <f t="shared" ca="1" si="124"/>
        <v>#N/A</v>
      </c>
      <c r="K248" s="406" t="e">
        <f t="shared" ca="1" si="124"/>
        <v>#N/A</v>
      </c>
      <c r="L248" s="406" t="e">
        <f t="shared" ca="1" si="124"/>
        <v>#N/A</v>
      </c>
      <c r="M248" s="406" t="e">
        <f t="shared" ca="1" si="124"/>
        <v>#N/A</v>
      </c>
      <c r="N248" s="406" t="e">
        <f t="shared" ca="1" si="123"/>
        <v>#N/A</v>
      </c>
      <c r="O248" s="406" t="e">
        <f t="shared" ca="1" si="123"/>
        <v>#N/A</v>
      </c>
      <c r="P248" s="406" t="e">
        <f t="shared" ca="1" si="123"/>
        <v>#N/A</v>
      </c>
      <c r="Q248" s="406" t="e">
        <f t="shared" ca="1" si="123"/>
        <v>#N/A</v>
      </c>
      <c r="R248" s="406" t="e">
        <f t="shared" ca="1" si="123"/>
        <v>#N/A</v>
      </c>
      <c r="S248" s="406" t="e">
        <f t="shared" ca="1" si="123"/>
        <v>#N/A</v>
      </c>
      <c r="T248" s="406" t="e">
        <f t="shared" ca="1" si="123"/>
        <v>#N/A</v>
      </c>
      <c r="U248" s="406" t="e">
        <f t="shared" ca="1" si="123"/>
        <v>#N/A</v>
      </c>
      <c r="V248" s="406" t="e">
        <f t="shared" ca="1" si="123"/>
        <v>#N/A</v>
      </c>
      <c r="W248" s="406" t="e">
        <f t="shared" ca="1" si="123"/>
        <v>#N/A</v>
      </c>
      <c r="X248" s="406" t="e">
        <f t="shared" ca="1" si="121"/>
        <v>#N/A</v>
      </c>
      <c r="Y248" s="406" t="e">
        <f t="shared" ca="1" si="121"/>
        <v>#N/A</v>
      </c>
      <c r="Z248" s="406" t="e">
        <f t="shared" ca="1" si="121"/>
        <v>#N/A</v>
      </c>
      <c r="AA248" s="406" t="e">
        <f t="shared" ca="1" si="121"/>
        <v>#N/A</v>
      </c>
      <c r="AB248" s="406" t="e">
        <f t="shared" ca="1" si="121"/>
        <v>#N/A</v>
      </c>
      <c r="AC248" s="406" t="e">
        <f t="shared" ca="1" si="121"/>
        <v>#N/A</v>
      </c>
      <c r="AD248" s="406" t="e">
        <f t="shared" ca="1" si="121"/>
        <v>#N/A</v>
      </c>
      <c r="AE248" s="406" t="e">
        <f t="shared" ca="1" si="121"/>
        <v>#N/A</v>
      </c>
      <c r="AF248" s="406" t="e">
        <f t="shared" ca="1" si="121"/>
        <v>#N/A</v>
      </c>
      <c r="AG248" s="406" t="e">
        <f t="shared" ca="1" si="121"/>
        <v>#N/A</v>
      </c>
      <c r="AH248" s="406" t="e">
        <f t="shared" ca="1" si="122"/>
        <v>#N/A</v>
      </c>
      <c r="AI248" s="406" t="e">
        <f t="shared" ca="1" si="122"/>
        <v>#N/A</v>
      </c>
      <c r="AJ248" s="406" t="e">
        <f t="shared" ca="1" si="122"/>
        <v>#N/A</v>
      </c>
      <c r="AK248" s="406" t="e">
        <f t="shared" ca="1" si="122"/>
        <v>#N/A</v>
      </c>
      <c r="AL248" s="406" t="e">
        <f t="shared" ca="1" si="122"/>
        <v>#N/A</v>
      </c>
      <c r="AM248" s="406" t="e">
        <f t="shared" ca="1" si="122"/>
        <v>#N/A</v>
      </c>
      <c r="AN248" s="406" t="e">
        <f t="shared" ca="1" si="122"/>
        <v>#N/A</v>
      </c>
      <c r="AO248" s="406" t="e">
        <f t="shared" ca="1" si="122"/>
        <v>#N/A</v>
      </c>
      <c r="AP248" s="406" t="e">
        <f t="shared" ca="1" si="122"/>
        <v>#N/A</v>
      </c>
      <c r="AQ248" s="406" t="e">
        <f t="shared" ca="1" si="122"/>
        <v>#N/A</v>
      </c>
      <c r="AR248" s="406" t="e">
        <f t="shared" ca="1" si="120"/>
        <v>#N/A</v>
      </c>
      <c r="AS248" s="406" t="e">
        <f t="shared" ca="1" si="120"/>
        <v>#N/A</v>
      </c>
      <c r="AT248" s="406" t="e">
        <f t="shared" ca="1" si="120"/>
        <v>#N/A</v>
      </c>
      <c r="AU248" s="406" t="e">
        <f t="shared" ca="1" si="120"/>
        <v>#N/A</v>
      </c>
      <c r="AV248" s="406" t="e">
        <f t="shared" ca="1" si="120"/>
        <v>#N/A</v>
      </c>
      <c r="AW248" s="406" t="e">
        <f t="shared" ca="1" si="120"/>
        <v>#N/A</v>
      </c>
      <c r="AX248" s="406" t="e">
        <f t="shared" ca="1" si="120"/>
        <v>#N/A</v>
      </c>
      <c r="AY248" s="406" t="e">
        <f t="shared" ca="1" si="120"/>
        <v>#N/A</v>
      </c>
      <c r="AZ248" s="406" t="e">
        <f t="shared" ca="1" si="120"/>
        <v>#N/A</v>
      </c>
      <c r="BA248" s="406" t="e">
        <f t="shared" ca="1" si="120"/>
        <v>#N/A</v>
      </c>
      <c r="BB248" s="408"/>
      <c r="BC248" s="408" t="str">
        <f t="shared" ca="1" si="109"/>
        <v/>
      </c>
      <c r="BD248" s="408" t="s">
        <v>1278</v>
      </c>
      <c r="BE248" s="408" t="s">
        <v>1278</v>
      </c>
    </row>
    <row r="249" spans="3:57" x14ac:dyDescent="0.25">
      <c r="C249" s="406">
        <f t="shared" si="110"/>
        <v>247</v>
      </c>
      <c r="D249" s="406" t="e">
        <f t="shared" ca="1" si="124"/>
        <v>#N/A</v>
      </c>
      <c r="E249" s="406" t="e">
        <f t="shared" ca="1" si="124"/>
        <v>#N/A</v>
      </c>
      <c r="F249" s="406" t="e">
        <f t="shared" ca="1" si="124"/>
        <v>#N/A</v>
      </c>
      <c r="G249" s="406" t="e">
        <f t="shared" ca="1" si="124"/>
        <v>#N/A</v>
      </c>
      <c r="H249" s="406" t="e">
        <f t="shared" ca="1" si="124"/>
        <v>#N/A</v>
      </c>
      <c r="I249" s="406" t="e">
        <f t="shared" ca="1" si="124"/>
        <v>#N/A</v>
      </c>
      <c r="J249" s="406" t="e">
        <f t="shared" ca="1" si="124"/>
        <v>#N/A</v>
      </c>
      <c r="K249" s="406" t="e">
        <f t="shared" ca="1" si="124"/>
        <v>#N/A</v>
      </c>
      <c r="L249" s="406" t="e">
        <f t="shared" ca="1" si="124"/>
        <v>#N/A</v>
      </c>
      <c r="M249" s="406" t="e">
        <f t="shared" ca="1" si="124"/>
        <v>#N/A</v>
      </c>
      <c r="N249" s="406" t="e">
        <f t="shared" ca="1" si="123"/>
        <v>#N/A</v>
      </c>
      <c r="O249" s="406" t="e">
        <f t="shared" ca="1" si="123"/>
        <v>#N/A</v>
      </c>
      <c r="P249" s="406" t="e">
        <f t="shared" ca="1" si="123"/>
        <v>#N/A</v>
      </c>
      <c r="Q249" s="406" t="e">
        <f t="shared" ca="1" si="123"/>
        <v>#N/A</v>
      </c>
      <c r="R249" s="406" t="e">
        <f t="shared" ca="1" si="123"/>
        <v>#N/A</v>
      </c>
      <c r="S249" s="406" t="e">
        <f t="shared" ca="1" si="123"/>
        <v>#N/A</v>
      </c>
      <c r="T249" s="406" t="e">
        <f t="shared" ca="1" si="123"/>
        <v>#N/A</v>
      </c>
      <c r="U249" s="406" t="e">
        <f t="shared" ca="1" si="123"/>
        <v>#N/A</v>
      </c>
      <c r="V249" s="406" t="e">
        <f t="shared" ca="1" si="123"/>
        <v>#N/A</v>
      </c>
      <c r="W249" s="406" t="e">
        <f t="shared" ca="1" si="123"/>
        <v>#N/A</v>
      </c>
      <c r="X249" s="406" t="e">
        <f t="shared" ca="1" si="121"/>
        <v>#N/A</v>
      </c>
      <c r="Y249" s="406" t="e">
        <f t="shared" ca="1" si="121"/>
        <v>#N/A</v>
      </c>
      <c r="Z249" s="406" t="e">
        <f t="shared" ca="1" si="121"/>
        <v>#N/A</v>
      </c>
      <c r="AA249" s="406" t="e">
        <f t="shared" ca="1" si="121"/>
        <v>#N/A</v>
      </c>
      <c r="AB249" s="406" t="e">
        <f t="shared" ca="1" si="121"/>
        <v>#N/A</v>
      </c>
      <c r="AC249" s="406" t="e">
        <f t="shared" ca="1" si="121"/>
        <v>#N/A</v>
      </c>
      <c r="AD249" s="406" t="e">
        <f t="shared" ca="1" si="121"/>
        <v>#N/A</v>
      </c>
      <c r="AE249" s="406" t="e">
        <f t="shared" ca="1" si="121"/>
        <v>#N/A</v>
      </c>
      <c r="AF249" s="406" t="e">
        <f t="shared" ca="1" si="121"/>
        <v>#N/A</v>
      </c>
      <c r="AG249" s="406" t="e">
        <f t="shared" ca="1" si="121"/>
        <v>#N/A</v>
      </c>
      <c r="AH249" s="406" t="e">
        <f t="shared" ca="1" si="122"/>
        <v>#N/A</v>
      </c>
      <c r="AI249" s="406" t="e">
        <f t="shared" ca="1" si="122"/>
        <v>#N/A</v>
      </c>
      <c r="AJ249" s="406" t="e">
        <f t="shared" ca="1" si="122"/>
        <v>#N/A</v>
      </c>
      <c r="AK249" s="406" t="e">
        <f t="shared" ca="1" si="122"/>
        <v>#N/A</v>
      </c>
      <c r="AL249" s="406" t="e">
        <f t="shared" ca="1" si="122"/>
        <v>#N/A</v>
      </c>
      <c r="AM249" s="406" t="e">
        <f t="shared" ca="1" si="122"/>
        <v>#N/A</v>
      </c>
      <c r="AN249" s="406" t="e">
        <f t="shared" ca="1" si="122"/>
        <v>#N/A</v>
      </c>
      <c r="AO249" s="406" t="e">
        <f t="shared" ca="1" si="122"/>
        <v>#N/A</v>
      </c>
      <c r="AP249" s="406" t="e">
        <f t="shared" ca="1" si="122"/>
        <v>#N/A</v>
      </c>
      <c r="AQ249" s="406" t="e">
        <f t="shared" ca="1" si="122"/>
        <v>#N/A</v>
      </c>
      <c r="AR249" s="406" t="e">
        <f t="shared" ca="1" si="120"/>
        <v>#N/A</v>
      </c>
      <c r="AS249" s="406" t="e">
        <f t="shared" ca="1" si="120"/>
        <v>#N/A</v>
      </c>
      <c r="AT249" s="406" t="e">
        <f t="shared" ca="1" si="120"/>
        <v>#N/A</v>
      </c>
      <c r="AU249" s="406" t="e">
        <f t="shared" ca="1" si="120"/>
        <v>#N/A</v>
      </c>
      <c r="AV249" s="406" t="e">
        <f t="shared" ca="1" si="120"/>
        <v>#N/A</v>
      </c>
      <c r="AW249" s="406" t="e">
        <f t="shared" ca="1" si="120"/>
        <v>#N/A</v>
      </c>
      <c r="AX249" s="406" t="e">
        <f t="shared" ca="1" si="120"/>
        <v>#N/A</v>
      </c>
      <c r="AY249" s="406" t="e">
        <f t="shared" ca="1" si="120"/>
        <v>#N/A</v>
      </c>
      <c r="AZ249" s="406" t="e">
        <f t="shared" ca="1" si="120"/>
        <v>#N/A</v>
      </c>
      <c r="BA249" s="406" t="e">
        <f t="shared" ca="1" si="120"/>
        <v>#N/A</v>
      </c>
      <c r="BB249" s="408"/>
      <c r="BC249" s="408" t="str">
        <f t="shared" ca="1" si="109"/>
        <v/>
      </c>
      <c r="BD249" s="408" t="s">
        <v>1278</v>
      </c>
      <c r="BE249" s="408" t="s">
        <v>1278</v>
      </c>
    </row>
    <row r="250" spans="3:57" x14ac:dyDescent="0.25">
      <c r="C250" s="406">
        <f t="shared" si="110"/>
        <v>248</v>
      </c>
      <c r="D250" s="406" t="e">
        <f t="shared" ca="1" si="124"/>
        <v>#N/A</v>
      </c>
      <c r="E250" s="406" t="e">
        <f t="shared" ca="1" si="124"/>
        <v>#N/A</v>
      </c>
      <c r="F250" s="406" t="e">
        <f t="shared" ca="1" si="124"/>
        <v>#N/A</v>
      </c>
      <c r="G250" s="406" t="e">
        <f t="shared" ca="1" si="124"/>
        <v>#N/A</v>
      </c>
      <c r="H250" s="406" t="e">
        <f t="shared" ca="1" si="124"/>
        <v>#N/A</v>
      </c>
      <c r="I250" s="406" t="e">
        <f t="shared" ca="1" si="124"/>
        <v>#N/A</v>
      </c>
      <c r="J250" s="406" t="e">
        <f t="shared" ca="1" si="124"/>
        <v>#N/A</v>
      </c>
      <c r="K250" s="406" t="e">
        <f t="shared" ca="1" si="124"/>
        <v>#N/A</v>
      </c>
      <c r="L250" s="406" t="e">
        <f t="shared" ca="1" si="124"/>
        <v>#N/A</v>
      </c>
      <c r="M250" s="406" t="e">
        <f t="shared" ca="1" si="124"/>
        <v>#N/A</v>
      </c>
      <c r="N250" s="406" t="e">
        <f t="shared" ca="1" si="123"/>
        <v>#N/A</v>
      </c>
      <c r="O250" s="406" t="e">
        <f t="shared" ca="1" si="123"/>
        <v>#N/A</v>
      </c>
      <c r="P250" s="406" t="e">
        <f t="shared" ca="1" si="123"/>
        <v>#N/A</v>
      </c>
      <c r="Q250" s="406" t="e">
        <f t="shared" ca="1" si="123"/>
        <v>#N/A</v>
      </c>
      <c r="R250" s="406" t="e">
        <f t="shared" ca="1" si="123"/>
        <v>#N/A</v>
      </c>
      <c r="S250" s="406" t="e">
        <f t="shared" ca="1" si="123"/>
        <v>#N/A</v>
      </c>
      <c r="T250" s="406" t="e">
        <f t="shared" ca="1" si="123"/>
        <v>#N/A</v>
      </c>
      <c r="U250" s="406" t="e">
        <f t="shared" ca="1" si="123"/>
        <v>#N/A</v>
      </c>
      <c r="V250" s="406" t="e">
        <f t="shared" ca="1" si="123"/>
        <v>#N/A</v>
      </c>
      <c r="W250" s="406" t="e">
        <f t="shared" ca="1" si="123"/>
        <v>#N/A</v>
      </c>
      <c r="X250" s="406" t="e">
        <f t="shared" ca="1" si="121"/>
        <v>#N/A</v>
      </c>
      <c r="Y250" s="406" t="e">
        <f t="shared" ca="1" si="121"/>
        <v>#N/A</v>
      </c>
      <c r="Z250" s="406" t="e">
        <f t="shared" ca="1" si="121"/>
        <v>#N/A</v>
      </c>
      <c r="AA250" s="406" t="e">
        <f t="shared" ca="1" si="121"/>
        <v>#N/A</v>
      </c>
      <c r="AB250" s="406" t="e">
        <f t="shared" ca="1" si="121"/>
        <v>#N/A</v>
      </c>
      <c r="AC250" s="406" t="e">
        <f t="shared" ca="1" si="121"/>
        <v>#N/A</v>
      </c>
      <c r="AD250" s="406" t="e">
        <f t="shared" ca="1" si="121"/>
        <v>#N/A</v>
      </c>
      <c r="AE250" s="406" t="e">
        <f t="shared" ca="1" si="121"/>
        <v>#N/A</v>
      </c>
      <c r="AF250" s="406" t="e">
        <f t="shared" ca="1" si="121"/>
        <v>#N/A</v>
      </c>
      <c r="AG250" s="406" t="e">
        <f t="shared" ca="1" si="121"/>
        <v>#N/A</v>
      </c>
      <c r="AH250" s="406" t="e">
        <f t="shared" ca="1" si="122"/>
        <v>#N/A</v>
      </c>
      <c r="AI250" s="406" t="e">
        <f t="shared" ca="1" si="122"/>
        <v>#N/A</v>
      </c>
      <c r="AJ250" s="406" t="e">
        <f t="shared" ca="1" si="122"/>
        <v>#N/A</v>
      </c>
      <c r="AK250" s="406" t="e">
        <f t="shared" ca="1" si="122"/>
        <v>#N/A</v>
      </c>
      <c r="AL250" s="406" t="e">
        <f t="shared" ca="1" si="122"/>
        <v>#N/A</v>
      </c>
      <c r="AM250" s="406" t="e">
        <f t="shared" ca="1" si="122"/>
        <v>#N/A</v>
      </c>
      <c r="AN250" s="406" t="e">
        <f t="shared" ca="1" si="122"/>
        <v>#N/A</v>
      </c>
      <c r="AO250" s="406" t="e">
        <f t="shared" ca="1" si="122"/>
        <v>#N/A</v>
      </c>
      <c r="AP250" s="406" t="e">
        <f t="shared" ca="1" si="122"/>
        <v>#N/A</v>
      </c>
      <c r="AQ250" s="406" t="e">
        <f t="shared" ca="1" si="122"/>
        <v>#N/A</v>
      </c>
      <c r="AR250" s="406" t="e">
        <f t="shared" ca="1" si="120"/>
        <v>#N/A</v>
      </c>
      <c r="AS250" s="406" t="e">
        <f t="shared" ca="1" si="120"/>
        <v>#N/A</v>
      </c>
      <c r="AT250" s="406" t="e">
        <f t="shared" ca="1" si="120"/>
        <v>#N/A</v>
      </c>
      <c r="AU250" s="406" t="e">
        <f t="shared" ca="1" si="120"/>
        <v>#N/A</v>
      </c>
      <c r="AV250" s="406" t="e">
        <f t="shared" ca="1" si="120"/>
        <v>#N/A</v>
      </c>
      <c r="AW250" s="406" t="e">
        <f t="shared" ca="1" si="120"/>
        <v>#N/A</v>
      </c>
      <c r="AX250" s="406" t="e">
        <f t="shared" ca="1" si="120"/>
        <v>#N/A</v>
      </c>
      <c r="AY250" s="406" t="e">
        <f t="shared" ca="1" si="120"/>
        <v>#N/A</v>
      </c>
      <c r="AZ250" s="406" t="e">
        <f t="shared" ca="1" si="120"/>
        <v>#N/A</v>
      </c>
      <c r="BA250" s="406" t="e">
        <f t="shared" ca="1" si="120"/>
        <v>#N/A</v>
      </c>
      <c r="BB250" s="408"/>
      <c r="BC250" s="408" t="str">
        <f t="shared" ca="1" si="109"/>
        <v/>
      </c>
      <c r="BD250" s="408" t="s">
        <v>1278</v>
      </c>
      <c r="BE250" s="408" t="s">
        <v>1278</v>
      </c>
    </row>
    <row r="251" spans="3:57" x14ac:dyDescent="0.25">
      <c r="C251" s="406">
        <f t="shared" si="110"/>
        <v>249</v>
      </c>
      <c r="D251" s="406" t="e">
        <f t="shared" ca="1" si="124"/>
        <v>#N/A</v>
      </c>
      <c r="E251" s="406" t="e">
        <f t="shared" ca="1" si="124"/>
        <v>#N/A</v>
      </c>
      <c r="F251" s="406" t="e">
        <f t="shared" ca="1" si="124"/>
        <v>#N/A</v>
      </c>
      <c r="G251" s="406" t="e">
        <f t="shared" ca="1" si="124"/>
        <v>#N/A</v>
      </c>
      <c r="H251" s="406" t="e">
        <f t="shared" ca="1" si="124"/>
        <v>#N/A</v>
      </c>
      <c r="I251" s="406" t="e">
        <f t="shared" ca="1" si="124"/>
        <v>#N/A</v>
      </c>
      <c r="J251" s="406" t="e">
        <f t="shared" ca="1" si="124"/>
        <v>#N/A</v>
      </c>
      <c r="K251" s="406" t="e">
        <f t="shared" ca="1" si="124"/>
        <v>#N/A</v>
      </c>
      <c r="L251" s="406" t="e">
        <f t="shared" ca="1" si="124"/>
        <v>#N/A</v>
      </c>
      <c r="M251" s="406" t="e">
        <f t="shared" ca="1" si="124"/>
        <v>#N/A</v>
      </c>
      <c r="N251" s="406" t="e">
        <f t="shared" ca="1" si="123"/>
        <v>#N/A</v>
      </c>
      <c r="O251" s="406" t="e">
        <f t="shared" ca="1" si="123"/>
        <v>#N/A</v>
      </c>
      <c r="P251" s="406" t="e">
        <f t="shared" ca="1" si="123"/>
        <v>#N/A</v>
      </c>
      <c r="Q251" s="406" t="e">
        <f t="shared" ca="1" si="123"/>
        <v>#N/A</v>
      </c>
      <c r="R251" s="406" t="e">
        <f t="shared" ca="1" si="123"/>
        <v>#N/A</v>
      </c>
      <c r="S251" s="406" t="e">
        <f t="shared" ca="1" si="123"/>
        <v>#N/A</v>
      </c>
      <c r="T251" s="406" t="e">
        <f t="shared" ca="1" si="123"/>
        <v>#N/A</v>
      </c>
      <c r="U251" s="406" t="e">
        <f t="shared" ca="1" si="123"/>
        <v>#N/A</v>
      </c>
      <c r="V251" s="406" t="e">
        <f t="shared" ca="1" si="123"/>
        <v>#N/A</v>
      </c>
      <c r="W251" s="406" t="e">
        <f t="shared" ca="1" si="123"/>
        <v>#N/A</v>
      </c>
      <c r="X251" s="406" t="e">
        <f t="shared" ca="1" si="121"/>
        <v>#N/A</v>
      </c>
      <c r="Y251" s="406" t="e">
        <f t="shared" ca="1" si="121"/>
        <v>#N/A</v>
      </c>
      <c r="Z251" s="406" t="e">
        <f t="shared" ca="1" si="121"/>
        <v>#N/A</v>
      </c>
      <c r="AA251" s="406" t="e">
        <f t="shared" ca="1" si="121"/>
        <v>#N/A</v>
      </c>
      <c r="AB251" s="406" t="e">
        <f t="shared" ca="1" si="121"/>
        <v>#N/A</v>
      </c>
      <c r="AC251" s="406" t="e">
        <f t="shared" ca="1" si="121"/>
        <v>#N/A</v>
      </c>
      <c r="AD251" s="406" t="e">
        <f t="shared" ca="1" si="121"/>
        <v>#N/A</v>
      </c>
      <c r="AE251" s="406" t="e">
        <f t="shared" ca="1" si="121"/>
        <v>#N/A</v>
      </c>
      <c r="AF251" s="406" t="e">
        <f t="shared" ca="1" si="121"/>
        <v>#N/A</v>
      </c>
      <c r="AG251" s="406" t="e">
        <f t="shared" ca="1" si="121"/>
        <v>#N/A</v>
      </c>
      <c r="AH251" s="406" t="e">
        <f t="shared" ca="1" si="122"/>
        <v>#N/A</v>
      </c>
      <c r="AI251" s="406" t="e">
        <f t="shared" ca="1" si="122"/>
        <v>#N/A</v>
      </c>
      <c r="AJ251" s="406" t="e">
        <f t="shared" ca="1" si="122"/>
        <v>#N/A</v>
      </c>
      <c r="AK251" s="406" t="e">
        <f t="shared" ca="1" si="122"/>
        <v>#N/A</v>
      </c>
      <c r="AL251" s="406" t="e">
        <f t="shared" ca="1" si="122"/>
        <v>#N/A</v>
      </c>
      <c r="AM251" s="406" t="e">
        <f t="shared" ca="1" si="122"/>
        <v>#N/A</v>
      </c>
      <c r="AN251" s="406" t="e">
        <f t="shared" ca="1" si="122"/>
        <v>#N/A</v>
      </c>
      <c r="AO251" s="406" t="e">
        <f t="shared" ca="1" si="122"/>
        <v>#N/A</v>
      </c>
      <c r="AP251" s="406" t="e">
        <f t="shared" ca="1" si="122"/>
        <v>#N/A</v>
      </c>
      <c r="AQ251" s="406" t="e">
        <f t="shared" ca="1" si="122"/>
        <v>#N/A</v>
      </c>
      <c r="AR251" s="406" t="e">
        <f t="shared" ca="1" si="120"/>
        <v>#N/A</v>
      </c>
      <c r="AS251" s="406" t="e">
        <f t="shared" ca="1" si="120"/>
        <v>#N/A</v>
      </c>
      <c r="AT251" s="406" t="e">
        <f t="shared" ca="1" si="120"/>
        <v>#N/A</v>
      </c>
      <c r="AU251" s="406" t="e">
        <f t="shared" ca="1" si="120"/>
        <v>#N/A</v>
      </c>
      <c r="AV251" s="406" t="e">
        <f t="shared" ca="1" si="120"/>
        <v>#N/A</v>
      </c>
      <c r="AW251" s="406" t="e">
        <f t="shared" ca="1" si="120"/>
        <v>#N/A</v>
      </c>
      <c r="AX251" s="406" t="e">
        <f t="shared" ca="1" si="120"/>
        <v>#N/A</v>
      </c>
      <c r="AY251" s="406" t="e">
        <f t="shared" ca="1" si="120"/>
        <v>#N/A</v>
      </c>
      <c r="AZ251" s="406" t="e">
        <f t="shared" ca="1" si="120"/>
        <v>#N/A</v>
      </c>
      <c r="BA251" s="406" t="e">
        <f t="shared" ca="1" si="120"/>
        <v>#N/A</v>
      </c>
      <c r="BB251" s="408"/>
      <c r="BC251" s="408" t="str">
        <f t="shared" ca="1" si="109"/>
        <v/>
      </c>
      <c r="BD251" s="408" t="s">
        <v>1278</v>
      </c>
      <c r="BE251" s="408" t="s">
        <v>1278</v>
      </c>
    </row>
    <row r="252" spans="3:57" x14ac:dyDescent="0.25">
      <c r="C252" s="406">
        <f t="shared" si="110"/>
        <v>250</v>
      </c>
      <c r="D252" s="406" t="e">
        <f t="shared" ca="1" si="124"/>
        <v>#N/A</v>
      </c>
      <c r="E252" s="406" t="e">
        <f t="shared" ca="1" si="124"/>
        <v>#N/A</v>
      </c>
      <c r="F252" s="406" t="e">
        <f t="shared" ca="1" si="124"/>
        <v>#N/A</v>
      </c>
      <c r="G252" s="406" t="e">
        <f t="shared" ca="1" si="124"/>
        <v>#N/A</v>
      </c>
      <c r="H252" s="406" t="e">
        <f t="shared" ca="1" si="124"/>
        <v>#N/A</v>
      </c>
      <c r="I252" s="406" t="e">
        <f t="shared" ca="1" si="124"/>
        <v>#N/A</v>
      </c>
      <c r="J252" s="406" t="e">
        <f t="shared" ca="1" si="124"/>
        <v>#N/A</v>
      </c>
      <c r="K252" s="406" t="e">
        <f t="shared" ca="1" si="124"/>
        <v>#N/A</v>
      </c>
      <c r="L252" s="406" t="e">
        <f t="shared" ca="1" si="124"/>
        <v>#N/A</v>
      </c>
      <c r="M252" s="406" t="e">
        <f t="shared" ca="1" si="124"/>
        <v>#N/A</v>
      </c>
      <c r="N252" s="406" t="e">
        <f t="shared" ca="1" si="123"/>
        <v>#N/A</v>
      </c>
      <c r="O252" s="406" t="e">
        <f t="shared" ca="1" si="123"/>
        <v>#N/A</v>
      </c>
      <c r="P252" s="406" t="e">
        <f t="shared" ca="1" si="123"/>
        <v>#N/A</v>
      </c>
      <c r="Q252" s="406" t="e">
        <f t="shared" ca="1" si="123"/>
        <v>#N/A</v>
      </c>
      <c r="R252" s="406" t="e">
        <f t="shared" ca="1" si="123"/>
        <v>#N/A</v>
      </c>
      <c r="S252" s="406" t="e">
        <f t="shared" ca="1" si="123"/>
        <v>#N/A</v>
      </c>
      <c r="T252" s="406" t="e">
        <f t="shared" ca="1" si="123"/>
        <v>#N/A</v>
      </c>
      <c r="U252" s="406" t="e">
        <f t="shared" ca="1" si="123"/>
        <v>#N/A</v>
      </c>
      <c r="V252" s="406" t="e">
        <f t="shared" ca="1" si="123"/>
        <v>#N/A</v>
      </c>
      <c r="W252" s="406" t="e">
        <f t="shared" ca="1" si="123"/>
        <v>#N/A</v>
      </c>
      <c r="X252" s="406" t="e">
        <f t="shared" ca="1" si="121"/>
        <v>#N/A</v>
      </c>
      <c r="Y252" s="406" t="e">
        <f t="shared" ca="1" si="121"/>
        <v>#N/A</v>
      </c>
      <c r="Z252" s="406" t="e">
        <f t="shared" ca="1" si="121"/>
        <v>#N/A</v>
      </c>
      <c r="AA252" s="406" t="e">
        <f t="shared" ca="1" si="121"/>
        <v>#N/A</v>
      </c>
      <c r="AB252" s="406" t="e">
        <f t="shared" ca="1" si="121"/>
        <v>#N/A</v>
      </c>
      <c r="AC252" s="406" t="e">
        <f t="shared" ca="1" si="121"/>
        <v>#N/A</v>
      </c>
      <c r="AD252" s="406" t="e">
        <f t="shared" ca="1" si="121"/>
        <v>#N/A</v>
      </c>
      <c r="AE252" s="406" t="e">
        <f t="shared" ca="1" si="121"/>
        <v>#N/A</v>
      </c>
      <c r="AF252" s="406" t="e">
        <f t="shared" ca="1" si="121"/>
        <v>#N/A</v>
      </c>
      <c r="AG252" s="406" t="e">
        <f t="shared" ca="1" si="121"/>
        <v>#N/A</v>
      </c>
      <c r="AH252" s="406" t="e">
        <f t="shared" ca="1" si="122"/>
        <v>#N/A</v>
      </c>
      <c r="AI252" s="406" t="e">
        <f t="shared" ca="1" si="122"/>
        <v>#N/A</v>
      </c>
      <c r="AJ252" s="406" t="e">
        <f t="shared" ca="1" si="122"/>
        <v>#N/A</v>
      </c>
      <c r="AK252" s="406" t="e">
        <f t="shared" ca="1" si="122"/>
        <v>#N/A</v>
      </c>
      <c r="AL252" s="406" t="e">
        <f t="shared" ca="1" si="122"/>
        <v>#N/A</v>
      </c>
      <c r="AM252" s="406" t="e">
        <f t="shared" ca="1" si="122"/>
        <v>#N/A</v>
      </c>
      <c r="AN252" s="406" t="e">
        <f t="shared" ca="1" si="122"/>
        <v>#N/A</v>
      </c>
      <c r="AO252" s="406" t="e">
        <f t="shared" ca="1" si="122"/>
        <v>#N/A</v>
      </c>
      <c r="AP252" s="406" t="e">
        <f t="shared" ca="1" si="122"/>
        <v>#N/A</v>
      </c>
      <c r="AQ252" s="406" t="e">
        <f t="shared" ca="1" si="122"/>
        <v>#N/A</v>
      </c>
      <c r="AR252" s="406" t="e">
        <f t="shared" ca="1" si="120"/>
        <v>#N/A</v>
      </c>
      <c r="AS252" s="406" t="e">
        <f t="shared" ca="1" si="120"/>
        <v>#N/A</v>
      </c>
      <c r="AT252" s="406" t="e">
        <f t="shared" ca="1" si="120"/>
        <v>#N/A</v>
      </c>
      <c r="AU252" s="406" t="e">
        <f t="shared" ca="1" si="120"/>
        <v>#N/A</v>
      </c>
      <c r="AV252" s="406" t="e">
        <f t="shared" ca="1" si="120"/>
        <v>#N/A</v>
      </c>
      <c r="AW252" s="406" t="e">
        <f t="shared" ca="1" si="120"/>
        <v>#N/A</v>
      </c>
      <c r="AX252" s="406" t="e">
        <f t="shared" ca="1" si="120"/>
        <v>#N/A</v>
      </c>
      <c r="AY252" s="406" t="e">
        <f t="shared" ca="1" si="120"/>
        <v>#N/A</v>
      </c>
      <c r="AZ252" s="406" t="e">
        <f t="shared" ca="1" si="120"/>
        <v>#N/A</v>
      </c>
      <c r="BA252" s="406" t="e">
        <f t="shared" ca="1" si="120"/>
        <v>#N/A</v>
      </c>
      <c r="BB252" s="408"/>
      <c r="BC252" s="408" t="str">
        <f t="shared" ca="1" si="109"/>
        <v/>
      </c>
      <c r="BD252" s="408" t="s">
        <v>1278</v>
      </c>
      <c r="BE252" s="408" t="s">
        <v>1278</v>
      </c>
    </row>
    <row r="253" spans="3:57" x14ac:dyDescent="0.25">
      <c r="C253" s="406">
        <f t="shared" si="110"/>
        <v>251</v>
      </c>
      <c r="D253" s="406" t="e">
        <f t="shared" ca="1" si="124"/>
        <v>#N/A</v>
      </c>
      <c r="E253" s="406" t="e">
        <f t="shared" ca="1" si="124"/>
        <v>#N/A</v>
      </c>
      <c r="F253" s="406" t="e">
        <f t="shared" ca="1" si="124"/>
        <v>#N/A</v>
      </c>
      <c r="G253" s="406" t="e">
        <f t="shared" ca="1" si="124"/>
        <v>#N/A</v>
      </c>
      <c r="H253" s="406" t="e">
        <f t="shared" ca="1" si="124"/>
        <v>#N/A</v>
      </c>
      <c r="I253" s="406" t="e">
        <f t="shared" ca="1" si="124"/>
        <v>#N/A</v>
      </c>
      <c r="J253" s="406" t="e">
        <f t="shared" ca="1" si="124"/>
        <v>#N/A</v>
      </c>
      <c r="K253" s="406" t="e">
        <f t="shared" ca="1" si="124"/>
        <v>#N/A</v>
      </c>
      <c r="L253" s="406" t="e">
        <f t="shared" ca="1" si="124"/>
        <v>#N/A</v>
      </c>
      <c r="M253" s="406" t="e">
        <f t="shared" ca="1" si="124"/>
        <v>#N/A</v>
      </c>
      <c r="N253" s="406" t="e">
        <f t="shared" ca="1" si="123"/>
        <v>#N/A</v>
      </c>
      <c r="O253" s="406" t="e">
        <f t="shared" ca="1" si="123"/>
        <v>#N/A</v>
      </c>
      <c r="P253" s="406" t="e">
        <f t="shared" ca="1" si="123"/>
        <v>#N/A</v>
      </c>
      <c r="Q253" s="406" t="e">
        <f t="shared" ca="1" si="123"/>
        <v>#N/A</v>
      </c>
      <c r="R253" s="406" t="e">
        <f t="shared" ca="1" si="123"/>
        <v>#N/A</v>
      </c>
      <c r="S253" s="406" t="e">
        <f t="shared" ca="1" si="123"/>
        <v>#N/A</v>
      </c>
      <c r="T253" s="406" t="e">
        <f t="shared" ca="1" si="123"/>
        <v>#N/A</v>
      </c>
      <c r="U253" s="406" t="e">
        <f t="shared" ca="1" si="123"/>
        <v>#N/A</v>
      </c>
      <c r="V253" s="406" t="e">
        <f t="shared" ca="1" si="123"/>
        <v>#N/A</v>
      </c>
      <c r="W253" s="406" t="e">
        <f t="shared" ca="1" si="123"/>
        <v>#N/A</v>
      </c>
      <c r="X253" s="406" t="e">
        <f t="shared" ca="1" si="121"/>
        <v>#N/A</v>
      </c>
      <c r="Y253" s="406" t="e">
        <f t="shared" ca="1" si="121"/>
        <v>#N/A</v>
      </c>
      <c r="Z253" s="406" t="e">
        <f t="shared" ca="1" si="121"/>
        <v>#N/A</v>
      </c>
      <c r="AA253" s="406" t="e">
        <f t="shared" ca="1" si="121"/>
        <v>#N/A</v>
      </c>
      <c r="AB253" s="406" t="e">
        <f t="shared" ca="1" si="121"/>
        <v>#N/A</v>
      </c>
      <c r="AC253" s="406" t="e">
        <f t="shared" ca="1" si="121"/>
        <v>#N/A</v>
      </c>
      <c r="AD253" s="406" t="e">
        <f t="shared" ca="1" si="121"/>
        <v>#N/A</v>
      </c>
      <c r="AE253" s="406" t="e">
        <f t="shared" ca="1" si="121"/>
        <v>#N/A</v>
      </c>
      <c r="AF253" s="406" t="e">
        <f t="shared" ca="1" si="121"/>
        <v>#N/A</v>
      </c>
      <c r="AG253" s="406" t="e">
        <f t="shared" ca="1" si="121"/>
        <v>#N/A</v>
      </c>
      <c r="AH253" s="406" t="e">
        <f t="shared" ca="1" si="122"/>
        <v>#N/A</v>
      </c>
      <c r="AI253" s="406" t="e">
        <f t="shared" ca="1" si="122"/>
        <v>#N/A</v>
      </c>
      <c r="AJ253" s="406" t="e">
        <f t="shared" ca="1" si="122"/>
        <v>#N/A</v>
      </c>
      <c r="AK253" s="406" t="e">
        <f t="shared" ca="1" si="122"/>
        <v>#N/A</v>
      </c>
      <c r="AL253" s="406" t="e">
        <f t="shared" ca="1" si="122"/>
        <v>#N/A</v>
      </c>
      <c r="AM253" s="406" t="e">
        <f t="shared" ca="1" si="122"/>
        <v>#N/A</v>
      </c>
      <c r="AN253" s="406" t="e">
        <f t="shared" ca="1" si="122"/>
        <v>#N/A</v>
      </c>
      <c r="AO253" s="406" t="e">
        <f t="shared" ca="1" si="122"/>
        <v>#N/A</v>
      </c>
      <c r="AP253" s="406" t="e">
        <f t="shared" ca="1" si="122"/>
        <v>#N/A</v>
      </c>
      <c r="AQ253" s="406" t="e">
        <f t="shared" ca="1" si="122"/>
        <v>#N/A</v>
      </c>
      <c r="AR253" s="406" t="e">
        <f t="shared" ca="1" si="120"/>
        <v>#N/A</v>
      </c>
      <c r="AS253" s="406" t="e">
        <f t="shared" ca="1" si="120"/>
        <v>#N/A</v>
      </c>
      <c r="AT253" s="406" t="e">
        <f t="shared" ca="1" si="120"/>
        <v>#N/A</v>
      </c>
      <c r="AU253" s="406" t="e">
        <f t="shared" ca="1" si="120"/>
        <v>#N/A</v>
      </c>
      <c r="AV253" s="406" t="e">
        <f t="shared" ca="1" si="120"/>
        <v>#N/A</v>
      </c>
      <c r="AW253" s="406" t="e">
        <f t="shared" ca="1" si="120"/>
        <v>#N/A</v>
      </c>
      <c r="AX253" s="406" t="e">
        <f t="shared" ca="1" si="120"/>
        <v>#N/A</v>
      </c>
      <c r="AY253" s="406" t="e">
        <f t="shared" ca="1" si="120"/>
        <v>#N/A</v>
      </c>
      <c r="AZ253" s="406" t="e">
        <f t="shared" ca="1" si="120"/>
        <v>#N/A</v>
      </c>
      <c r="BA253" s="406" t="e">
        <f t="shared" ca="1" si="120"/>
        <v>#N/A</v>
      </c>
      <c r="BB253" s="408"/>
      <c r="BC253" s="408" t="str">
        <f t="shared" ca="1" si="109"/>
        <v/>
      </c>
      <c r="BD253" s="408" t="s">
        <v>1278</v>
      </c>
      <c r="BE253" s="408" t="s">
        <v>1278</v>
      </c>
    </row>
    <row r="254" spans="3:57" x14ac:dyDescent="0.25">
      <c r="C254" s="406">
        <f t="shared" si="110"/>
        <v>252</v>
      </c>
      <c r="D254" s="406" t="e">
        <f t="shared" ca="1" si="124"/>
        <v>#N/A</v>
      </c>
      <c r="E254" s="406" t="e">
        <f t="shared" ca="1" si="124"/>
        <v>#N/A</v>
      </c>
      <c r="F254" s="406" t="e">
        <f t="shared" ca="1" si="124"/>
        <v>#N/A</v>
      </c>
      <c r="G254" s="406" t="e">
        <f t="shared" ca="1" si="124"/>
        <v>#N/A</v>
      </c>
      <c r="H254" s="406" t="e">
        <f t="shared" ca="1" si="124"/>
        <v>#N/A</v>
      </c>
      <c r="I254" s="406" t="e">
        <f t="shared" ca="1" si="124"/>
        <v>#N/A</v>
      </c>
      <c r="J254" s="406" t="e">
        <f t="shared" ca="1" si="124"/>
        <v>#N/A</v>
      </c>
      <c r="K254" s="406" t="e">
        <f t="shared" ca="1" si="124"/>
        <v>#N/A</v>
      </c>
      <c r="L254" s="406" t="e">
        <f t="shared" ca="1" si="124"/>
        <v>#N/A</v>
      </c>
      <c r="M254" s="406" t="e">
        <f t="shared" ca="1" si="124"/>
        <v>#N/A</v>
      </c>
      <c r="N254" s="406" t="e">
        <f t="shared" ca="1" si="123"/>
        <v>#N/A</v>
      </c>
      <c r="O254" s="406" t="e">
        <f t="shared" ca="1" si="123"/>
        <v>#N/A</v>
      </c>
      <c r="P254" s="406" t="e">
        <f t="shared" ca="1" si="123"/>
        <v>#N/A</v>
      </c>
      <c r="Q254" s="406" t="e">
        <f t="shared" ca="1" si="123"/>
        <v>#N/A</v>
      </c>
      <c r="R254" s="406" t="e">
        <f t="shared" ca="1" si="123"/>
        <v>#N/A</v>
      </c>
      <c r="S254" s="406" t="e">
        <f t="shared" ca="1" si="123"/>
        <v>#N/A</v>
      </c>
      <c r="T254" s="406" t="e">
        <f t="shared" ca="1" si="123"/>
        <v>#N/A</v>
      </c>
      <c r="U254" s="406" t="e">
        <f t="shared" ca="1" si="123"/>
        <v>#N/A</v>
      </c>
      <c r="V254" s="406" t="e">
        <f t="shared" ca="1" si="123"/>
        <v>#N/A</v>
      </c>
      <c r="W254" s="406" t="e">
        <f t="shared" ca="1" si="123"/>
        <v>#N/A</v>
      </c>
      <c r="X254" s="406" t="e">
        <f t="shared" ca="1" si="121"/>
        <v>#N/A</v>
      </c>
      <c r="Y254" s="406" t="e">
        <f t="shared" ca="1" si="121"/>
        <v>#N/A</v>
      </c>
      <c r="Z254" s="406" t="e">
        <f t="shared" ca="1" si="121"/>
        <v>#N/A</v>
      </c>
      <c r="AA254" s="406" t="e">
        <f t="shared" ca="1" si="121"/>
        <v>#N/A</v>
      </c>
      <c r="AB254" s="406" t="e">
        <f t="shared" ca="1" si="121"/>
        <v>#N/A</v>
      </c>
      <c r="AC254" s="406" t="e">
        <f t="shared" ca="1" si="121"/>
        <v>#N/A</v>
      </c>
      <c r="AD254" s="406" t="e">
        <f t="shared" ca="1" si="121"/>
        <v>#N/A</v>
      </c>
      <c r="AE254" s="406" t="e">
        <f t="shared" ca="1" si="121"/>
        <v>#N/A</v>
      </c>
      <c r="AF254" s="406" t="e">
        <f t="shared" ca="1" si="121"/>
        <v>#N/A</v>
      </c>
      <c r="AG254" s="406" t="e">
        <f t="shared" ca="1" si="121"/>
        <v>#N/A</v>
      </c>
      <c r="AH254" s="406" t="e">
        <f t="shared" ca="1" si="122"/>
        <v>#N/A</v>
      </c>
      <c r="AI254" s="406" t="e">
        <f t="shared" ca="1" si="122"/>
        <v>#N/A</v>
      </c>
      <c r="AJ254" s="406" t="e">
        <f t="shared" ca="1" si="122"/>
        <v>#N/A</v>
      </c>
      <c r="AK254" s="406" t="e">
        <f t="shared" ca="1" si="122"/>
        <v>#N/A</v>
      </c>
      <c r="AL254" s="406" t="e">
        <f t="shared" ca="1" si="122"/>
        <v>#N/A</v>
      </c>
      <c r="AM254" s="406" t="e">
        <f t="shared" ca="1" si="122"/>
        <v>#N/A</v>
      </c>
      <c r="AN254" s="406" t="e">
        <f t="shared" ca="1" si="122"/>
        <v>#N/A</v>
      </c>
      <c r="AO254" s="406" t="e">
        <f t="shared" ca="1" si="122"/>
        <v>#N/A</v>
      </c>
      <c r="AP254" s="406" t="e">
        <f t="shared" ca="1" si="122"/>
        <v>#N/A</v>
      </c>
      <c r="AQ254" s="406" t="e">
        <f t="shared" ca="1" si="122"/>
        <v>#N/A</v>
      </c>
      <c r="AR254" s="406" t="e">
        <f t="shared" ca="1" si="120"/>
        <v>#N/A</v>
      </c>
      <c r="AS254" s="406" t="e">
        <f t="shared" ca="1" si="120"/>
        <v>#N/A</v>
      </c>
      <c r="AT254" s="406" t="e">
        <f t="shared" ca="1" si="120"/>
        <v>#N/A</v>
      </c>
      <c r="AU254" s="406" t="e">
        <f t="shared" ca="1" si="120"/>
        <v>#N/A</v>
      </c>
      <c r="AV254" s="406" t="e">
        <f t="shared" ca="1" si="120"/>
        <v>#N/A</v>
      </c>
      <c r="AW254" s="406" t="e">
        <f t="shared" ca="1" si="120"/>
        <v>#N/A</v>
      </c>
      <c r="AX254" s="406" t="e">
        <f t="shared" ca="1" si="120"/>
        <v>#N/A</v>
      </c>
      <c r="AY254" s="406" t="e">
        <f t="shared" ca="1" si="120"/>
        <v>#N/A</v>
      </c>
      <c r="AZ254" s="406" t="e">
        <f t="shared" ca="1" si="120"/>
        <v>#N/A</v>
      </c>
      <c r="BA254" s="406" t="e">
        <f t="shared" ca="1" si="120"/>
        <v>#N/A</v>
      </c>
      <c r="BB254" s="408"/>
      <c r="BC254" s="408" t="str">
        <f t="shared" ca="1" si="109"/>
        <v/>
      </c>
      <c r="BD254" s="408" t="s">
        <v>1278</v>
      </c>
      <c r="BE254" s="408" t="s">
        <v>1278</v>
      </c>
    </row>
    <row r="255" spans="3:57" x14ac:dyDescent="0.25">
      <c r="C255" s="406">
        <f t="shared" si="110"/>
        <v>253</v>
      </c>
      <c r="D255" s="406" t="e">
        <f t="shared" ca="1" si="124"/>
        <v>#N/A</v>
      </c>
      <c r="E255" s="406" t="e">
        <f t="shared" ca="1" si="124"/>
        <v>#N/A</v>
      </c>
      <c r="F255" s="406" t="e">
        <f t="shared" ca="1" si="124"/>
        <v>#N/A</v>
      </c>
      <c r="G255" s="406" t="e">
        <f t="shared" ca="1" si="124"/>
        <v>#N/A</v>
      </c>
      <c r="H255" s="406" t="e">
        <f t="shared" ca="1" si="124"/>
        <v>#N/A</v>
      </c>
      <c r="I255" s="406" t="e">
        <f t="shared" ca="1" si="124"/>
        <v>#N/A</v>
      </c>
      <c r="J255" s="406" t="e">
        <f t="shared" ca="1" si="124"/>
        <v>#N/A</v>
      </c>
      <c r="K255" s="406" t="e">
        <f t="shared" ca="1" si="124"/>
        <v>#N/A</v>
      </c>
      <c r="L255" s="406" t="e">
        <f t="shared" ca="1" si="124"/>
        <v>#N/A</v>
      </c>
      <c r="M255" s="406" t="e">
        <f t="shared" ca="1" si="124"/>
        <v>#N/A</v>
      </c>
      <c r="N255" s="406" t="e">
        <f t="shared" ca="1" si="123"/>
        <v>#N/A</v>
      </c>
      <c r="O255" s="406" t="e">
        <f t="shared" ca="1" si="123"/>
        <v>#N/A</v>
      </c>
      <c r="P255" s="406" t="e">
        <f t="shared" ca="1" si="123"/>
        <v>#N/A</v>
      </c>
      <c r="Q255" s="406" t="e">
        <f t="shared" ca="1" si="123"/>
        <v>#N/A</v>
      </c>
      <c r="R255" s="406" t="e">
        <f t="shared" ca="1" si="123"/>
        <v>#N/A</v>
      </c>
      <c r="S255" s="406" t="e">
        <f t="shared" ca="1" si="123"/>
        <v>#N/A</v>
      </c>
      <c r="T255" s="406" t="e">
        <f t="shared" ca="1" si="123"/>
        <v>#N/A</v>
      </c>
      <c r="U255" s="406" t="e">
        <f t="shared" ca="1" si="123"/>
        <v>#N/A</v>
      </c>
      <c r="V255" s="406" t="e">
        <f t="shared" ca="1" si="123"/>
        <v>#N/A</v>
      </c>
      <c r="W255" s="406" t="e">
        <f t="shared" ca="1" si="123"/>
        <v>#N/A</v>
      </c>
      <c r="X255" s="406" t="e">
        <f t="shared" ca="1" si="121"/>
        <v>#N/A</v>
      </c>
      <c r="Y255" s="406" t="e">
        <f t="shared" ca="1" si="121"/>
        <v>#N/A</v>
      </c>
      <c r="Z255" s="406" t="e">
        <f t="shared" ca="1" si="121"/>
        <v>#N/A</v>
      </c>
      <c r="AA255" s="406" t="e">
        <f t="shared" ca="1" si="121"/>
        <v>#N/A</v>
      </c>
      <c r="AB255" s="406" t="e">
        <f t="shared" ca="1" si="121"/>
        <v>#N/A</v>
      </c>
      <c r="AC255" s="406" t="e">
        <f t="shared" ca="1" si="121"/>
        <v>#N/A</v>
      </c>
      <c r="AD255" s="406" t="e">
        <f t="shared" ca="1" si="121"/>
        <v>#N/A</v>
      </c>
      <c r="AE255" s="406" t="e">
        <f t="shared" ca="1" si="121"/>
        <v>#N/A</v>
      </c>
      <c r="AF255" s="406" t="e">
        <f t="shared" ca="1" si="121"/>
        <v>#N/A</v>
      </c>
      <c r="AG255" s="406" t="e">
        <f t="shared" ca="1" si="121"/>
        <v>#N/A</v>
      </c>
      <c r="AH255" s="406" t="e">
        <f t="shared" ca="1" si="122"/>
        <v>#N/A</v>
      </c>
      <c r="AI255" s="406" t="e">
        <f t="shared" ca="1" si="122"/>
        <v>#N/A</v>
      </c>
      <c r="AJ255" s="406" t="e">
        <f t="shared" ca="1" si="122"/>
        <v>#N/A</v>
      </c>
      <c r="AK255" s="406" t="e">
        <f t="shared" ca="1" si="122"/>
        <v>#N/A</v>
      </c>
      <c r="AL255" s="406" t="e">
        <f t="shared" ca="1" si="122"/>
        <v>#N/A</v>
      </c>
      <c r="AM255" s="406" t="e">
        <f t="shared" ca="1" si="122"/>
        <v>#N/A</v>
      </c>
      <c r="AN255" s="406" t="e">
        <f t="shared" ca="1" si="122"/>
        <v>#N/A</v>
      </c>
      <c r="AO255" s="406" t="e">
        <f t="shared" ca="1" si="122"/>
        <v>#N/A</v>
      </c>
      <c r="AP255" s="406" t="e">
        <f t="shared" ca="1" si="122"/>
        <v>#N/A</v>
      </c>
      <c r="AQ255" s="406" t="e">
        <f t="shared" ca="1" si="122"/>
        <v>#N/A</v>
      </c>
      <c r="AR255" s="406" t="e">
        <f t="shared" ca="1" si="120"/>
        <v>#N/A</v>
      </c>
      <c r="AS255" s="406" t="e">
        <f t="shared" ca="1" si="120"/>
        <v>#N/A</v>
      </c>
      <c r="AT255" s="406" t="e">
        <f t="shared" ca="1" si="120"/>
        <v>#N/A</v>
      </c>
      <c r="AU255" s="406" t="e">
        <f t="shared" ca="1" si="120"/>
        <v>#N/A</v>
      </c>
      <c r="AV255" s="406" t="e">
        <f t="shared" ca="1" si="120"/>
        <v>#N/A</v>
      </c>
      <c r="AW255" s="406" t="e">
        <f t="shared" ca="1" si="120"/>
        <v>#N/A</v>
      </c>
      <c r="AX255" s="406" t="e">
        <f t="shared" ca="1" si="120"/>
        <v>#N/A</v>
      </c>
      <c r="AY255" s="406" t="e">
        <f t="shared" ca="1" si="120"/>
        <v>#N/A</v>
      </c>
      <c r="AZ255" s="406" t="e">
        <f t="shared" ca="1" si="120"/>
        <v>#N/A</v>
      </c>
      <c r="BA255" s="406" t="e">
        <f t="shared" ca="1" si="120"/>
        <v>#N/A</v>
      </c>
      <c r="BB255" s="408"/>
      <c r="BC255" s="408" t="str">
        <f t="shared" ca="1" si="109"/>
        <v/>
      </c>
      <c r="BD255" s="408" t="s">
        <v>1278</v>
      </c>
      <c r="BE255" s="408" t="s">
        <v>1278</v>
      </c>
    </row>
    <row r="256" spans="3:57" x14ac:dyDescent="0.25">
      <c r="C256" s="406">
        <f t="shared" si="110"/>
        <v>254</v>
      </c>
      <c r="D256" s="406" t="e">
        <f t="shared" ca="1" si="124"/>
        <v>#N/A</v>
      </c>
      <c r="E256" s="406" t="e">
        <f t="shared" ca="1" si="124"/>
        <v>#N/A</v>
      </c>
      <c r="F256" s="406" t="e">
        <f t="shared" ca="1" si="124"/>
        <v>#N/A</v>
      </c>
      <c r="G256" s="406" t="e">
        <f t="shared" ca="1" si="124"/>
        <v>#N/A</v>
      </c>
      <c r="H256" s="406" t="e">
        <f t="shared" ca="1" si="124"/>
        <v>#N/A</v>
      </c>
      <c r="I256" s="406" t="e">
        <f t="shared" ca="1" si="124"/>
        <v>#N/A</v>
      </c>
      <c r="J256" s="406" t="e">
        <f t="shared" ca="1" si="124"/>
        <v>#N/A</v>
      </c>
      <c r="K256" s="406" t="e">
        <f t="shared" ca="1" si="124"/>
        <v>#N/A</v>
      </c>
      <c r="L256" s="406" t="e">
        <f t="shared" ca="1" si="124"/>
        <v>#N/A</v>
      </c>
      <c r="M256" s="406" t="e">
        <f t="shared" ca="1" si="124"/>
        <v>#N/A</v>
      </c>
      <c r="N256" s="406" t="e">
        <f t="shared" ca="1" si="123"/>
        <v>#N/A</v>
      </c>
      <c r="O256" s="406" t="e">
        <f t="shared" ca="1" si="123"/>
        <v>#N/A</v>
      </c>
      <c r="P256" s="406" t="e">
        <f t="shared" ca="1" si="123"/>
        <v>#N/A</v>
      </c>
      <c r="Q256" s="406" t="e">
        <f t="shared" ca="1" si="123"/>
        <v>#N/A</v>
      </c>
      <c r="R256" s="406" t="e">
        <f t="shared" ca="1" si="123"/>
        <v>#N/A</v>
      </c>
      <c r="S256" s="406" t="e">
        <f t="shared" ca="1" si="123"/>
        <v>#N/A</v>
      </c>
      <c r="T256" s="406" t="e">
        <f t="shared" ca="1" si="123"/>
        <v>#N/A</v>
      </c>
      <c r="U256" s="406" t="e">
        <f t="shared" ca="1" si="123"/>
        <v>#N/A</v>
      </c>
      <c r="V256" s="406" t="e">
        <f t="shared" ca="1" si="123"/>
        <v>#N/A</v>
      </c>
      <c r="W256" s="406" t="e">
        <f t="shared" ca="1" si="123"/>
        <v>#N/A</v>
      </c>
      <c r="X256" s="406" t="e">
        <f t="shared" ca="1" si="121"/>
        <v>#N/A</v>
      </c>
      <c r="Y256" s="406" t="e">
        <f t="shared" ca="1" si="121"/>
        <v>#N/A</v>
      </c>
      <c r="Z256" s="406" t="e">
        <f t="shared" ca="1" si="121"/>
        <v>#N/A</v>
      </c>
      <c r="AA256" s="406" t="e">
        <f t="shared" ca="1" si="121"/>
        <v>#N/A</v>
      </c>
      <c r="AB256" s="406" t="e">
        <f t="shared" ca="1" si="121"/>
        <v>#N/A</v>
      </c>
      <c r="AC256" s="406" t="e">
        <f t="shared" ca="1" si="121"/>
        <v>#N/A</v>
      </c>
      <c r="AD256" s="406" t="e">
        <f t="shared" ca="1" si="121"/>
        <v>#N/A</v>
      </c>
      <c r="AE256" s="406" t="e">
        <f t="shared" ca="1" si="121"/>
        <v>#N/A</v>
      </c>
      <c r="AF256" s="406" t="e">
        <f t="shared" ca="1" si="121"/>
        <v>#N/A</v>
      </c>
      <c r="AG256" s="406" t="e">
        <f t="shared" ca="1" si="121"/>
        <v>#N/A</v>
      </c>
      <c r="AH256" s="406" t="e">
        <f t="shared" ca="1" si="122"/>
        <v>#N/A</v>
      </c>
      <c r="AI256" s="406" t="e">
        <f t="shared" ca="1" si="122"/>
        <v>#N/A</v>
      </c>
      <c r="AJ256" s="406" t="e">
        <f t="shared" ca="1" si="122"/>
        <v>#N/A</v>
      </c>
      <c r="AK256" s="406" t="e">
        <f t="shared" ca="1" si="122"/>
        <v>#N/A</v>
      </c>
      <c r="AL256" s="406" t="e">
        <f t="shared" ca="1" si="122"/>
        <v>#N/A</v>
      </c>
      <c r="AM256" s="406" t="e">
        <f t="shared" ca="1" si="122"/>
        <v>#N/A</v>
      </c>
      <c r="AN256" s="406" t="e">
        <f t="shared" ca="1" si="122"/>
        <v>#N/A</v>
      </c>
      <c r="AO256" s="406" t="e">
        <f t="shared" ca="1" si="122"/>
        <v>#N/A</v>
      </c>
      <c r="AP256" s="406" t="e">
        <f t="shared" ca="1" si="122"/>
        <v>#N/A</v>
      </c>
      <c r="AQ256" s="406" t="e">
        <f t="shared" ca="1" si="122"/>
        <v>#N/A</v>
      </c>
      <c r="AR256" s="406" t="e">
        <f t="shared" ca="1" si="120"/>
        <v>#N/A</v>
      </c>
      <c r="AS256" s="406" t="e">
        <f t="shared" ca="1" si="120"/>
        <v>#N/A</v>
      </c>
      <c r="AT256" s="406" t="e">
        <f t="shared" ca="1" si="120"/>
        <v>#N/A</v>
      </c>
      <c r="AU256" s="406" t="e">
        <f t="shared" ca="1" si="120"/>
        <v>#N/A</v>
      </c>
      <c r="AV256" s="406" t="e">
        <f t="shared" ca="1" si="120"/>
        <v>#N/A</v>
      </c>
      <c r="AW256" s="406" t="e">
        <f t="shared" ca="1" si="120"/>
        <v>#N/A</v>
      </c>
      <c r="AX256" s="406" t="e">
        <f t="shared" ca="1" si="120"/>
        <v>#N/A</v>
      </c>
      <c r="AY256" s="406" t="e">
        <f t="shared" ca="1" si="120"/>
        <v>#N/A</v>
      </c>
      <c r="AZ256" s="406" t="e">
        <f t="shared" ca="1" si="120"/>
        <v>#N/A</v>
      </c>
      <c r="BA256" s="406" t="e">
        <f t="shared" ca="1" si="120"/>
        <v>#N/A</v>
      </c>
      <c r="BB256" s="408"/>
      <c r="BC256" s="408" t="str">
        <f t="shared" ca="1" si="109"/>
        <v/>
      </c>
      <c r="BD256" s="408" t="s">
        <v>1278</v>
      </c>
      <c r="BE256" s="408" t="s">
        <v>1278</v>
      </c>
    </row>
    <row r="257" spans="3:57" x14ac:dyDescent="0.25">
      <c r="C257" s="406">
        <f t="shared" si="110"/>
        <v>255</v>
      </c>
      <c r="D257" s="406" t="e">
        <f t="shared" ca="1" si="124"/>
        <v>#N/A</v>
      </c>
      <c r="E257" s="406" t="e">
        <f t="shared" ca="1" si="124"/>
        <v>#N/A</v>
      </c>
      <c r="F257" s="406" t="e">
        <f t="shared" ca="1" si="124"/>
        <v>#N/A</v>
      </c>
      <c r="G257" s="406" t="e">
        <f t="shared" ca="1" si="124"/>
        <v>#N/A</v>
      </c>
      <c r="H257" s="406" t="e">
        <f t="shared" ca="1" si="124"/>
        <v>#N/A</v>
      </c>
      <c r="I257" s="406" t="e">
        <f t="shared" ca="1" si="124"/>
        <v>#N/A</v>
      </c>
      <c r="J257" s="406" t="e">
        <f t="shared" ca="1" si="124"/>
        <v>#N/A</v>
      </c>
      <c r="K257" s="406" t="e">
        <f t="shared" ca="1" si="124"/>
        <v>#N/A</v>
      </c>
      <c r="L257" s="406" t="e">
        <f t="shared" ca="1" si="124"/>
        <v>#N/A</v>
      </c>
      <c r="M257" s="406" t="e">
        <f t="shared" ca="1" si="124"/>
        <v>#N/A</v>
      </c>
      <c r="N257" s="406" t="e">
        <f t="shared" ca="1" si="123"/>
        <v>#N/A</v>
      </c>
      <c r="O257" s="406" t="e">
        <f t="shared" ca="1" si="123"/>
        <v>#N/A</v>
      </c>
      <c r="P257" s="406" t="e">
        <f t="shared" ca="1" si="123"/>
        <v>#N/A</v>
      </c>
      <c r="Q257" s="406" t="e">
        <f t="shared" ca="1" si="123"/>
        <v>#N/A</v>
      </c>
      <c r="R257" s="406" t="e">
        <f t="shared" ca="1" si="123"/>
        <v>#N/A</v>
      </c>
      <c r="S257" s="406" t="e">
        <f t="shared" ca="1" si="123"/>
        <v>#N/A</v>
      </c>
      <c r="T257" s="406" t="e">
        <f t="shared" ca="1" si="123"/>
        <v>#N/A</v>
      </c>
      <c r="U257" s="406" t="e">
        <f t="shared" ca="1" si="123"/>
        <v>#N/A</v>
      </c>
      <c r="V257" s="406" t="e">
        <f t="shared" ca="1" si="123"/>
        <v>#N/A</v>
      </c>
      <c r="W257" s="406" t="e">
        <f t="shared" ca="1" si="123"/>
        <v>#N/A</v>
      </c>
      <c r="X257" s="406" t="e">
        <f t="shared" ca="1" si="121"/>
        <v>#N/A</v>
      </c>
      <c r="Y257" s="406" t="e">
        <f t="shared" ca="1" si="121"/>
        <v>#N/A</v>
      </c>
      <c r="Z257" s="406" t="e">
        <f t="shared" ca="1" si="121"/>
        <v>#N/A</v>
      </c>
      <c r="AA257" s="406" t="e">
        <f t="shared" ca="1" si="121"/>
        <v>#N/A</v>
      </c>
      <c r="AB257" s="406" t="e">
        <f t="shared" ca="1" si="121"/>
        <v>#N/A</v>
      </c>
      <c r="AC257" s="406" t="e">
        <f t="shared" ca="1" si="121"/>
        <v>#N/A</v>
      </c>
      <c r="AD257" s="406" t="e">
        <f t="shared" ca="1" si="121"/>
        <v>#N/A</v>
      </c>
      <c r="AE257" s="406" t="e">
        <f t="shared" ca="1" si="121"/>
        <v>#N/A</v>
      </c>
      <c r="AF257" s="406" t="e">
        <f t="shared" ca="1" si="121"/>
        <v>#N/A</v>
      </c>
      <c r="AG257" s="406" t="e">
        <f t="shared" ca="1" si="121"/>
        <v>#N/A</v>
      </c>
      <c r="AH257" s="406" t="e">
        <f t="shared" ca="1" si="122"/>
        <v>#N/A</v>
      </c>
      <c r="AI257" s="406" t="e">
        <f t="shared" ca="1" si="122"/>
        <v>#N/A</v>
      </c>
      <c r="AJ257" s="406" t="e">
        <f t="shared" ca="1" si="122"/>
        <v>#N/A</v>
      </c>
      <c r="AK257" s="406" t="e">
        <f t="shared" ca="1" si="122"/>
        <v>#N/A</v>
      </c>
      <c r="AL257" s="406" t="e">
        <f t="shared" ca="1" si="122"/>
        <v>#N/A</v>
      </c>
      <c r="AM257" s="406" t="e">
        <f t="shared" ca="1" si="122"/>
        <v>#N/A</v>
      </c>
      <c r="AN257" s="406" t="e">
        <f t="shared" ca="1" si="122"/>
        <v>#N/A</v>
      </c>
      <c r="AO257" s="406" t="e">
        <f t="shared" ca="1" si="122"/>
        <v>#N/A</v>
      </c>
      <c r="AP257" s="406" t="e">
        <f t="shared" ca="1" si="122"/>
        <v>#N/A</v>
      </c>
      <c r="AQ257" s="406" t="e">
        <f t="shared" ca="1" si="122"/>
        <v>#N/A</v>
      </c>
      <c r="AR257" s="406" t="e">
        <f t="shared" ca="1" si="120"/>
        <v>#N/A</v>
      </c>
      <c r="AS257" s="406" t="e">
        <f t="shared" ca="1" si="120"/>
        <v>#N/A</v>
      </c>
      <c r="AT257" s="406" t="e">
        <f t="shared" ca="1" si="120"/>
        <v>#N/A</v>
      </c>
      <c r="AU257" s="406" t="e">
        <f t="shared" ca="1" si="120"/>
        <v>#N/A</v>
      </c>
      <c r="AV257" s="406" t="e">
        <f t="shared" ca="1" si="120"/>
        <v>#N/A</v>
      </c>
      <c r="AW257" s="406" t="e">
        <f t="shared" ca="1" si="120"/>
        <v>#N/A</v>
      </c>
      <c r="AX257" s="406" t="e">
        <f t="shared" ca="1" si="120"/>
        <v>#N/A</v>
      </c>
      <c r="AY257" s="406" t="e">
        <f t="shared" ca="1" si="120"/>
        <v>#N/A</v>
      </c>
      <c r="AZ257" s="406" t="e">
        <f t="shared" ca="1" si="120"/>
        <v>#N/A</v>
      </c>
      <c r="BA257" s="406" t="e">
        <f t="shared" ca="1" si="120"/>
        <v>#N/A</v>
      </c>
      <c r="BB257" s="408"/>
      <c r="BC257" s="408" t="str">
        <f t="shared" ca="1" si="109"/>
        <v/>
      </c>
      <c r="BD257" s="408" t="s">
        <v>1278</v>
      </c>
      <c r="BE257" s="408" t="s">
        <v>1278</v>
      </c>
    </row>
    <row r="258" spans="3:57" x14ac:dyDescent="0.25">
      <c r="C258" s="406">
        <f t="shared" si="110"/>
        <v>256</v>
      </c>
      <c r="D258" s="406" t="e">
        <f t="shared" ca="1" si="124"/>
        <v>#N/A</v>
      </c>
      <c r="E258" s="406" t="e">
        <f t="shared" ca="1" si="124"/>
        <v>#N/A</v>
      </c>
      <c r="F258" s="406" t="e">
        <f t="shared" ca="1" si="124"/>
        <v>#N/A</v>
      </c>
      <c r="G258" s="406" t="e">
        <f t="shared" ca="1" si="124"/>
        <v>#N/A</v>
      </c>
      <c r="H258" s="406" t="e">
        <f t="shared" ca="1" si="124"/>
        <v>#N/A</v>
      </c>
      <c r="I258" s="406" t="e">
        <f t="shared" ca="1" si="124"/>
        <v>#N/A</v>
      </c>
      <c r="J258" s="406" t="e">
        <f t="shared" ca="1" si="124"/>
        <v>#N/A</v>
      </c>
      <c r="K258" s="406" t="e">
        <f t="shared" ca="1" si="124"/>
        <v>#N/A</v>
      </c>
      <c r="L258" s="406" t="e">
        <f t="shared" ca="1" si="124"/>
        <v>#N/A</v>
      </c>
      <c r="M258" s="406" t="e">
        <f t="shared" ca="1" si="124"/>
        <v>#N/A</v>
      </c>
      <c r="N258" s="406" t="e">
        <f t="shared" ca="1" si="123"/>
        <v>#N/A</v>
      </c>
      <c r="O258" s="406" t="e">
        <f t="shared" ca="1" si="123"/>
        <v>#N/A</v>
      </c>
      <c r="P258" s="406" t="e">
        <f t="shared" ca="1" si="123"/>
        <v>#N/A</v>
      </c>
      <c r="Q258" s="406" t="e">
        <f t="shared" ca="1" si="123"/>
        <v>#N/A</v>
      </c>
      <c r="R258" s="406" t="e">
        <f t="shared" ca="1" si="123"/>
        <v>#N/A</v>
      </c>
      <c r="S258" s="406" t="e">
        <f t="shared" ca="1" si="123"/>
        <v>#N/A</v>
      </c>
      <c r="T258" s="406" t="e">
        <f t="shared" ca="1" si="123"/>
        <v>#N/A</v>
      </c>
      <c r="U258" s="406" t="e">
        <f t="shared" ca="1" si="123"/>
        <v>#N/A</v>
      </c>
      <c r="V258" s="406" t="e">
        <f t="shared" ca="1" si="123"/>
        <v>#N/A</v>
      </c>
      <c r="W258" s="406" t="e">
        <f t="shared" ca="1" si="123"/>
        <v>#N/A</v>
      </c>
      <c r="X258" s="406" t="e">
        <f t="shared" ca="1" si="121"/>
        <v>#N/A</v>
      </c>
      <c r="Y258" s="406" t="e">
        <f t="shared" ca="1" si="121"/>
        <v>#N/A</v>
      </c>
      <c r="Z258" s="406" t="e">
        <f t="shared" ca="1" si="121"/>
        <v>#N/A</v>
      </c>
      <c r="AA258" s="406" t="e">
        <f t="shared" ca="1" si="121"/>
        <v>#N/A</v>
      </c>
      <c r="AB258" s="406" t="e">
        <f t="shared" ca="1" si="121"/>
        <v>#N/A</v>
      </c>
      <c r="AC258" s="406" t="e">
        <f t="shared" ca="1" si="121"/>
        <v>#N/A</v>
      </c>
      <c r="AD258" s="406" t="e">
        <f t="shared" ca="1" si="121"/>
        <v>#N/A</v>
      </c>
      <c r="AE258" s="406" t="e">
        <f t="shared" ca="1" si="121"/>
        <v>#N/A</v>
      </c>
      <c r="AF258" s="406" t="e">
        <f t="shared" ca="1" si="121"/>
        <v>#N/A</v>
      </c>
      <c r="AG258" s="406" t="e">
        <f t="shared" ca="1" si="121"/>
        <v>#N/A</v>
      </c>
      <c r="AH258" s="406" t="e">
        <f t="shared" ca="1" si="122"/>
        <v>#N/A</v>
      </c>
      <c r="AI258" s="406" t="e">
        <f t="shared" ca="1" si="122"/>
        <v>#N/A</v>
      </c>
      <c r="AJ258" s="406" t="e">
        <f t="shared" ca="1" si="122"/>
        <v>#N/A</v>
      </c>
      <c r="AK258" s="406" t="e">
        <f t="shared" ca="1" si="122"/>
        <v>#N/A</v>
      </c>
      <c r="AL258" s="406" t="e">
        <f t="shared" ca="1" si="122"/>
        <v>#N/A</v>
      </c>
      <c r="AM258" s="406" t="e">
        <f t="shared" ca="1" si="122"/>
        <v>#N/A</v>
      </c>
      <c r="AN258" s="406" t="e">
        <f t="shared" ca="1" si="122"/>
        <v>#N/A</v>
      </c>
      <c r="AO258" s="406" t="e">
        <f t="shared" ca="1" si="122"/>
        <v>#N/A</v>
      </c>
      <c r="AP258" s="406" t="e">
        <f t="shared" ca="1" si="122"/>
        <v>#N/A</v>
      </c>
      <c r="AQ258" s="406" t="e">
        <f t="shared" ca="1" si="122"/>
        <v>#N/A</v>
      </c>
      <c r="AR258" s="406" t="e">
        <f t="shared" ca="1" si="120"/>
        <v>#N/A</v>
      </c>
      <c r="AS258" s="406" t="e">
        <f t="shared" ca="1" si="120"/>
        <v>#N/A</v>
      </c>
      <c r="AT258" s="406" t="e">
        <f t="shared" ca="1" si="120"/>
        <v>#N/A</v>
      </c>
      <c r="AU258" s="406" t="e">
        <f t="shared" ca="1" si="120"/>
        <v>#N/A</v>
      </c>
      <c r="AV258" s="406" t="e">
        <f t="shared" ca="1" si="120"/>
        <v>#N/A</v>
      </c>
      <c r="AW258" s="406" t="e">
        <f t="shared" ca="1" si="120"/>
        <v>#N/A</v>
      </c>
      <c r="AX258" s="406" t="e">
        <f t="shared" ca="1" si="120"/>
        <v>#N/A</v>
      </c>
      <c r="AY258" s="406" t="e">
        <f t="shared" ca="1" si="120"/>
        <v>#N/A</v>
      </c>
      <c r="AZ258" s="406" t="e">
        <f t="shared" ca="1" si="120"/>
        <v>#N/A</v>
      </c>
      <c r="BA258" s="406" t="e">
        <f t="shared" ca="1" si="120"/>
        <v>#N/A</v>
      </c>
      <c r="BB258" s="408"/>
      <c r="BC258" s="408" t="str">
        <f t="shared" ref="BC258:BC321" ca="1" si="125">IFERROR(ABS(INDEX($D$2:$BA$502,MATCH($BB258,$D$2:$D$502,0),MATCH(BC$1,INDIRECT(CONCATENATE("D" &amp; $A$6 &amp; ":BA" &amp; $A$6)),0)))*(IF(RTF_unit="K",1,IF(RTF_unit="lb",1/1000,IF(RTF_unit="T",1/2,1)))),"")</f>
        <v/>
      </c>
      <c r="BD258" s="408" t="s">
        <v>1278</v>
      </c>
      <c r="BE258" s="408" t="s">
        <v>1278</v>
      </c>
    </row>
    <row r="259" spans="3:57" x14ac:dyDescent="0.25">
      <c r="C259" s="406">
        <f t="shared" si="110"/>
        <v>257</v>
      </c>
      <c r="D259" s="406" t="e">
        <f t="shared" ca="1" si="124"/>
        <v>#N/A</v>
      </c>
      <c r="E259" s="406" t="e">
        <f t="shared" ca="1" si="124"/>
        <v>#N/A</v>
      </c>
      <c r="F259" s="406" t="e">
        <f t="shared" ca="1" si="124"/>
        <v>#N/A</v>
      </c>
      <c r="G259" s="406" t="e">
        <f t="shared" ca="1" si="124"/>
        <v>#N/A</v>
      </c>
      <c r="H259" s="406" t="e">
        <f t="shared" ca="1" si="124"/>
        <v>#N/A</v>
      </c>
      <c r="I259" s="406" t="e">
        <f t="shared" ca="1" si="124"/>
        <v>#N/A</v>
      </c>
      <c r="J259" s="406" t="e">
        <f t="shared" ca="1" si="124"/>
        <v>#N/A</v>
      </c>
      <c r="K259" s="406" t="e">
        <f t="shared" ca="1" si="124"/>
        <v>#N/A</v>
      </c>
      <c r="L259" s="406" t="e">
        <f t="shared" ca="1" si="124"/>
        <v>#N/A</v>
      </c>
      <c r="M259" s="406" t="e">
        <f t="shared" ca="1" si="124"/>
        <v>#N/A</v>
      </c>
      <c r="N259" s="406" t="e">
        <f t="shared" ca="1" si="123"/>
        <v>#N/A</v>
      </c>
      <c r="O259" s="406" t="e">
        <f t="shared" ca="1" si="123"/>
        <v>#N/A</v>
      </c>
      <c r="P259" s="406" t="e">
        <f t="shared" ca="1" si="123"/>
        <v>#N/A</v>
      </c>
      <c r="Q259" s="406" t="e">
        <f t="shared" ca="1" si="123"/>
        <v>#N/A</v>
      </c>
      <c r="R259" s="406" t="e">
        <f t="shared" ca="1" si="123"/>
        <v>#N/A</v>
      </c>
      <c r="S259" s="406" t="e">
        <f t="shared" ca="1" si="123"/>
        <v>#N/A</v>
      </c>
      <c r="T259" s="406" t="e">
        <f t="shared" ca="1" si="123"/>
        <v>#N/A</v>
      </c>
      <c r="U259" s="406" t="e">
        <f t="shared" ca="1" si="123"/>
        <v>#N/A</v>
      </c>
      <c r="V259" s="406" t="e">
        <f t="shared" ca="1" si="123"/>
        <v>#N/A</v>
      </c>
      <c r="W259" s="406" t="e">
        <f t="shared" ca="1" si="123"/>
        <v>#N/A</v>
      </c>
      <c r="X259" s="406" t="e">
        <f t="shared" ca="1" si="121"/>
        <v>#N/A</v>
      </c>
      <c r="Y259" s="406" t="e">
        <f t="shared" ca="1" si="121"/>
        <v>#N/A</v>
      </c>
      <c r="Z259" s="406" t="e">
        <f t="shared" ca="1" si="121"/>
        <v>#N/A</v>
      </c>
      <c r="AA259" s="406" t="e">
        <f t="shared" ca="1" si="121"/>
        <v>#N/A</v>
      </c>
      <c r="AB259" s="406" t="e">
        <f t="shared" ca="1" si="121"/>
        <v>#N/A</v>
      </c>
      <c r="AC259" s="406" t="e">
        <f t="shared" ca="1" si="121"/>
        <v>#N/A</v>
      </c>
      <c r="AD259" s="406" t="e">
        <f t="shared" ca="1" si="121"/>
        <v>#N/A</v>
      </c>
      <c r="AE259" s="406" t="e">
        <f t="shared" ca="1" si="121"/>
        <v>#N/A</v>
      </c>
      <c r="AF259" s="406" t="e">
        <f t="shared" ca="1" si="121"/>
        <v>#N/A</v>
      </c>
      <c r="AG259" s="406" t="e">
        <f t="shared" ca="1" si="121"/>
        <v>#N/A</v>
      </c>
      <c r="AH259" s="406" t="e">
        <f t="shared" ca="1" si="122"/>
        <v>#N/A</v>
      </c>
      <c r="AI259" s="406" t="e">
        <f t="shared" ca="1" si="122"/>
        <v>#N/A</v>
      </c>
      <c r="AJ259" s="406" t="e">
        <f t="shared" ca="1" si="122"/>
        <v>#N/A</v>
      </c>
      <c r="AK259" s="406" t="e">
        <f t="shared" ca="1" si="122"/>
        <v>#N/A</v>
      </c>
      <c r="AL259" s="406" t="e">
        <f t="shared" ca="1" si="122"/>
        <v>#N/A</v>
      </c>
      <c r="AM259" s="406" t="e">
        <f t="shared" ca="1" si="122"/>
        <v>#N/A</v>
      </c>
      <c r="AN259" s="406" t="e">
        <f t="shared" ca="1" si="122"/>
        <v>#N/A</v>
      </c>
      <c r="AO259" s="406" t="e">
        <f t="shared" ca="1" si="122"/>
        <v>#N/A</v>
      </c>
      <c r="AP259" s="406" t="e">
        <f t="shared" ca="1" si="122"/>
        <v>#N/A</v>
      </c>
      <c r="AQ259" s="406" t="e">
        <f t="shared" ca="1" si="122"/>
        <v>#N/A</v>
      </c>
      <c r="AR259" s="406" t="e">
        <f t="shared" ca="1" si="120"/>
        <v>#N/A</v>
      </c>
      <c r="AS259" s="406" t="e">
        <f t="shared" ca="1" si="120"/>
        <v>#N/A</v>
      </c>
      <c r="AT259" s="406" t="e">
        <f t="shared" ca="1" si="120"/>
        <v>#N/A</v>
      </c>
      <c r="AU259" s="406" t="e">
        <f t="shared" ca="1" si="120"/>
        <v>#N/A</v>
      </c>
      <c r="AV259" s="406" t="e">
        <f t="shared" ca="1" si="120"/>
        <v>#N/A</v>
      </c>
      <c r="AW259" s="406" t="e">
        <f t="shared" ca="1" si="120"/>
        <v>#N/A</v>
      </c>
      <c r="AX259" s="406" t="e">
        <f t="shared" ca="1" si="120"/>
        <v>#N/A</v>
      </c>
      <c r="AY259" s="406" t="e">
        <f t="shared" ca="1" si="120"/>
        <v>#N/A</v>
      </c>
      <c r="AZ259" s="406" t="e">
        <f t="shared" ref="AR259:BA285" ca="1" si="126">TRIM(INDIRECT("'" &amp; "TNX RTF" &amp; "'!" &amp; ADDRESS($A$3+$C259,AZ$1)))</f>
        <v>#N/A</v>
      </c>
      <c r="BA259" s="406" t="e">
        <f t="shared" ca="1" si="126"/>
        <v>#N/A</v>
      </c>
      <c r="BB259" s="408"/>
      <c r="BC259" s="408" t="str">
        <f t="shared" ca="1" si="125"/>
        <v/>
      </c>
      <c r="BD259" s="408" t="s">
        <v>1278</v>
      </c>
      <c r="BE259" s="408" t="s">
        <v>1278</v>
      </c>
    </row>
    <row r="260" spans="3:57" x14ac:dyDescent="0.25">
      <c r="C260" s="406">
        <f t="shared" ref="C260:C323" si="127">C259+1</f>
        <v>258</v>
      </c>
      <c r="D260" s="406" t="e">
        <f t="shared" ca="1" si="124"/>
        <v>#N/A</v>
      </c>
      <c r="E260" s="406" t="e">
        <f t="shared" ca="1" si="124"/>
        <v>#N/A</v>
      </c>
      <c r="F260" s="406" t="e">
        <f t="shared" ca="1" si="124"/>
        <v>#N/A</v>
      </c>
      <c r="G260" s="406" t="e">
        <f t="shared" ca="1" si="124"/>
        <v>#N/A</v>
      </c>
      <c r="H260" s="406" t="e">
        <f t="shared" ca="1" si="124"/>
        <v>#N/A</v>
      </c>
      <c r="I260" s="406" t="e">
        <f t="shared" ca="1" si="124"/>
        <v>#N/A</v>
      </c>
      <c r="J260" s="406" t="e">
        <f t="shared" ca="1" si="124"/>
        <v>#N/A</v>
      </c>
      <c r="K260" s="406" t="e">
        <f t="shared" ca="1" si="124"/>
        <v>#N/A</v>
      </c>
      <c r="L260" s="406" t="e">
        <f t="shared" ca="1" si="124"/>
        <v>#N/A</v>
      </c>
      <c r="M260" s="406" t="e">
        <f t="shared" ca="1" si="124"/>
        <v>#N/A</v>
      </c>
      <c r="N260" s="406" t="e">
        <f t="shared" ca="1" si="123"/>
        <v>#N/A</v>
      </c>
      <c r="O260" s="406" t="e">
        <f t="shared" ca="1" si="123"/>
        <v>#N/A</v>
      </c>
      <c r="P260" s="406" t="e">
        <f t="shared" ca="1" si="123"/>
        <v>#N/A</v>
      </c>
      <c r="Q260" s="406" t="e">
        <f t="shared" ca="1" si="123"/>
        <v>#N/A</v>
      </c>
      <c r="R260" s="406" t="e">
        <f t="shared" ca="1" si="123"/>
        <v>#N/A</v>
      </c>
      <c r="S260" s="406" t="e">
        <f t="shared" ca="1" si="123"/>
        <v>#N/A</v>
      </c>
      <c r="T260" s="406" t="e">
        <f t="shared" ca="1" si="123"/>
        <v>#N/A</v>
      </c>
      <c r="U260" s="406" t="e">
        <f t="shared" ca="1" si="123"/>
        <v>#N/A</v>
      </c>
      <c r="V260" s="406" t="e">
        <f t="shared" ca="1" si="123"/>
        <v>#N/A</v>
      </c>
      <c r="W260" s="406" t="e">
        <f t="shared" ca="1" si="123"/>
        <v>#N/A</v>
      </c>
      <c r="X260" s="406" t="e">
        <f t="shared" ca="1" si="121"/>
        <v>#N/A</v>
      </c>
      <c r="Y260" s="406" t="e">
        <f t="shared" ca="1" si="121"/>
        <v>#N/A</v>
      </c>
      <c r="Z260" s="406" t="e">
        <f t="shared" ca="1" si="121"/>
        <v>#N/A</v>
      </c>
      <c r="AA260" s="406" t="e">
        <f t="shared" ca="1" si="121"/>
        <v>#N/A</v>
      </c>
      <c r="AB260" s="406" t="e">
        <f t="shared" ca="1" si="121"/>
        <v>#N/A</v>
      </c>
      <c r="AC260" s="406" t="e">
        <f t="shared" ca="1" si="121"/>
        <v>#N/A</v>
      </c>
      <c r="AD260" s="406" t="e">
        <f t="shared" ca="1" si="121"/>
        <v>#N/A</v>
      </c>
      <c r="AE260" s="406" t="e">
        <f t="shared" ca="1" si="121"/>
        <v>#N/A</v>
      </c>
      <c r="AF260" s="406" t="e">
        <f t="shared" ca="1" si="121"/>
        <v>#N/A</v>
      </c>
      <c r="AG260" s="406" t="e">
        <f t="shared" ca="1" si="121"/>
        <v>#N/A</v>
      </c>
      <c r="AH260" s="406" t="e">
        <f t="shared" ca="1" si="122"/>
        <v>#N/A</v>
      </c>
      <c r="AI260" s="406" t="e">
        <f t="shared" ca="1" si="122"/>
        <v>#N/A</v>
      </c>
      <c r="AJ260" s="406" t="e">
        <f t="shared" ca="1" si="122"/>
        <v>#N/A</v>
      </c>
      <c r="AK260" s="406" t="e">
        <f t="shared" ca="1" si="122"/>
        <v>#N/A</v>
      </c>
      <c r="AL260" s="406" t="e">
        <f t="shared" ca="1" si="122"/>
        <v>#N/A</v>
      </c>
      <c r="AM260" s="406" t="e">
        <f t="shared" ca="1" si="122"/>
        <v>#N/A</v>
      </c>
      <c r="AN260" s="406" t="e">
        <f t="shared" ca="1" si="122"/>
        <v>#N/A</v>
      </c>
      <c r="AO260" s="406" t="e">
        <f t="shared" ca="1" si="122"/>
        <v>#N/A</v>
      </c>
      <c r="AP260" s="406" t="e">
        <f t="shared" ca="1" si="122"/>
        <v>#N/A</v>
      </c>
      <c r="AQ260" s="406" t="e">
        <f t="shared" ca="1" si="122"/>
        <v>#N/A</v>
      </c>
      <c r="AR260" s="406" t="e">
        <f t="shared" ca="1" si="126"/>
        <v>#N/A</v>
      </c>
      <c r="AS260" s="406" t="e">
        <f t="shared" ca="1" si="126"/>
        <v>#N/A</v>
      </c>
      <c r="AT260" s="406" t="e">
        <f t="shared" ca="1" si="126"/>
        <v>#N/A</v>
      </c>
      <c r="AU260" s="406" t="e">
        <f t="shared" ca="1" si="126"/>
        <v>#N/A</v>
      </c>
      <c r="AV260" s="406" t="e">
        <f t="shared" ca="1" si="126"/>
        <v>#N/A</v>
      </c>
      <c r="AW260" s="406" t="e">
        <f t="shared" ca="1" si="126"/>
        <v>#N/A</v>
      </c>
      <c r="AX260" s="406" t="e">
        <f t="shared" ca="1" si="126"/>
        <v>#N/A</v>
      </c>
      <c r="AY260" s="406" t="e">
        <f t="shared" ca="1" si="126"/>
        <v>#N/A</v>
      </c>
      <c r="AZ260" s="406" t="e">
        <f t="shared" ca="1" si="126"/>
        <v>#N/A</v>
      </c>
      <c r="BA260" s="406" t="e">
        <f t="shared" ca="1" si="126"/>
        <v>#N/A</v>
      </c>
      <c r="BB260" s="408"/>
      <c r="BC260" s="408" t="str">
        <f t="shared" ca="1" si="125"/>
        <v/>
      </c>
      <c r="BD260" s="408" t="s">
        <v>1278</v>
      </c>
      <c r="BE260" s="408" t="s">
        <v>1278</v>
      </c>
    </row>
    <row r="261" spans="3:57" ht="16.5" customHeight="1" x14ac:dyDescent="0.25">
      <c r="C261" s="406">
        <f t="shared" si="127"/>
        <v>259</v>
      </c>
      <c r="D261" s="406" t="e">
        <f t="shared" ca="1" si="124"/>
        <v>#N/A</v>
      </c>
      <c r="E261" s="406" t="e">
        <f t="shared" ca="1" si="124"/>
        <v>#N/A</v>
      </c>
      <c r="F261" s="406" t="e">
        <f t="shared" ca="1" si="124"/>
        <v>#N/A</v>
      </c>
      <c r="G261" s="406" t="e">
        <f t="shared" ca="1" si="124"/>
        <v>#N/A</v>
      </c>
      <c r="H261" s="406" t="e">
        <f t="shared" ca="1" si="124"/>
        <v>#N/A</v>
      </c>
      <c r="I261" s="406" t="e">
        <f t="shared" ca="1" si="124"/>
        <v>#N/A</v>
      </c>
      <c r="J261" s="406" t="e">
        <f t="shared" ca="1" si="124"/>
        <v>#N/A</v>
      </c>
      <c r="K261" s="406" t="e">
        <f t="shared" ca="1" si="124"/>
        <v>#N/A</v>
      </c>
      <c r="L261" s="406" t="e">
        <f t="shared" ca="1" si="124"/>
        <v>#N/A</v>
      </c>
      <c r="M261" s="406" t="e">
        <f t="shared" ca="1" si="124"/>
        <v>#N/A</v>
      </c>
      <c r="N261" s="406" t="e">
        <f t="shared" ca="1" si="123"/>
        <v>#N/A</v>
      </c>
      <c r="O261" s="406" t="e">
        <f t="shared" ca="1" si="123"/>
        <v>#N/A</v>
      </c>
      <c r="P261" s="406" t="e">
        <f t="shared" ca="1" si="123"/>
        <v>#N/A</v>
      </c>
      <c r="Q261" s="406" t="e">
        <f t="shared" ca="1" si="123"/>
        <v>#N/A</v>
      </c>
      <c r="R261" s="406" t="e">
        <f t="shared" ca="1" si="123"/>
        <v>#N/A</v>
      </c>
      <c r="S261" s="406" t="e">
        <f t="shared" ca="1" si="123"/>
        <v>#N/A</v>
      </c>
      <c r="T261" s="406" t="e">
        <f t="shared" ca="1" si="123"/>
        <v>#N/A</v>
      </c>
      <c r="U261" s="406" t="e">
        <f t="shared" ca="1" si="123"/>
        <v>#N/A</v>
      </c>
      <c r="V261" s="406" t="e">
        <f t="shared" ca="1" si="123"/>
        <v>#N/A</v>
      </c>
      <c r="W261" s="406" t="e">
        <f t="shared" ca="1" si="123"/>
        <v>#N/A</v>
      </c>
      <c r="X261" s="406" t="e">
        <f t="shared" ca="1" si="121"/>
        <v>#N/A</v>
      </c>
      <c r="Y261" s="406" t="e">
        <f t="shared" ca="1" si="121"/>
        <v>#N/A</v>
      </c>
      <c r="Z261" s="406" t="e">
        <f t="shared" ca="1" si="121"/>
        <v>#N/A</v>
      </c>
      <c r="AA261" s="406" t="e">
        <f t="shared" ca="1" si="121"/>
        <v>#N/A</v>
      </c>
      <c r="AB261" s="406" t="e">
        <f t="shared" ca="1" si="121"/>
        <v>#N/A</v>
      </c>
      <c r="AC261" s="406" t="e">
        <f t="shared" ca="1" si="121"/>
        <v>#N/A</v>
      </c>
      <c r="AD261" s="406" t="e">
        <f t="shared" ca="1" si="121"/>
        <v>#N/A</v>
      </c>
      <c r="AE261" s="406" t="e">
        <f t="shared" ca="1" si="121"/>
        <v>#N/A</v>
      </c>
      <c r="AF261" s="406" t="e">
        <f t="shared" ca="1" si="121"/>
        <v>#N/A</v>
      </c>
      <c r="AG261" s="406" t="e">
        <f t="shared" ca="1" si="121"/>
        <v>#N/A</v>
      </c>
      <c r="AH261" s="406" t="e">
        <f t="shared" ca="1" si="122"/>
        <v>#N/A</v>
      </c>
      <c r="AI261" s="406" t="e">
        <f t="shared" ca="1" si="122"/>
        <v>#N/A</v>
      </c>
      <c r="AJ261" s="406" t="e">
        <f t="shared" ca="1" si="122"/>
        <v>#N/A</v>
      </c>
      <c r="AK261" s="406" t="e">
        <f t="shared" ca="1" si="122"/>
        <v>#N/A</v>
      </c>
      <c r="AL261" s="406" t="e">
        <f t="shared" ca="1" si="122"/>
        <v>#N/A</v>
      </c>
      <c r="AM261" s="406" t="e">
        <f t="shared" ca="1" si="122"/>
        <v>#N/A</v>
      </c>
      <c r="AN261" s="406" t="e">
        <f t="shared" ca="1" si="122"/>
        <v>#N/A</v>
      </c>
      <c r="AO261" s="406" t="e">
        <f t="shared" ca="1" si="122"/>
        <v>#N/A</v>
      </c>
      <c r="AP261" s="406" t="e">
        <f t="shared" ca="1" si="122"/>
        <v>#N/A</v>
      </c>
      <c r="AQ261" s="406" t="e">
        <f t="shared" ca="1" si="122"/>
        <v>#N/A</v>
      </c>
      <c r="AR261" s="406" t="e">
        <f t="shared" ca="1" si="126"/>
        <v>#N/A</v>
      </c>
      <c r="AS261" s="406" t="e">
        <f t="shared" ca="1" si="126"/>
        <v>#N/A</v>
      </c>
      <c r="AT261" s="406" t="e">
        <f t="shared" ca="1" si="126"/>
        <v>#N/A</v>
      </c>
      <c r="AU261" s="406" t="e">
        <f t="shared" ca="1" si="126"/>
        <v>#N/A</v>
      </c>
      <c r="AV261" s="406" t="e">
        <f t="shared" ca="1" si="126"/>
        <v>#N/A</v>
      </c>
      <c r="AW261" s="406" t="e">
        <f t="shared" ca="1" si="126"/>
        <v>#N/A</v>
      </c>
      <c r="AX261" s="406" t="e">
        <f t="shared" ca="1" si="126"/>
        <v>#N/A</v>
      </c>
      <c r="AY261" s="406" t="e">
        <f t="shared" ca="1" si="126"/>
        <v>#N/A</v>
      </c>
      <c r="AZ261" s="406" t="e">
        <f t="shared" ca="1" si="126"/>
        <v>#N/A</v>
      </c>
      <c r="BA261" s="406" t="e">
        <f t="shared" ca="1" si="126"/>
        <v>#N/A</v>
      </c>
      <c r="BB261" s="408"/>
      <c r="BC261" s="408" t="str">
        <f t="shared" ca="1" si="125"/>
        <v/>
      </c>
      <c r="BD261" s="408" t="s">
        <v>1278</v>
      </c>
      <c r="BE261" s="408" t="s">
        <v>1278</v>
      </c>
    </row>
    <row r="262" spans="3:57" x14ac:dyDescent="0.25">
      <c r="C262" s="406">
        <f t="shared" si="127"/>
        <v>260</v>
      </c>
      <c r="D262" s="406" t="e">
        <f t="shared" ca="1" si="124"/>
        <v>#N/A</v>
      </c>
      <c r="E262" s="406" t="e">
        <f t="shared" ca="1" si="124"/>
        <v>#N/A</v>
      </c>
      <c r="F262" s="406" t="e">
        <f t="shared" ca="1" si="124"/>
        <v>#N/A</v>
      </c>
      <c r="G262" s="406" t="e">
        <f t="shared" ca="1" si="124"/>
        <v>#N/A</v>
      </c>
      <c r="H262" s="406" t="e">
        <f t="shared" ca="1" si="124"/>
        <v>#N/A</v>
      </c>
      <c r="I262" s="406" t="e">
        <f t="shared" ca="1" si="124"/>
        <v>#N/A</v>
      </c>
      <c r="J262" s="406" t="e">
        <f t="shared" ca="1" si="124"/>
        <v>#N/A</v>
      </c>
      <c r="K262" s="406" t="e">
        <f t="shared" ca="1" si="124"/>
        <v>#N/A</v>
      </c>
      <c r="L262" s="406" t="e">
        <f t="shared" ca="1" si="124"/>
        <v>#N/A</v>
      </c>
      <c r="M262" s="406" t="e">
        <f t="shared" ca="1" si="124"/>
        <v>#N/A</v>
      </c>
      <c r="N262" s="406" t="e">
        <f t="shared" ca="1" si="123"/>
        <v>#N/A</v>
      </c>
      <c r="O262" s="406" t="e">
        <f t="shared" ca="1" si="123"/>
        <v>#N/A</v>
      </c>
      <c r="P262" s="406" t="e">
        <f t="shared" ca="1" si="123"/>
        <v>#N/A</v>
      </c>
      <c r="Q262" s="406" t="e">
        <f t="shared" ca="1" si="123"/>
        <v>#N/A</v>
      </c>
      <c r="R262" s="406" t="e">
        <f t="shared" ca="1" si="123"/>
        <v>#N/A</v>
      </c>
      <c r="S262" s="406" t="e">
        <f t="shared" ca="1" si="123"/>
        <v>#N/A</v>
      </c>
      <c r="T262" s="406" t="e">
        <f t="shared" ca="1" si="123"/>
        <v>#N/A</v>
      </c>
      <c r="U262" s="406" t="e">
        <f t="shared" ca="1" si="123"/>
        <v>#N/A</v>
      </c>
      <c r="V262" s="406" t="e">
        <f t="shared" ca="1" si="123"/>
        <v>#N/A</v>
      </c>
      <c r="W262" s="406" t="e">
        <f t="shared" ca="1" si="123"/>
        <v>#N/A</v>
      </c>
      <c r="X262" s="406" t="e">
        <f t="shared" ca="1" si="121"/>
        <v>#N/A</v>
      </c>
      <c r="Y262" s="406" t="e">
        <f t="shared" ca="1" si="121"/>
        <v>#N/A</v>
      </c>
      <c r="Z262" s="406" t="e">
        <f t="shared" ca="1" si="121"/>
        <v>#N/A</v>
      </c>
      <c r="AA262" s="406" t="e">
        <f t="shared" ca="1" si="121"/>
        <v>#N/A</v>
      </c>
      <c r="AB262" s="406" t="e">
        <f t="shared" ca="1" si="121"/>
        <v>#N/A</v>
      </c>
      <c r="AC262" s="406" t="e">
        <f t="shared" ca="1" si="121"/>
        <v>#N/A</v>
      </c>
      <c r="AD262" s="406" t="e">
        <f t="shared" ca="1" si="121"/>
        <v>#N/A</v>
      </c>
      <c r="AE262" s="406" t="e">
        <f t="shared" ca="1" si="121"/>
        <v>#N/A</v>
      </c>
      <c r="AF262" s="406" t="e">
        <f t="shared" ca="1" si="121"/>
        <v>#N/A</v>
      </c>
      <c r="AG262" s="406" t="e">
        <f t="shared" ca="1" si="121"/>
        <v>#N/A</v>
      </c>
      <c r="AH262" s="406" t="e">
        <f t="shared" ca="1" si="122"/>
        <v>#N/A</v>
      </c>
      <c r="AI262" s="406" t="e">
        <f t="shared" ca="1" si="122"/>
        <v>#N/A</v>
      </c>
      <c r="AJ262" s="406" t="e">
        <f t="shared" ca="1" si="122"/>
        <v>#N/A</v>
      </c>
      <c r="AK262" s="406" t="e">
        <f t="shared" ca="1" si="122"/>
        <v>#N/A</v>
      </c>
      <c r="AL262" s="406" t="e">
        <f t="shared" ca="1" si="122"/>
        <v>#N/A</v>
      </c>
      <c r="AM262" s="406" t="e">
        <f t="shared" ca="1" si="122"/>
        <v>#N/A</v>
      </c>
      <c r="AN262" s="406" t="e">
        <f t="shared" ca="1" si="122"/>
        <v>#N/A</v>
      </c>
      <c r="AO262" s="406" t="e">
        <f t="shared" ca="1" si="122"/>
        <v>#N/A</v>
      </c>
      <c r="AP262" s="406" t="e">
        <f t="shared" ca="1" si="122"/>
        <v>#N/A</v>
      </c>
      <c r="AQ262" s="406" t="e">
        <f t="shared" ca="1" si="122"/>
        <v>#N/A</v>
      </c>
      <c r="AR262" s="406" t="e">
        <f t="shared" ca="1" si="126"/>
        <v>#N/A</v>
      </c>
      <c r="AS262" s="406" t="e">
        <f t="shared" ca="1" si="126"/>
        <v>#N/A</v>
      </c>
      <c r="AT262" s="406" t="e">
        <f t="shared" ca="1" si="126"/>
        <v>#N/A</v>
      </c>
      <c r="AU262" s="406" t="e">
        <f t="shared" ca="1" si="126"/>
        <v>#N/A</v>
      </c>
      <c r="AV262" s="406" t="e">
        <f t="shared" ca="1" si="126"/>
        <v>#N/A</v>
      </c>
      <c r="AW262" s="406" t="e">
        <f t="shared" ca="1" si="126"/>
        <v>#N/A</v>
      </c>
      <c r="AX262" s="406" t="e">
        <f t="shared" ca="1" si="126"/>
        <v>#N/A</v>
      </c>
      <c r="AY262" s="406" t="e">
        <f t="shared" ca="1" si="126"/>
        <v>#N/A</v>
      </c>
      <c r="AZ262" s="406" t="e">
        <f t="shared" ca="1" si="126"/>
        <v>#N/A</v>
      </c>
      <c r="BA262" s="406" t="e">
        <f t="shared" ca="1" si="126"/>
        <v>#N/A</v>
      </c>
      <c r="BB262" s="408"/>
      <c r="BC262" s="408" t="str">
        <f t="shared" ca="1" si="125"/>
        <v/>
      </c>
      <c r="BD262" s="408" t="s">
        <v>1278</v>
      </c>
      <c r="BE262" s="408" t="s">
        <v>1278</v>
      </c>
    </row>
    <row r="263" spans="3:57" x14ac:dyDescent="0.25">
      <c r="C263" s="406">
        <f t="shared" si="127"/>
        <v>261</v>
      </c>
      <c r="D263" s="406" t="e">
        <f t="shared" ca="1" si="124"/>
        <v>#N/A</v>
      </c>
      <c r="E263" s="406" t="e">
        <f t="shared" ca="1" si="124"/>
        <v>#N/A</v>
      </c>
      <c r="F263" s="406" t="e">
        <f t="shared" ca="1" si="124"/>
        <v>#N/A</v>
      </c>
      <c r="G263" s="406" t="e">
        <f t="shared" ca="1" si="124"/>
        <v>#N/A</v>
      </c>
      <c r="H263" s="406" t="e">
        <f t="shared" ca="1" si="124"/>
        <v>#N/A</v>
      </c>
      <c r="I263" s="406" t="e">
        <f t="shared" ca="1" si="124"/>
        <v>#N/A</v>
      </c>
      <c r="J263" s="406" t="e">
        <f t="shared" ca="1" si="124"/>
        <v>#N/A</v>
      </c>
      <c r="K263" s="406" t="e">
        <f t="shared" ca="1" si="124"/>
        <v>#N/A</v>
      </c>
      <c r="L263" s="406" t="e">
        <f t="shared" ca="1" si="124"/>
        <v>#N/A</v>
      </c>
      <c r="M263" s="406" t="e">
        <f t="shared" ca="1" si="124"/>
        <v>#N/A</v>
      </c>
      <c r="N263" s="406" t="e">
        <f t="shared" ca="1" si="123"/>
        <v>#N/A</v>
      </c>
      <c r="O263" s="406" t="e">
        <f t="shared" ca="1" si="123"/>
        <v>#N/A</v>
      </c>
      <c r="P263" s="406" t="e">
        <f t="shared" ca="1" si="123"/>
        <v>#N/A</v>
      </c>
      <c r="Q263" s="406" t="e">
        <f t="shared" ca="1" si="123"/>
        <v>#N/A</v>
      </c>
      <c r="R263" s="406" t="e">
        <f t="shared" ca="1" si="123"/>
        <v>#N/A</v>
      </c>
      <c r="S263" s="406" t="e">
        <f t="shared" ca="1" si="123"/>
        <v>#N/A</v>
      </c>
      <c r="T263" s="406" t="e">
        <f t="shared" ca="1" si="123"/>
        <v>#N/A</v>
      </c>
      <c r="U263" s="406" t="e">
        <f t="shared" ca="1" si="123"/>
        <v>#N/A</v>
      </c>
      <c r="V263" s="406" t="e">
        <f t="shared" ca="1" si="123"/>
        <v>#N/A</v>
      </c>
      <c r="W263" s="406" t="e">
        <f t="shared" ca="1" si="123"/>
        <v>#N/A</v>
      </c>
      <c r="X263" s="406" t="e">
        <f t="shared" ca="1" si="121"/>
        <v>#N/A</v>
      </c>
      <c r="Y263" s="406" t="e">
        <f t="shared" ca="1" si="121"/>
        <v>#N/A</v>
      </c>
      <c r="Z263" s="406" t="e">
        <f t="shared" ca="1" si="121"/>
        <v>#N/A</v>
      </c>
      <c r="AA263" s="406" t="e">
        <f t="shared" ca="1" si="121"/>
        <v>#N/A</v>
      </c>
      <c r="AB263" s="406" t="e">
        <f t="shared" ca="1" si="121"/>
        <v>#N/A</v>
      </c>
      <c r="AC263" s="406" t="e">
        <f t="shared" ref="X263:AG288" ca="1" si="128">TRIM(INDIRECT("'" &amp; "TNX RTF" &amp; "'!" &amp; ADDRESS($A$3+$C263,AC$1)))</f>
        <v>#N/A</v>
      </c>
      <c r="AD263" s="406" t="e">
        <f t="shared" ca="1" si="128"/>
        <v>#N/A</v>
      </c>
      <c r="AE263" s="406" t="e">
        <f t="shared" ca="1" si="128"/>
        <v>#N/A</v>
      </c>
      <c r="AF263" s="406" t="e">
        <f t="shared" ca="1" si="128"/>
        <v>#N/A</v>
      </c>
      <c r="AG263" s="406" t="e">
        <f t="shared" ca="1" si="128"/>
        <v>#N/A</v>
      </c>
      <c r="AH263" s="406" t="e">
        <f t="shared" ca="1" si="122"/>
        <v>#N/A</v>
      </c>
      <c r="AI263" s="406" t="e">
        <f t="shared" ca="1" si="122"/>
        <v>#N/A</v>
      </c>
      <c r="AJ263" s="406" t="e">
        <f t="shared" ca="1" si="122"/>
        <v>#N/A</v>
      </c>
      <c r="AK263" s="406" t="e">
        <f t="shared" ca="1" si="122"/>
        <v>#N/A</v>
      </c>
      <c r="AL263" s="406" t="e">
        <f t="shared" ca="1" si="122"/>
        <v>#N/A</v>
      </c>
      <c r="AM263" s="406" t="e">
        <f t="shared" ca="1" si="122"/>
        <v>#N/A</v>
      </c>
      <c r="AN263" s="406" t="e">
        <f t="shared" ca="1" si="122"/>
        <v>#N/A</v>
      </c>
      <c r="AO263" s="406" t="e">
        <f t="shared" ca="1" si="122"/>
        <v>#N/A</v>
      </c>
      <c r="AP263" s="406" t="e">
        <f t="shared" ca="1" si="122"/>
        <v>#N/A</v>
      </c>
      <c r="AQ263" s="406" t="e">
        <f t="shared" ca="1" si="122"/>
        <v>#N/A</v>
      </c>
      <c r="AR263" s="406" t="e">
        <f t="shared" ca="1" si="126"/>
        <v>#N/A</v>
      </c>
      <c r="AS263" s="406" t="e">
        <f t="shared" ca="1" si="126"/>
        <v>#N/A</v>
      </c>
      <c r="AT263" s="406" t="e">
        <f t="shared" ca="1" si="126"/>
        <v>#N/A</v>
      </c>
      <c r="AU263" s="406" t="e">
        <f t="shared" ca="1" si="126"/>
        <v>#N/A</v>
      </c>
      <c r="AV263" s="406" t="e">
        <f t="shared" ca="1" si="126"/>
        <v>#N/A</v>
      </c>
      <c r="AW263" s="406" t="e">
        <f t="shared" ca="1" si="126"/>
        <v>#N/A</v>
      </c>
      <c r="AX263" s="406" t="e">
        <f t="shared" ca="1" si="126"/>
        <v>#N/A</v>
      </c>
      <c r="AY263" s="406" t="e">
        <f t="shared" ca="1" si="126"/>
        <v>#N/A</v>
      </c>
      <c r="AZ263" s="406" t="e">
        <f t="shared" ca="1" si="126"/>
        <v>#N/A</v>
      </c>
      <c r="BA263" s="406" t="e">
        <f t="shared" ca="1" si="126"/>
        <v>#N/A</v>
      </c>
      <c r="BB263" s="408"/>
      <c r="BC263" s="408" t="str">
        <f t="shared" ca="1" si="125"/>
        <v/>
      </c>
      <c r="BD263" s="408" t="s">
        <v>1278</v>
      </c>
      <c r="BE263" s="408" t="s">
        <v>1278</v>
      </c>
    </row>
    <row r="264" spans="3:57" x14ac:dyDescent="0.25">
      <c r="C264" s="406">
        <f t="shared" si="127"/>
        <v>262</v>
      </c>
      <c r="D264" s="406" t="e">
        <f t="shared" ca="1" si="124"/>
        <v>#N/A</v>
      </c>
      <c r="E264" s="406" t="e">
        <f t="shared" ca="1" si="124"/>
        <v>#N/A</v>
      </c>
      <c r="F264" s="406" t="e">
        <f t="shared" ca="1" si="124"/>
        <v>#N/A</v>
      </c>
      <c r="G264" s="406" t="e">
        <f t="shared" ca="1" si="124"/>
        <v>#N/A</v>
      </c>
      <c r="H264" s="406" t="e">
        <f t="shared" ca="1" si="124"/>
        <v>#N/A</v>
      </c>
      <c r="I264" s="406" t="e">
        <f t="shared" ca="1" si="124"/>
        <v>#N/A</v>
      </c>
      <c r="J264" s="406" t="e">
        <f t="shared" ca="1" si="124"/>
        <v>#N/A</v>
      </c>
      <c r="K264" s="406" t="e">
        <f t="shared" ca="1" si="124"/>
        <v>#N/A</v>
      </c>
      <c r="L264" s="406" t="e">
        <f t="shared" ca="1" si="124"/>
        <v>#N/A</v>
      </c>
      <c r="M264" s="406" t="e">
        <f t="shared" ca="1" si="124"/>
        <v>#N/A</v>
      </c>
      <c r="N264" s="406" t="e">
        <f t="shared" ca="1" si="123"/>
        <v>#N/A</v>
      </c>
      <c r="O264" s="406" t="e">
        <f t="shared" ca="1" si="123"/>
        <v>#N/A</v>
      </c>
      <c r="P264" s="406" t="e">
        <f t="shared" ca="1" si="123"/>
        <v>#N/A</v>
      </c>
      <c r="Q264" s="406" t="e">
        <f t="shared" ca="1" si="123"/>
        <v>#N/A</v>
      </c>
      <c r="R264" s="406" t="e">
        <f t="shared" ca="1" si="123"/>
        <v>#N/A</v>
      </c>
      <c r="S264" s="406" t="e">
        <f t="shared" ca="1" si="123"/>
        <v>#N/A</v>
      </c>
      <c r="T264" s="406" t="e">
        <f t="shared" ca="1" si="123"/>
        <v>#N/A</v>
      </c>
      <c r="U264" s="406" t="e">
        <f t="shared" ca="1" si="123"/>
        <v>#N/A</v>
      </c>
      <c r="V264" s="406" t="e">
        <f t="shared" ca="1" si="123"/>
        <v>#N/A</v>
      </c>
      <c r="W264" s="406" t="e">
        <f t="shared" ca="1" si="123"/>
        <v>#N/A</v>
      </c>
      <c r="X264" s="406" t="e">
        <f t="shared" ca="1" si="128"/>
        <v>#N/A</v>
      </c>
      <c r="Y264" s="406" t="e">
        <f t="shared" ca="1" si="128"/>
        <v>#N/A</v>
      </c>
      <c r="Z264" s="406" t="e">
        <f t="shared" ca="1" si="128"/>
        <v>#N/A</v>
      </c>
      <c r="AA264" s="406" t="e">
        <f t="shared" ca="1" si="128"/>
        <v>#N/A</v>
      </c>
      <c r="AB264" s="406" t="e">
        <f t="shared" ca="1" si="128"/>
        <v>#N/A</v>
      </c>
      <c r="AC264" s="406" t="e">
        <f t="shared" ca="1" si="128"/>
        <v>#N/A</v>
      </c>
      <c r="AD264" s="406" t="e">
        <f t="shared" ca="1" si="128"/>
        <v>#N/A</v>
      </c>
      <c r="AE264" s="406" t="e">
        <f t="shared" ca="1" si="128"/>
        <v>#N/A</v>
      </c>
      <c r="AF264" s="406" t="e">
        <f t="shared" ca="1" si="128"/>
        <v>#N/A</v>
      </c>
      <c r="AG264" s="406" t="e">
        <f t="shared" ca="1" si="128"/>
        <v>#N/A</v>
      </c>
      <c r="AH264" s="406" t="e">
        <f t="shared" ca="1" si="122"/>
        <v>#N/A</v>
      </c>
      <c r="AI264" s="406" t="e">
        <f t="shared" ca="1" si="122"/>
        <v>#N/A</v>
      </c>
      <c r="AJ264" s="406" t="e">
        <f t="shared" ca="1" si="122"/>
        <v>#N/A</v>
      </c>
      <c r="AK264" s="406" t="e">
        <f t="shared" ca="1" si="122"/>
        <v>#N/A</v>
      </c>
      <c r="AL264" s="406" t="e">
        <f t="shared" ca="1" si="122"/>
        <v>#N/A</v>
      </c>
      <c r="AM264" s="406" t="e">
        <f t="shared" ca="1" si="122"/>
        <v>#N/A</v>
      </c>
      <c r="AN264" s="406" t="e">
        <f t="shared" ca="1" si="122"/>
        <v>#N/A</v>
      </c>
      <c r="AO264" s="406" t="e">
        <f t="shared" ca="1" si="122"/>
        <v>#N/A</v>
      </c>
      <c r="AP264" s="406" t="e">
        <f t="shared" ca="1" si="122"/>
        <v>#N/A</v>
      </c>
      <c r="AQ264" s="406" t="e">
        <f t="shared" ca="1" si="122"/>
        <v>#N/A</v>
      </c>
      <c r="AR264" s="406" t="e">
        <f t="shared" ca="1" si="126"/>
        <v>#N/A</v>
      </c>
      <c r="AS264" s="406" t="e">
        <f t="shared" ca="1" si="126"/>
        <v>#N/A</v>
      </c>
      <c r="AT264" s="406" t="e">
        <f t="shared" ca="1" si="126"/>
        <v>#N/A</v>
      </c>
      <c r="AU264" s="406" t="e">
        <f t="shared" ca="1" si="126"/>
        <v>#N/A</v>
      </c>
      <c r="AV264" s="406" t="e">
        <f t="shared" ca="1" si="126"/>
        <v>#N/A</v>
      </c>
      <c r="AW264" s="406" t="e">
        <f t="shared" ca="1" si="126"/>
        <v>#N/A</v>
      </c>
      <c r="AX264" s="406" t="e">
        <f t="shared" ca="1" si="126"/>
        <v>#N/A</v>
      </c>
      <c r="AY264" s="406" t="e">
        <f t="shared" ca="1" si="126"/>
        <v>#N/A</v>
      </c>
      <c r="AZ264" s="406" t="e">
        <f t="shared" ca="1" si="126"/>
        <v>#N/A</v>
      </c>
      <c r="BA264" s="406" t="e">
        <f t="shared" ca="1" si="126"/>
        <v>#N/A</v>
      </c>
      <c r="BB264" s="408"/>
      <c r="BC264" s="408" t="str">
        <f t="shared" ca="1" si="125"/>
        <v/>
      </c>
      <c r="BD264" s="408" t="s">
        <v>1278</v>
      </c>
      <c r="BE264" s="408" t="s">
        <v>1278</v>
      </c>
    </row>
    <row r="265" spans="3:57" x14ac:dyDescent="0.25">
      <c r="C265" s="406">
        <f t="shared" si="127"/>
        <v>263</v>
      </c>
      <c r="D265" s="406" t="e">
        <f t="shared" ca="1" si="124"/>
        <v>#N/A</v>
      </c>
      <c r="E265" s="406" t="e">
        <f t="shared" ca="1" si="124"/>
        <v>#N/A</v>
      </c>
      <c r="F265" s="406" t="e">
        <f t="shared" ca="1" si="124"/>
        <v>#N/A</v>
      </c>
      <c r="G265" s="406" t="e">
        <f t="shared" ca="1" si="124"/>
        <v>#N/A</v>
      </c>
      <c r="H265" s="406" t="e">
        <f t="shared" ca="1" si="124"/>
        <v>#N/A</v>
      </c>
      <c r="I265" s="406" t="e">
        <f t="shared" ca="1" si="124"/>
        <v>#N/A</v>
      </c>
      <c r="J265" s="406" t="e">
        <f t="shared" ca="1" si="124"/>
        <v>#N/A</v>
      </c>
      <c r="K265" s="406" t="e">
        <f t="shared" ca="1" si="124"/>
        <v>#N/A</v>
      </c>
      <c r="L265" s="406" t="e">
        <f t="shared" ca="1" si="124"/>
        <v>#N/A</v>
      </c>
      <c r="M265" s="406" t="e">
        <f t="shared" ca="1" si="124"/>
        <v>#N/A</v>
      </c>
      <c r="N265" s="406" t="e">
        <f t="shared" ca="1" si="123"/>
        <v>#N/A</v>
      </c>
      <c r="O265" s="406" t="e">
        <f t="shared" ca="1" si="123"/>
        <v>#N/A</v>
      </c>
      <c r="P265" s="406" t="e">
        <f t="shared" ca="1" si="123"/>
        <v>#N/A</v>
      </c>
      <c r="Q265" s="406" t="e">
        <f t="shared" ca="1" si="123"/>
        <v>#N/A</v>
      </c>
      <c r="R265" s="406" t="e">
        <f t="shared" ca="1" si="123"/>
        <v>#N/A</v>
      </c>
      <c r="S265" s="406" t="e">
        <f t="shared" ca="1" si="123"/>
        <v>#N/A</v>
      </c>
      <c r="T265" s="406" t="e">
        <f t="shared" ca="1" si="123"/>
        <v>#N/A</v>
      </c>
      <c r="U265" s="406" t="e">
        <f t="shared" ca="1" si="123"/>
        <v>#N/A</v>
      </c>
      <c r="V265" s="406" t="e">
        <f t="shared" ca="1" si="123"/>
        <v>#N/A</v>
      </c>
      <c r="W265" s="406" t="e">
        <f t="shared" ca="1" si="123"/>
        <v>#N/A</v>
      </c>
      <c r="X265" s="406" t="e">
        <f t="shared" ca="1" si="128"/>
        <v>#N/A</v>
      </c>
      <c r="Y265" s="406" t="e">
        <f t="shared" ca="1" si="128"/>
        <v>#N/A</v>
      </c>
      <c r="Z265" s="406" t="e">
        <f t="shared" ca="1" si="128"/>
        <v>#N/A</v>
      </c>
      <c r="AA265" s="406" t="e">
        <f t="shared" ca="1" si="128"/>
        <v>#N/A</v>
      </c>
      <c r="AB265" s="406" t="e">
        <f t="shared" ca="1" si="128"/>
        <v>#N/A</v>
      </c>
      <c r="AC265" s="406" t="e">
        <f t="shared" ca="1" si="128"/>
        <v>#N/A</v>
      </c>
      <c r="AD265" s="406" t="e">
        <f t="shared" ca="1" si="128"/>
        <v>#N/A</v>
      </c>
      <c r="AE265" s="406" t="e">
        <f t="shared" ca="1" si="128"/>
        <v>#N/A</v>
      </c>
      <c r="AF265" s="406" t="e">
        <f t="shared" ca="1" si="128"/>
        <v>#N/A</v>
      </c>
      <c r="AG265" s="406" t="e">
        <f t="shared" ca="1" si="128"/>
        <v>#N/A</v>
      </c>
      <c r="AH265" s="406" t="e">
        <f t="shared" ca="1" si="122"/>
        <v>#N/A</v>
      </c>
      <c r="AI265" s="406" t="e">
        <f t="shared" ca="1" si="122"/>
        <v>#N/A</v>
      </c>
      <c r="AJ265" s="406" t="e">
        <f t="shared" ca="1" si="122"/>
        <v>#N/A</v>
      </c>
      <c r="AK265" s="406" t="e">
        <f t="shared" ca="1" si="122"/>
        <v>#N/A</v>
      </c>
      <c r="AL265" s="406" t="e">
        <f t="shared" ca="1" si="122"/>
        <v>#N/A</v>
      </c>
      <c r="AM265" s="406" t="e">
        <f t="shared" ca="1" si="122"/>
        <v>#N/A</v>
      </c>
      <c r="AN265" s="406" t="e">
        <f t="shared" ca="1" si="122"/>
        <v>#N/A</v>
      </c>
      <c r="AO265" s="406" t="e">
        <f t="shared" ca="1" si="122"/>
        <v>#N/A</v>
      </c>
      <c r="AP265" s="406" t="e">
        <f t="shared" ca="1" si="122"/>
        <v>#N/A</v>
      </c>
      <c r="AQ265" s="406" t="e">
        <f t="shared" ca="1" si="122"/>
        <v>#N/A</v>
      </c>
      <c r="AR265" s="406" t="e">
        <f t="shared" ca="1" si="126"/>
        <v>#N/A</v>
      </c>
      <c r="AS265" s="406" t="e">
        <f t="shared" ca="1" si="126"/>
        <v>#N/A</v>
      </c>
      <c r="AT265" s="406" t="e">
        <f t="shared" ca="1" si="126"/>
        <v>#N/A</v>
      </c>
      <c r="AU265" s="406" t="e">
        <f t="shared" ca="1" si="126"/>
        <v>#N/A</v>
      </c>
      <c r="AV265" s="406" t="e">
        <f t="shared" ca="1" si="126"/>
        <v>#N/A</v>
      </c>
      <c r="AW265" s="406" t="e">
        <f t="shared" ca="1" si="126"/>
        <v>#N/A</v>
      </c>
      <c r="AX265" s="406" t="e">
        <f t="shared" ca="1" si="126"/>
        <v>#N/A</v>
      </c>
      <c r="AY265" s="406" t="e">
        <f t="shared" ca="1" si="126"/>
        <v>#N/A</v>
      </c>
      <c r="AZ265" s="406" t="e">
        <f t="shared" ca="1" si="126"/>
        <v>#N/A</v>
      </c>
      <c r="BA265" s="406" t="e">
        <f t="shared" ca="1" si="126"/>
        <v>#N/A</v>
      </c>
      <c r="BB265" s="408"/>
      <c r="BC265" s="408" t="str">
        <f t="shared" ca="1" si="125"/>
        <v/>
      </c>
      <c r="BD265" s="408" t="s">
        <v>1278</v>
      </c>
      <c r="BE265" s="408" t="s">
        <v>1278</v>
      </c>
    </row>
    <row r="266" spans="3:57" x14ac:dyDescent="0.25">
      <c r="C266" s="406">
        <f t="shared" si="127"/>
        <v>264</v>
      </c>
      <c r="D266" s="406" t="e">
        <f t="shared" ca="1" si="124"/>
        <v>#N/A</v>
      </c>
      <c r="E266" s="406" t="e">
        <f t="shared" ca="1" si="124"/>
        <v>#N/A</v>
      </c>
      <c r="F266" s="406" t="e">
        <f t="shared" ca="1" si="124"/>
        <v>#N/A</v>
      </c>
      <c r="G266" s="406" t="e">
        <f t="shared" ca="1" si="124"/>
        <v>#N/A</v>
      </c>
      <c r="H266" s="406" t="e">
        <f t="shared" ca="1" si="124"/>
        <v>#N/A</v>
      </c>
      <c r="I266" s="406" t="e">
        <f t="shared" ca="1" si="124"/>
        <v>#N/A</v>
      </c>
      <c r="J266" s="406" t="e">
        <f t="shared" ca="1" si="124"/>
        <v>#N/A</v>
      </c>
      <c r="K266" s="406" t="e">
        <f t="shared" ca="1" si="124"/>
        <v>#N/A</v>
      </c>
      <c r="L266" s="406" t="e">
        <f t="shared" ca="1" si="124"/>
        <v>#N/A</v>
      </c>
      <c r="M266" s="406" t="e">
        <f t="shared" ca="1" si="124"/>
        <v>#N/A</v>
      </c>
      <c r="N266" s="406" t="e">
        <f t="shared" ca="1" si="123"/>
        <v>#N/A</v>
      </c>
      <c r="O266" s="406" t="e">
        <f t="shared" ca="1" si="123"/>
        <v>#N/A</v>
      </c>
      <c r="P266" s="406" t="e">
        <f t="shared" ca="1" si="123"/>
        <v>#N/A</v>
      </c>
      <c r="Q266" s="406" t="e">
        <f t="shared" ca="1" si="123"/>
        <v>#N/A</v>
      </c>
      <c r="R266" s="406" t="e">
        <f t="shared" ca="1" si="123"/>
        <v>#N/A</v>
      </c>
      <c r="S266" s="406" t="e">
        <f t="shared" ca="1" si="123"/>
        <v>#N/A</v>
      </c>
      <c r="T266" s="406" t="e">
        <f t="shared" ca="1" si="123"/>
        <v>#N/A</v>
      </c>
      <c r="U266" s="406" t="e">
        <f t="shared" ca="1" si="123"/>
        <v>#N/A</v>
      </c>
      <c r="V266" s="406" t="e">
        <f t="shared" ca="1" si="123"/>
        <v>#N/A</v>
      </c>
      <c r="W266" s="406" t="e">
        <f t="shared" ca="1" si="123"/>
        <v>#N/A</v>
      </c>
      <c r="X266" s="406" t="e">
        <f t="shared" ca="1" si="128"/>
        <v>#N/A</v>
      </c>
      <c r="Y266" s="406" t="e">
        <f t="shared" ca="1" si="128"/>
        <v>#N/A</v>
      </c>
      <c r="Z266" s="406" t="e">
        <f t="shared" ca="1" si="128"/>
        <v>#N/A</v>
      </c>
      <c r="AA266" s="406" t="e">
        <f t="shared" ca="1" si="128"/>
        <v>#N/A</v>
      </c>
      <c r="AB266" s="406" t="e">
        <f t="shared" ca="1" si="128"/>
        <v>#N/A</v>
      </c>
      <c r="AC266" s="406" t="e">
        <f t="shared" ca="1" si="128"/>
        <v>#N/A</v>
      </c>
      <c r="AD266" s="406" t="e">
        <f t="shared" ca="1" si="128"/>
        <v>#N/A</v>
      </c>
      <c r="AE266" s="406" t="e">
        <f t="shared" ca="1" si="128"/>
        <v>#N/A</v>
      </c>
      <c r="AF266" s="406" t="e">
        <f t="shared" ca="1" si="128"/>
        <v>#N/A</v>
      </c>
      <c r="AG266" s="406" t="e">
        <f t="shared" ca="1" si="128"/>
        <v>#N/A</v>
      </c>
      <c r="AH266" s="406" t="e">
        <f t="shared" ca="1" si="122"/>
        <v>#N/A</v>
      </c>
      <c r="AI266" s="406" t="e">
        <f t="shared" ca="1" si="122"/>
        <v>#N/A</v>
      </c>
      <c r="AJ266" s="406" t="e">
        <f t="shared" ca="1" si="122"/>
        <v>#N/A</v>
      </c>
      <c r="AK266" s="406" t="e">
        <f t="shared" ca="1" si="122"/>
        <v>#N/A</v>
      </c>
      <c r="AL266" s="406" t="e">
        <f t="shared" ca="1" si="122"/>
        <v>#N/A</v>
      </c>
      <c r="AM266" s="406" t="e">
        <f t="shared" ca="1" si="122"/>
        <v>#N/A</v>
      </c>
      <c r="AN266" s="406" t="e">
        <f t="shared" ca="1" si="122"/>
        <v>#N/A</v>
      </c>
      <c r="AO266" s="406" t="e">
        <f t="shared" ca="1" si="122"/>
        <v>#N/A</v>
      </c>
      <c r="AP266" s="406" t="e">
        <f t="shared" ca="1" si="122"/>
        <v>#N/A</v>
      </c>
      <c r="AQ266" s="406" t="e">
        <f t="shared" ca="1" si="122"/>
        <v>#N/A</v>
      </c>
      <c r="AR266" s="406" t="e">
        <f t="shared" ca="1" si="126"/>
        <v>#N/A</v>
      </c>
      <c r="AS266" s="406" t="e">
        <f t="shared" ca="1" si="126"/>
        <v>#N/A</v>
      </c>
      <c r="AT266" s="406" t="e">
        <f t="shared" ca="1" si="126"/>
        <v>#N/A</v>
      </c>
      <c r="AU266" s="406" t="e">
        <f t="shared" ca="1" si="126"/>
        <v>#N/A</v>
      </c>
      <c r="AV266" s="406" t="e">
        <f t="shared" ca="1" si="126"/>
        <v>#N/A</v>
      </c>
      <c r="AW266" s="406" t="e">
        <f t="shared" ca="1" si="126"/>
        <v>#N/A</v>
      </c>
      <c r="AX266" s="406" t="e">
        <f t="shared" ca="1" si="126"/>
        <v>#N/A</v>
      </c>
      <c r="AY266" s="406" t="e">
        <f t="shared" ca="1" si="126"/>
        <v>#N/A</v>
      </c>
      <c r="AZ266" s="406" t="e">
        <f t="shared" ca="1" si="126"/>
        <v>#N/A</v>
      </c>
      <c r="BA266" s="406" t="e">
        <f t="shared" ca="1" si="126"/>
        <v>#N/A</v>
      </c>
      <c r="BB266" s="408"/>
      <c r="BC266" s="408" t="str">
        <f t="shared" ca="1" si="125"/>
        <v/>
      </c>
      <c r="BD266" s="408" t="s">
        <v>1278</v>
      </c>
      <c r="BE266" s="408" t="s">
        <v>1278</v>
      </c>
    </row>
    <row r="267" spans="3:57" x14ac:dyDescent="0.25">
      <c r="C267" s="406">
        <f t="shared" si="127"/>
        <v>265</v>
      </c>
      <c r="D267" s="406" t="e">
        <f t="shared" ca="1" si="124"/>
        <v>#N/A</v>
      </c>
      <c r="E267" s="406" t="e">
        <f t="shared" ca="1" si="124"/>
        <v>#N/A</v>
      </c>
      <c r="F267" s="406" t="e">
        <f t="shared" ca="1" si="124"/>
        <v>#N/A</v>
      </c>
      <c r="G267" s="406" t="e">
        <f t="shared" ca="1" si="124"/>
        <v>#N/A</v>
      </c>
      <c r="H267" s="406" t="e">
        <f t="shared" ca="1" si="124"/>
        <v>#N/A</v>
      </c>
      <c r="I267" s="406" t="e">
        <f t="shared" ca="1" si="124"/>
        <v>#N/A</v>
      </c>
      <c r="J267" s="406" t="e">
        <f t="shared" ca="1" si="124"/>
        <v>#N/A</v>
      </c>
      <c r="K267" s="406" t="e">
        <f t="shared" ca="1" si="124"/>
        <v>#N/A</v>
      </c>
      <c r="L267" s="406" t="e">
        <f t="shared" ca="1" si="124"/>
        <v>#N/A</v>
      </c>
      <c r="M267" s="406" t="e">
        <f t="shared" ca="1" si="124"/>
        <v>#N/A</v>
      </c>
      <c r="N267" s="406" t="e">
        <f t="shared" ca="1" si="123"/>
        <v>#N/A</v>
      </c>
      <c r="O267" s="406" t="e">
        <f t="shared" ca="1" si="123"/>
        <v>#N/A</v>
      </c>
      <c r="P267" s="406" t="e">
        <f t="shared" ca="1" si="123"/>
        <v>#N/A</v>
      </c>
      <c r="Q267" s="406" t="e">
        <f t="shared" ca="1" si="123"/>
        <v>#N/A</v>
      </c>
      <c r="R267" s="406" t="e">
        <f t="shared" ca="1" si="123"/>
        <v>#N/A</v>
      </c>
      <c r="S267" s="406" t="e">
        <f t="shared" ca="1" si="123"/>
        <v>#N/A</v>
      </c>
      <c r="T267" s="406" t="e">
        <f t="shared" ca="1" si="123"/>
        <v>#N/A</v>
      </c>
      <c r="U267" s="406" t="e">
        <f t="shared" ca="1" si="123"/>
        <v>#N/A</v>
      </c>
      <c r="V267" s="406" t="e">
        <f t="shared" ca="1" si="123"/>
        <v>#N/A</v>
      </c>
      <c r="W267" s="406" t="e">
        <f t="shared" ca="1" si="123"/>
        <v>#N/A</v>
      </c>
      <c r="X267" s="406" t="e">
        <f t="shared" ca="1" si="128"/>
        <v>#N/A</v>
      </c>
      <c r="Y267" s="406" t="e">
        <f t="shared" ca="1" si="128"/>
        <v>#N/A</v>
      </c>
      <c r="Z267" s="406" t="e">
        <f t="shared" ca="1" si="128"/>
        <v>#N/A</v>
      </c>
      <c r="AA267" s="406" t="e">
        <f t="shared" ca="1" si="128"/>
        <v>#N/A</v>
      </c>
      <c r="AB267" s="406" t="e">
        <f t="shared" ca="1" si="128"/>
        <v>#N/A</v>
      </c>
      <c r="AC267" s="406" t="e">
        <f t="shared" ca="1" si="128"/>
        <v>#N/A</v>
      </c>
      <c r="AD267" s="406" t="e">
        <f t="shared" ca="1" si="128"/>
        <v>#N/A</v>
      </c>
      <c r="AE267" s="406" t="e">
        <f t="shared" ca="1" si="128"/>
        <v>#N/A</v>
      </c>
      <c r="AF267" s="406" t="e">
        <f t="shared" ca="1" si="128"/>
        <v>#N/A</v>
      </c>
      <c r="AG267" s="406" t="e">
        <f t="shared" ca="1" si="128"/>
        <v>#N/A</v>
      </c>
      <c r="AH267" s="406" t="e">
        <f t="shared" ca="1" si="122"/>
        <v>#N/A</v>
      </c>
      <c r="AI267" s="406" t="e">
        <f t="shared" ca="1" si="122"/>
        <v>#N/A</v>
      </c>
      <c r="AJ267" s="406" t="e">
        <f t="shared" ca="1" si="122"/>
        <v>#N/A</v>
      </c>
      <c r="AK267" s="406" t="e">
        <f t="shared" ca="1" si="122"/>
        <v>#N/A</v>
      </c>
      <c r="AL267" s="406" t="e">
        <f t="shared" ca="1" si="122"/>
        <v>#N/A</v>
      </c>
      <c r="AM267" s="406" t="e">
        <f t="shared" ca="1" si="122"/>
        <v>#N/A</v>
      </c>
      <c r="AN267" s="406" t="e">
        <f t="shared" ca="1" si="122"/>
        <v>#N/A</v>
      </c>
      <c r="AO267" s="406" t="e">
        <f t="shared" ca="1" si="122"/>
        <v>#N/A</v>
      </c>
      <c r="AP267" s="406" t="e">
        <f t="shared" ca="1" si="122"/>
        <v>#N/A</v>
      </c>
      <c r="AQ267" s="406" t="e">
        <f t="shared" ca="1" si="122"/>
        <v>#N/A</v>
      </c>
      <c r="AR267" s="406" t="e">
        <f t="shared" ca="1" si="126"/>
        <v>#N/A</v>
      </c>
      <c r="AS267" s="406" t="e">
        <f t="shared" ca="1" si="126"/>
        <v>#N/A</v>
      </c>
      <c r="AT267" s="406" t="e">
        <f t="shared" ca="1" si="126"/>
        <v>#N/A</v>
      </c>
      <c r="AU267" s="406" t="e">
        <f t="shared" ca="1" si="126"/>
        <v>#N/A</v>
      </c>
      <c r="AV267" s="406" t="e">
        <f t="shared" ca="1" si="126"/>
        <v>#N/A</v>
      </c>
      <c r="AW267" s="406" t="e">
        <f t="shared" ca="1" si="126"/>
        <v>#N/A</v>
      </c>
      <c r="AX267" s="406" t="e">
        <f t="shared" ca="1" si="126"/>
        <v>#N/A</v>
      </c>
      <c r="AY267" s="406" t="e">
        <f t="shared" ca="1" si="126"/>
        <v>#N/A</v>
      </c>
      <c r="AZ267" s="406" t="e">
        <f t="shared" ca="1" si="126"/>
        <v>#N/A</v>
      </c>
      <c r="BA267" s="406" t="e">
        <f t="shared" ca="1" si="126"/>
        <v>#N/A</v>
      </c>
      <c r="BB267" s="408"/>
      <c r="BC267" s="408" t="str">
        <f t="shared" ca="1" si="125"/>
        <v/>
      </c>
      <c r="BD267" s="408" t="s">
        <v>1278</v>
      </c>
      <c r="BE267" s="408" t="s">
        <v>1278</v>
      </c>
    </row>
    <row r="268" spans="3:57" x14ac:dyDescent="0.25">
      <c r="C268" s="406">
        <f t="shared" si="127"/>
        <v>266</v>
      </c>
      <c r="D268" s="406" t="e">
        <f t="shared" ca="1" si="124"/>
        <v>#N/A</v>
      </c>
      <c r="E268" s="406" t="e">
        <f t="shared" ca="1" si="124"/>
        <v>#N/A</v>
      </c>
      <c r="F268" s="406" t="e">
        <f t="shared" ca="1" si="124"/>
        <v>#N/A</v>
      </c>
      <c r="G268" s="406" t="e">
        <f t="shared" ca="1" si="124"/>
        <v>#N/A</v>
      </c>
      <c r="H268" s="406" t="e">
        <f t="shared" ca="1" si="124"/>
        <v>#N/A</v>
      </c>
      <c r="I268" s="406" t="e">
        <f t="shared" ca="1" si="124"/>
        <v>#N/A</v>
      </c>
      <c r="J268" s="406" t="e">
        <f t="shared" ca="1" si="124"/>
        <v>#N/A</v>
      </c>
      <c r="K268" s="406" t="e">
        <f t="shared" ca="1" si="124"/>
        <v>#N/A</v>
      </c>
      <c r="L268" s="406" t="e">
        <f t="shared" ca="1" si="124"/>
        <v>#N/A</v>
      </c>
      <c r="M268" s="406" t="e">
        <f t="shared" ca="1" si="124"/>
        <v>#N/A</v>
      </c>
      <c r="N268" s="406" t="e">
        <f t="shared" ca="1" si="123"/>
        <v>#N/A</v>
      </c>
      <c r="O268" s="406" t="e">
        <f t="shared" ca="1" si="123"/>
        <v>#N/A</v>
      </c>
      <c r="P268" s="406" t="e">
        <f t="shared" ca="1" si="123"/>
        <v>#N/A</v>
      </c>
      <c r="Q268" s="406" t="e">
        <f t="shared" ca="1" si="123"/>
        <v>#N/A</v>
      </c>
      <c r="R268" s="406" t="e">
        <f t="shared" ca="1" si="123"/>
        <v>#N/A</v>
      </c>
      <c r="S268" s="406" t="e">
        <f t="shared" ca="1" si="123"/>
        <v>#N/A</v>
      </c>
      <c r="T268" s="406" t="e">
        <f t="shared" ca="1" si="123"/>
        <v>#N/A</v>
      </c>
      <c r="U268" s="406" t="e">
        <f t="shared" ca="1" si="123"/>
        <v>#N/A</v>
      </c>
      <c r="V268" s="406" t="e">
        <f t="shared" ca="1" si="123"/>
        <v>#N/A</v>
      </c>
      <c r="W268" s="406" t="e">
        <f t="shared" ca="1" si="123"/>
        <v>#N/A</v>
      </c>
      <c r="X268" s="406" t="e">
        <f t="shared" ca="1" si="128"/>
        <v>#N/A</v>
      </c>
      <c r="Y268" s="406" t="e">
        <f t="shared" ca="1" si="128"/>
        <v>#N/A</v>
      </c>
      <c r="Z268" s="406" t="e">
        <f t="shared" ca="1" si="128"/>
        <v>#N/A</v>
      </c>
      <c r="AA268" s="406" t="e">
        <f t="shared" ca="1" si="128"/>
        <v>#N/A</v>
      </c>
      <c r="AB268" s="406" t="e">
        <f t="shared" ca="1" si="128"/>
        <v>#N/A</v>
      </c>
      <c r="AC268" s="406" t="e">
        <f t="shared" ca="1" si="128"/>
        <v>#N/A</v>
      </c>
      <c r="AD268" s="406" t="e">
        <f t="shared" ca="1" si="128"/>
        <v>#N/A</v>
      </c>
      <c r="AE268" s="406" t="e">
        <f t="shared" ca="1" si="128"/>
        <v>#N/A</v>
      </c>
      <c r="AF268" s="406" t="e">
        <f t="shared" ca="1" si="128"/>
        <v>#N/A</v>
      </c>
      <c r="AG268" s="406" t="e">
        <f t="shared" ca="1" si="128"/>
        <v>#N/A</v>
      </c>
      <c r="AH268" s="406" t="e">
        <f t="shared" ca="1" si="122"/>
        <v>#N/A</v>
      </c>
      <c r="AI268" s="406" t="e">
        <f t="shared" ca="1" si="122"/>
        <v>#N/A</v>
      </c>
      <c r="AJ268" s="406" t="e">
        <f t="shared" ca="1" si="122"/>
        <v>#N/A</v>
      </c>
      <c r="AK268" s="406" t="e">
        <f t="shared" ca="1" si="122"/>
        <v>#N/A</v>
      </c>
      <c r="AL268" s="406" t="e">
        <f t="shared" ca="1" si="122"/>
        <v>#N/A</v>
      </c>
      <c r="AM268" s="406" t="e">
        <f t="shared" ca="1" si="122"/>
        <v>#N/A</v>
      </c>
      <c r="AN268" s="406" t="e">
        <f t="shared" ca="1" si="122"/>
        <v>#N/A</v>
      </c>
      <c r="AO268" s="406" t="e">
        <f t="shared" ca="1" si="122"/>
        <v>#N/A</v>
      </c>
      <c r="AP268" s="406" t="e">
        <f t="shared" ca="1" si="122"/>
        <v>#N/A</v>
      </c>
      <c r="AQ268" s="406" t="e">
        <f t="shared" ca="1" si="122"/>
        <v>#N/A</v>
      </c>
      <c r="AR268" s="406" t="e">
        <f t="shared" ca="1" si="126"/>
        <v>#N/A</v>
      </c>
      <c r="AS268" s="406" t="e">
        <f t="shared" ca="1" si="126"/>
        <v>#N/A</v>
      </c>
      <c r="AT268" s="406" t="e">
        <f t="shared" ca="1" si="126"/>
        <v>#N/A</v>
      </c>
      <c r="AU268" s="406" t="e">
        <f t="shared" ca="1" si="126"/>
        <v>#N/A</v>
      </c>
      <c r="AV268" s="406" t="e">
        <f t="shared" ca="1" si="126"/>
        <v>#N/A</v>
      </c>
      <c r="AW268" s="406" t="e">
        <f t="shared" ca="1" si="126"/>
        <v>#N/A</v>
      </c>
      <c r="AX268" s="406" t="e">
        <f t="shared" ca="1" si="126"/>
        <v>#N/A</v>
      </c>
      <c r="AY268" s="406" t="e">
        <f t="shared" ca="1" si="126"/>
        <v>#N/A</v>
      </c>
      <c r="AZ268" s="406" t="e">
        <f t="shared" ca="1" si="126"/>
        <v>#N/A</v>
      </c>
      <c r="BA268" s="406" t="e">
        <f t="shared" ca="1" si="126"/>
        <v>#N/A</v>
      </c>
      <c r="BB268" s="408"/>
      <c r="BC268" s="408" t="str">
        <f t="shared" ca="1" si="125"/>
        <v/>
      </c>
      <c r="BD268" s="408" t="s">
        <v>1278</v>
      </c>
      <c r="BE268" s="408" t="s">
        <v>1278</v>
      </c>
    </row>
    <row r="269" spans="3:57" x14ac:dyDescent="0.25">
      <c r="C269" s="406">
        <f t="shared" si="127"/>
        <v>267</v>
      </c>
      <c r="D269" s="406" t="e">
        <f t="shared" ca="1" si="124"/>
        <v>#N/A</v>
      </c>
      <c r="E269" s="406" t="e">
        <f t="shared" ca="1" si="124"/>
        <v>#N/A</v>
      </c>
      <c r="F269" s="406" t="e">
        <f t="shared" ca="1" si="124"/>
        <v>#N/A</v>
      </c>
      <c r="G269" s="406" t="e">
        <f t="shared" ca="1" si="124"/>
        <v>#N/A</v>
      </c>
      <c r="H269" s="406" t="e">
        <f t="shared" ca="1" si="124"/>
        <v>#N/A</v>
      </c>
      <c r="I269" s="406" t="e">
        <f t="shared" ca="1" si="124"/>
        <v>#N/A</v>
      </c>
      <c r="J269" s="406" t="e">
        <f t="shared" ca="1" si="124"/>
        <v>#N/A</v>
      </c>
      <c r="K269" s="406" t="e">
        <f t="shared" ca="1" si="124"/>
        <v>#N/A</v>
      </c>
      <c r="L269" s="406" t="e">
        <f t="shared" ca="1" si="124"/>
        <v>#N/A</v>
      </c>
      <c r="M269" s="406" t="e">
        <f t="shared" ca="1" si="124"/>
        <v>#N/A</v>
      </c>
      <c r="N269" s="406" t="e">
        <f t="shared" ca="1" si="123"/>
        <v>#N/A</v>
      </c>
      <c r="O269" s="406" t="e">
        <f t="shared" ca="1" si="123"/>
        <v>#N/A</v>
      </c>
      <c r="P269" s="406" t="e">
        <f t="shared" ca="1" si="123"/>
        <v>#N/A</v>
      </c>
      <c r="Q269" s="406" t="e">
        <f t="shared" ca="1" si="123"/>
        <v>#N/A</v>
      </c>
      <c r="R269" s="406" t="e">
        <f t="shared" ca="1" si="123"/>
        <v>#N/A</v>
      </c>
      <c r="S269" s="406" t="e">
        <f t="shared" ca="1" si="123"/>
        <v>#N/A</v>
      </c>
      <c r="T269" s="406" t="e">
        <f t="shared" ca="1" si="123"/>
        <v>#N/A</v>
      </c>
      <c r="U269" s="406" t="e">
        <f t="shared" ca="1" si="123"/>
        <v>#N/A</v>
      </c>
      <c r="V269" s="406" t="e">
        <f t="shared" ca="1" si="123"/>
        <v>#N/A</v>
      </c>
      <c r="W269" s="406" t="e">
        <f t="shared" ca="1" si="123"/>
        <v>#N/A</v>
      </c>
      <c r="X269" s="406" t="e">
        <f t="shared" ca="1" si="128"/>
        <v>#N/A</v>
      </c>
      <c r="Y269" s="406" t="e">
        <f t="shared" ca="1" si="128"/>
        <v>#N/A</v>
      </c>
      <c r="Z269" s="406" t="e">
        <f t="shared" ca="1" si="128"/>
        <v>#N/A</v>
      </c>
      <c r="AA269" s="406" t="e">
        <f t="shared" ca="1" si="128"/>
        <v>#N/A</v>
      </c>
      <c r="AB269" s="406" t="e">
        <f t="shared" ca="1" si="128"/>
        <v>#N/A</v>
      </c>
      <c r="AC269" s="406" t="e">
        <f t="shared" ca="1" si="128"/>
        <v>#N/A</v>
      </c>
      <c r="AD269" s="406" t="e">
        <f t="shared" ca="1" si="128"/>
        <v>#N/A</v>
      </c>
      <c r="AE269" s="406" t="e">
        <f t="shared" ca="1" si="128"/>
        <v>#N/A</v>
      </c>
      <c r="AF269" s="406" t="e">
        <f t="shared" ca="1" si="128"/>
        <v>#N/A</v>
      </c>
      <c r="AG269" s="406" t="e">
        <f t="shared" ca="1" si="128"/>
        <v>#N/A</v>
      </c>
      <c r="AH269" s="406" t="e">
        <f t="shared" ca="1" si="122"/>
        <v>#N/A</v>
      </c>
      <c r="AI269" s="406" t="e">
        <f t="shared" ca="1" si="122"/>
        <v>#N/A</v>
      </c>
      <c r="AJ269" s="406" t="e">
        <f t="shared" ca="1" si="122"/>
        <v>#N/A</v>
      </c>
      <c r="AK269" s="406" t="e">
        <f t="shared" ca="1" si="122"/>
        <v>#N/A</v>
      </c>
      <c r="AL269" s="406" t="e">
        <f t="shared" ca="1" si="122"/>
        <v>#N/A</v>
      </c>
      <c r="AM269" s="406" t="e">
        <f t="shared" ca="1" si="122"/>
        <v>#N/A</v>
      </c>
      <c r="AN269" s="406" t="e">
        <f t="shared" ca="1" si="122"/>
        <v>#N/A</v>
      </c>
      <c r="AO269" s="406" t="e">
        <f t="shared" ca="1" si="122"/>
        <v>#N/A</v>
      </c>
      <c r="AP269" s="406" t="e">
        <f t="shared" ca="1" si="122"/>
        <v>#N/A</v>
      </c>
      <c r="AQ269" s="406" t="e">
        <f t="shared" ca="1" si="122"/>
        <v>#N/A</v>
      </c>
      <c r="AR269" s="406" t="e">
        <f t="shared" ca="1" si="126"/>
        <v>#N/A</v>
      </c>
      <c r="AS269" s="406" t="e">
        <f t="shared" ca="1" si="126"/>
        <v>#N/A</v>
      </c>
      <c r="AT269" s="406" t="e">
        <f t="shared" ca="1" si="126"/>
        <v>#N/A</v>
      </c>
      <c r="AU269" s="406" t="e">
        <f t="shared" ca="1" si="126"/>
        <v>#N/A</v>
      </c>
      <c r="AV269" s="406" t="e">
        <f t="shared" ca="1" si="126"/>
        <v>#N/A</v>
      </c>
      <c r="AW269" s="406" t="e">
        <f t="shared" ca="1" si="126"/>
        <v>#N/A</v>
      </c>
      <c r="AX269" s="406" t="e">
        <f t="shared" ca="1" si="126"/>
        <v>#N/A</v>
      </c>
      <c r="AY269" s="406" t="e">
        <f t="shared" ca="1" si="126"/>
        <v>#N/A</v>
      </c>
      <c r="AZ269" s="406" t="e">
        <f t="shared" ca="1" si="126"/>
        <v>#N/A</v>
      </c>
      <c r="BA269" s="406" t="e">
        <f t="shared" ca="1" si="126"/>
        <v>#N/A</v>
      </c>
      <c r="BB269" s="408"/>
      <c r="BC269" s="408" t="str">
        <f t="shared" ca="1" si="125"/>
        <v/>
      </c>
      <c r="BD269" s="408" t="s">
        <v>1278</v>
      </c>
      <c r="BE269" s="408" t="s">
        <v>1278</v>
      </c>
    </row>
    <row r="270" spans="3:57" x14ac:dyDescent="0.25">
      <c r="C270" s="406">
        <f t="shared" si="127"/>
        <v>268</v>
      </c>
      <c r="D270" s="406" t="e">
        <f t="shared" ca="1" si="124"/>
        <v>#N/A</v>
      </c>
      <c r="E270" s="406" t="e">
        <f t="shared" ca="1" si="124"/>
        <v>#N/A</v>
      </c>
      <c r="F270" s="406" t="e">
        <f t="shared" ca="1" si="124"/>
        <v>#N/A</v>
      </c>
      <c r="G270" s="406" t="e">
        <f t="shared" ca="1" si="124"/>
        <v>#N/A</v>
      </c>
      <c r="H270" s="406" t="e">
        <f t="shared" ca="1" si="124"/>
        <v>#N/A</v>
      </c>
      <c r="I270" s="406" t="e">
        <f t="shared" ca="1" si="124"/>
        <v>#N/A</v>
      </c>
      <c r="J270" s="406" t="e">
        <f t="shared" ca="1" si="124"/>
        <v>#N/A</v>
      </c>
      <c r="K270" s="406" t="e">
        <f t="shared" ca="1" si="124"/>
        <v>#N/A</v>
      </c>
      <c r="L270" s="406" t="e">
        <f t="shared" ca="1" si="124"/>
        <v>#N/A</v>
      </c>
      <c r="M270" s="406" t="e">
        <f t="shared" ca="1" si="124"/>
        <v>#N/A</v>
      </c>
      <c r="N270" s="406" t="e">
        <f t="shared" ca="1" si="123"/>
        <v>#N/A</v>
      </c>
      <c r="O270" s="406" t="e">
        <f t="shared" ca="1" si="123"/>
        <v>#N/A</v>
      </c>
      <c r="P270" s="406" t="e">
        <f t="shared" ca="1" si="123"/>
        <v>#N/A</v>
      </c>
      <c r="Q270" s="406" t="e">
        <f t="shared" ca="1" si="123"/>
        <v>#N/A</v>
      </c>
      <c r="R270" s="406" t="e">
        <f t="shared" ca="1" si="123"/>
        <v>#N/A</v>
      </c>
      <c r="S270" s="406" t="e">
        <f t="shared" ca="1" si="123"/>
        <v>#N/A</v>
      </c>
      <c r="T270" s="406" t="e">
        <f t="shared" ca="1" si="123"/>
        <v>#N/A</v>
      </c>
      <c r="U270" s="406" t="e">
        <f t="shared" ca="1" si="123"/>
        <v>#N/A</v>
      </c>
      <c r="V270" s="406" t="e">
        <f t="shared" ca="1" si="123"/>
        <v>#N/A</v>
      </c>
      <c r="W270" s="406" t="e">
        <f t="shared" ca="1" si="123"/>
        <v>#N/A</v>
      </c>
      <c r="X270" s="406" t="e">
        <f t="shared" ca="1" si="128"/>
        <v>#N/A</v>
      </c>
      <c r="Y270" s="406" t="e">
        <f t="shared" ca="1" si="128"/>
        <v>#N/A</v>
      </c>
      <c r="Z270" s="406" t="e">
        <f t="shared" ca="1" si="128"/>
        <v>#N/A</v>
      </c>
      <c r="AA270" s="406" t="e">
        <f t="shared" ca="1" si="128"/>
        <v>#N/A</v>
      </c>
      <c r="AB270" s="406" t="e">
        <f t="shared" ca="1" si="128"/>
        <v>#N/A</v>
      </c>
      <c r="AC270" s="406" t="e">
        <f t="shared" ca="1" si="128"/>
        <v>#N/A</v>
      </c>
      <c r="AD270" s="406" t="e">
        <f t="shared" ca="1" si="128"/>
        <v>#N/A</v>
      </c>
      <c r="AE270" s="406" t="e">
        <f t="shared" ca="1" si="128"/>
        <v>#N/A</v>
      </c>
      <c r="AF270" s="406" t="e">
        <f t="shared" ca="1" si="128"/>
        <v>#N/A</v>
      </c>
      <c r="AG270" s="406" t="e">
        <f t="shared" ca="1" si="128"/>
        <v>#N/A</v>
      </c>
      <c r="AH270" s="406" t="e">
        <f t="shared" ca="1" si="122"/>
        <v>#N/A</v>
      </c>
      <c r="AI270" s="406" t="e">
        <f t="shared" ca="1" si="122"/>
        <v>#N/A</v>
      </c>
      <c r="AJ270" s="406" t="e">
        <f t="shared" ca="1" si="122"/>
        <v>#N/A</v>
      </c>
      <c r="AK270" s="406" t="e">
        <f t="shared" ref="AH270:AQ295" ca="1" si="129">TRIM(INDIRECT("'" &amp; "TNX RTF" &amp; "'!" &amp; ADDRESS($A$3+$C270,AK$1)))</f>
        <v>#N/A</v>
      </c>
      <c r="AL270" s="406" t="e">
        <f t="shared" ca="1" si="129"/>
        <v>#N/A</v>
      </c>
      <c r="AM270" s="406" t="e">
        <f t="shared" ca="1" si="129"/>
        <v>#N/A</v>
      </c>
      <c r="AN270" s="406" t="e">
        <f t="shared" ca="1" si="129"/>
        <v>#N/A</v>
      </c>
      <c r="AO270" s="406" t="e">
        <f t="shared" ca="1" si="129"/>
        <v>#N/A</v>
      </c>
      <c r="AP270" s="406" t="e">
        <f t="shared" ca="1" si="129"/>
        <v>#N/A</v>
      </c>
      <c r="AQ270" s="406" t="e">
        <f t="shared" ca="1" si="129"/>
        <v>#N/A</v>
      </c>
      <c r="AR270" s="406" t="e">
        <f t="shared" ca="1" si="126"/>
        <v>#N/A</v>
      </c>
      <c r="AS270" s="406" t="e">
        <f t="shared" ca="1" si="126"/>
        <v>#N/A</v>
      </c>
      <c r="AT270" s="406" t="e">
        <f t="shared" ca="1" si="126"/>
        <v>#N/A</v>
      </c>
      <c r="AU270" s="406" t="e">
        <f t="shared" ca="1" si="126"/>
        <v>#N/A</v>
      </c>
      <c r="AV270" s="406" t="e">
        <f t="shared" ca="1" si="126"/>
        <v>#N/A</v>
      </c>
      <c r="AW270" s="406" t="e">
        <f t="shared" ca="1" si="126"/>
        <v>#N/A</v>
      </c>
      <c r="AX270" s="406" t="e">
        <f t="shared" ca="1" si="126"/>
        <v>#N/A</v>
      </c>
      <c r="AY270" s="406" t="e">
        <f t="shared" ca="1" si="126"/>
        <v>#N/A</v>
      </c>
      <c r="AZ270" s="406" t="e">
        <f t="shared" ca="1" si="126"/>
        <v>#N/A</v>
      </c>
      <c r="BA270" s="406" t="e">
        <f t="shared" ca="1" si="126"/>
        <v>#N/A</v>
      </c>
      <c r="BB270" s="408"/>
      <c r="BC270" s="408" t="str">
        <f t="shared" ca="1" si="125"/>
        <v/>
      </c>
      <c r="BD270" s="408" t="s">
        <v>1278</v>
      </c>
      <c r="BE270" s="408" t="s">
        <v>1278</v>
      </c>
    </row>
    <row r="271" spans="3:57" x14ac:dyDescent="0.25">
      <c r="C271" s="406">
        <f t="shared" si="127"/>
        <v>269</v>
      </c>
      <c r="D271" s="406" t="e">
        <f t="shared" ca="1" si="124"/>
        <v>#N/A</v>
      </c>
      <c r="E271" s="406" t="e">
        <f t="shared" ca="1" si="124"/>
        <v>#N/A</v>
      </c>
      <c r="F271" s="406" t="e">
        <f t="shared" ca="1" si="124"/>
        <v>#N/A</v>
      </c>
      <c r="G271" s="406" t="e">
        <f t="shared" ca="1" si="124"/>
        <v>#N/A</v>
      </c>
      <c r="H271" s="406" t="e">
        <f t="shared" ca="1" si="124"/>
        <v>#N/A</v>
      </c>
      <c r="I271" s="406" t="e">
        <f t="shared" ref="I271:X295" ca="1" si="130">TRIM(INDIRECT("'" &amp; "TNX RTF" &amp; "'!" &amp; ADDRESS($A$3+$C271,I$1)))</f>
        <v>#N/A</v>
      </c>
      <c r="J271" s="406" t="e">
        <f t="shared" ca="1" si="130"/>
        <v>#N/A</v>
      </c>
      <c r="K271" s="406" t="e">
        <f t="shared" ca="1" si="130"/>
        <v>#N/A</v>
      </c>
      <c r="L271" s="406" t="e">
        <f t="shared" ca="1" si="130"/>
        <v>#N/A</v>
      </c>
      <c r="M271" s="406" t="e">
        <f t="shared" ca="1" si="130"/>
        <v>#N/A</v>
      </c>
      <c r="N271" s="406" t="e">
        <f t="shared" ca="1" si="130"/>
        <v>#N/A</v>
      </c>
      <c r="O271" s="406" t="e">
        <f t="shared" ca="1" si="130"/>
        <v>#N/A</v>
      </c>
      <c r="P271" s="406" t="e">
        <f t="shared" ca="1" si="130"/>
        <v>#N/A</v>
      </c>
      <c r="Q271" s="406" t="e">
        <f t="shared" ca="1" si="130"/>
        <v>#N/A</v>
      </c>
      <c r="R271" s="406" t="e">
        <f t="shared" ca="1" si="130"/>
        <v>#N/A</v>
      </c>
      <c r="S271" s="406" t="e">
        <f t="shared" ca="1" si="130"/>
        <v>#N/A</v>
      </c>
      <c r="T271" s="406" t="e">
        <f t="shared" ca="1" si="130"/>
        <v>#N/A</v>
      </c>
      <c r="U271" s="406" t="e">
        <f t="shared" ca="1" si="130"/>
        <v>#N/A</v>
      </c>
      <c r="V271" s="406" t="e">
        <f t="shared" ca="1" si="130"/>
        <v>#N/A</v>
      </c>
      <c r="W271" s="406" t="e">
        <f t="shared" ca="1" si="130"/>
        <v>#N/A</v>
      </c>
      <c r="X271" s="406" t="e">
        <f t="shared" ca="1" si="128"/>
        <v>#N/A</v>
      </c>
      <c r="Y271" s="406" t="e">
        <f t="shared" ca="1" si="128"/>
        <v>#N/A</v>
      </c>
      <c r="Z271" s="406" t="e">
        <f t="shared" ca="1" si="128"/>
        <v>#N/A</v>
      </c>
      <c r="AA271" s="406" t="e">
        <f t="shared" ca="1" si="128"/>
        <v>#N/A</v>
      </c>
      <c r="AB271" s="406" t="e">
        <f t="shared" ca="1" si="128"/>
        <v>#N/A</v>
      </c>
      <c r="AC271" s="406" t="e">
        <f t="shared" ca="1" si="128"/>
        <v>#N/A</v>
      </c>
      <c r="AD271" s="406" t="e">
        <f t="shared" ca="1" si="128"/>
        <v>#N/A</v>
      </c>
      <c r="AE271" s="406" t="e">
        <f t="shared" ca="1" si="128"/>
        <v>#N/A</v>
      </c>
      <c r="AF271" s="406" t="e">
        <f t="shared" ca="1" si="128"/>
        <v>#N/A</v>
      </c>
      <c r="AG271" s="406" t="e">
        <f t="shared" ca="1" si="128"/>
        <v>#N/A</v>
      </c>
      <c r="AH271" s="406" t="e">
        <f t="shared" ca="1" si="129"/>
        <v>#N/A</v>
      </c>
      <c r="AI271" s="406" t="e">
        <f t="shared" ca="1" si="129"/>
        <v>#N/A</v>
      </c>
      <c r="AJ271" s="406" t="e">
        <f t="shared" ca="1" si="129"/>
        <v>#N/A</v>
      </c>
      <c r="AK271" s="406" t="e">
        <f t="shared" ca="1" si="129"/>
        <v>#N/A</v>
      </c>
      <c r="AL271" s="406" t="e">
        <f t="shared" ca="1" si="129"/>
        <v>#N/A</v>
      </c>
      <c r="AM271" s="406" t="e">
        <f t="shared" ca="1" si="129"/>
        <v>#N/A</v>
      </c>
      <c r="AN271" s="406" t="e">
        <f t="shared" ca="1" si="129"/>
        <v>#N/A</v>
      </c>
      <c r="AO271" s="406" t="e">
        <f t="shared" ca="1" si="129"/>
        <v>#N/A</v>
      </c>
      <c r="AP271" s="406" t="e">
        <f t="shared" ca="1" si="129"/>
        <v>#N/A</v>
      </c>
      <c r="AQ271" s="406" t="e">
        <f t="shared" ca="1" si="129"/>
        <v>#N/A</v>
      </c>
      <c r="AR271" s="406" t="e">
        <f t="shared" ca="1" si="126"/>
        <v>#N/A</v>
      </c>
      <c r="AS271" s="406" t="e">
        <f t="shared" ca="1" si="126"/>
        <v>#N/A</v>
      </c>
      <c r="AT271" s="406" t="e">
        <f t="shared" ca="1" si="126"/>
        <v>#N/A</v>
      </c>
      <c r="AU271" s="406" t="e">
        <f t="shared" ca="1" si="126"/>
        <v>#N/A</v>
      </c>
      <c r="AV271" s="406" t="e">
        <f t="shared" ca="1" si="126"/>
        <v>#N/A</v>
      </c>
      <c r="AW271" s="406" t="e">
        <f t="shared" ca="1" si="126"/>
        <v>#N/A</v>
      </c>
      <c r="AX271" s="406" t="e">
        <f t="shared" ca="1" si="126"/>
        <v>#N/A</v>
      </c>
      <c r="AY271" s="406" t="e">
        <f t="shared" ca="1" si="126"/>
        <v>#N/A</v>
      </c>
      <c r="AZ271" s="406" t="e">
        <f t="shared" ca="1" si="126"/>
        <v>#N/A</v>
      </c>
      <c r="BA271" s="406" t="e">
        <f t="shared" ca="1" si="126"/>
        <v>#N/A</v>
      </c>
      <c r="BB271" s="408"/>
      <c r="BC271" s="408" t="str">
        <f t="shared" ca="1" si="125"/>
        <v/>
      </c>
      <c r="BD271" s="408" t="s">
        <v>1278</v>
      </c>
      <c r="BE271" s="408" t="s">
        <v>1278</v>
      </c>
    </row>
    <row r="272" spans="3:57" x14ac:dyDescent="0.25">
      <c r="C272" s="406">
        <f t="shared" si="127"/>
        <v>270</v>
      </c>
      <c r="D272" s="406" t="e">
        <f t="shared" ref="D272:M297" ca="1" si="131">TRIM(INDIRECT("'" &amp; "TNX RTF" &amp; "'!" &amp; ADDRESS($A$3+$C272,D$1)))</f>
        <v>#N/A</v>
      </c>
      <c r="E272" s="406" t="e">
        <f t="shared" ca="1" si="131"/>
        <v>#N/A</v>
      </c>
      <c r="F272" s="406" t="e">
        <f t="shared" ca="1" si="131"/>
        <v>#N/A</v>
      </c>
      <c r="G272" s="406" t="e">
        <f t="shared" ca="1" si="131"/>
        <v>#N/A</v>
      </c>
      <c r="H272" s="406" t="e">
        <f t="shared" ca="1" si="131"/>
        <v>#N/A</v>
      </c>
      <c r="I272" s="406" t="e">
        <f t="shared" ca="1" si="131"/>
        <v>#N/A</v>
      </c>
      <c r="J272" s="406" t="e">
        <f t="shared" ca="1" si="131"/>
        <v>#N/A</v>
      </c>
      <c r="K272" s="406" t="e">
        <f t="shared" ca="1" si="131"/>
        <v>#N/A</v>
      </c>
      <c r="L272" s="406" t="e">
        <f t="shared" ca="1" si="131"/>
        <v>#N/A</v>
      </c>
      <c r="M272" s="406" t="e">
        <f t="shared" ca="1" si="131"/>
        <v>#N/A</v>
      </c>
      <c r="N272" s="406" t="e">
        <f t="shared" ca="1" si="130"/>
        <v>#N/A</v>
      </c>
      <c r="O272" s="406" t="e">
        <f t="shared" ca="1" si="130"/>
        <v>#N/A</v>
      </c>
      <c r="P272" s="406" t="e">
        <f t="shared" ca="1" si="130"/>
        <v>#N/A</v>
      </c>
      <c r="Q272" s="406" t="e">
        <f t="shared" ca="1" si="130"/>
        <v>#N/A</v>
      </c>
      <c r="R272" s="406" t="e">
        <f t="shared" ca="1" si="130"/>
        <v>#N/A</v>
      </c>
      <c r="S272" s="406" t="e">
        <f t="shared" ca="1" si="130"/>
        <v>#N/A</v>
      </c>
      <c r="T272" s="406" t="e">
        <f t="shared" ca="1" si="130"/>
        <v>#N/A</v>
      </c>
      <c r="U272" s="406" t="e">
        <f t="shared" ca="1" si="130"/>
        <v>#N/A</v>
      </c>
      <c r="V272" s="406" t="e">
        <f t="shared" ca="1" si="130"/>
        <v>#N/A</v>
      </c>
      <c r="W272" s="406" t="e">
        <f t="shared" ca="1" si="130"/>
        <v>#N/A</v>
      </c>
      <c r="X272" s="406" t="e">
        <f t="shared" ca="1" si="128"/>
        <v>#N/A</v>
      </c>
      <c r="Y272" s="406" t="e">
        <f t="shared" ca="1" si="128"/>
        <v>#N/A</v>
      </c>
      <c r="Z272" s="406" t="e">
        <f t="shared" ca="1" si="128"/>
        <v>#N/A</v>
      </c>
      <c r="AA272" s="406" t="e">
        <f t="shared" ca="1" si="128"/>
        <v>#N/A</v>
      </c>
      <c r="AB272" s="406" t="e">
        <f t="shared" ca="1" si="128"/>
        <v>#N/A</v>
      </c>
      <c r="AC272" s="406" t="e">
        <f t="shared" ca="1" si="128"/>
        <v>#N/A</v>
      </c>
      <c r="AD272" s="406" t="e">
        <f t="shared" ca="1" si="128"/>
        <v>#N/A</v>
      </c>
      <c r="AE272" s="406" t="e">
        <f t="shared" ca="1" si="128"/>
        <v>#N/A</v>
      </c>
      <c r="AF272" s="406" t="e">
        <f t="shared" ca="1" si="128"/>
        <v>#N/A</v>
      </c>
      <c r="AG272" s="406" t="e">
        <f t="shared" ca="1" si="128"/>
        <v>#N/A</v>
      </c>
      <c r="AH272" s="406" t="e">
        <f t="shared" ca="1" si="129"/>
        <v>#N/A</v>
      </c>
      <c r="AI272" s="406" t="e">
        <f t="shared" ca="1" si="129"/>
        <v>#N/A</v>
      </c>
      <c r="AJ272" s="406" t="e">
        <f t="shared" ca="1" si="129"/>
        <v>#N/A</v>
      </c>
      <c r="AK272" s="406" t="e">
        <f t="shared" ca="1" si="129"/>
        <v>#N/A</v>
      </c>
      <c r="AL272" s="406" t="e">
        <f t="shared" ca="1" si="129"/>
        <v>#N/A</v>
      </c>
      <c r="AM272" s="406" t="e">
        <f t="shared" ca="1" si="129"/>
        <v>#N/A</v>
      </c>
      <c r="AN272" s="406" t="e">
        <f t="shared" ca="1" si="129"/>
        <v>#N/A</v>
      </c>
      <c r="AO272" s="406" t="e">
        <f t="shared" ca="1" si="129"/>
        <v>#N/A</v>
      </c>
      <c r="AP272" s="406" t="e">
        <f t="shared" ca="1" si="129"/>
        <v>#N/A</v>
      </c>
      <c r="AQ272" s="406" t="e">
        <f t="shared" ca="1" si="129"/>
        <v>#N/A</v>
      </c>
      <c r="AR272" s="406" t="e">
        <f t="shared" ca="1" si="126"/>
        <v>#N/A</v>
      </c>
      <c r="AS272" s="406" t="e">
        <f t="shared" ca="1" si="126"/>
        <v>#N/A</v>
      </c>
      <c r="AT272" s="406" t="e">
        <f t="shared" ca="1" si="126"/>
        <v>#N/A</v>
      </c>
      <c r="AU272" s="406" t="e">
        <f t="shared" ca="1" si="126"/>
        <v>#N/A</v>
      </c>
      <c r="AV272" s="406" t="e">
        <f t="shared" ca="1" si="126"/>
        <v>#N/A</v>
      </c>
      <c r="AW272" s="406" t="e">
        <f t="shared" ca="1" si="126"/>
        <v>#N/A</v>
      </c>
      <c r="AX272" s="406" t="e">
        <f t="shared" ca="1" si="126"/>
        <v>#N/A</v>
      </c>
      <c r="AY272" s="406" t="e">
        <f t="shared" ca="1" si="126"/>
        <v>#N/A</v>
      </c>
      <c r="AZ272" s="406" t="e">
        <f t="shared" ca="1" si="126"/>
        <v>#N/A</v>
      </c>
      <c r="BA272" s="406" t="e">
        <f t="shared" ca="1" si="126"/>
        <v>#N/A</v>
      </c>
      <c r="BB272" s="408"/>
      <c r="BC272" s="408" t="str">
        <f t="shared" ca="1" si="125"/>
        <v/>
      </c>
      <c r="BD272" s="408" t="s">
        <v>1278</v>
      </c>
      <c r="BE272" s="408" t="s">
        <v>1278</v>
      </c>
    </row>
    <row r="273" spans="3:57" x14ac:dyDescent="0.25">
      <c r="C273" s="406">
        <f t="shared" si="127"/>
        <v>271</v>
      </c>
      <c r="D273" s="406" t="e">
        <f t="shared" ca="1" si="131"/>
        <v>#N/A</v>
      </c>
      <c r="E273" s="406" t="e">
        <f t="shared" ca="1" si="131"/>
        <v>#N/A</v>
      </c>
      <c r="F273" s="406" t="e">
        <f t="shared" ca="1" si="131"/>
        <v>#N/A</v>
      </c>
      <c r="G273" s="406" t="e">
        <f t="shared" ca="1" si="131"/>
        <v>#N/A</v>
      </c>
      <c r="H273" s="406" t="e">
        <f t="shared" ca="1" si="131"/>
        <v>#N/A</v>
      </c>
      <c r="I273" s="406" t="e">
        <f t="shared" ca="1" si="131"/>
        <v>#N/A</v>
      </c>
      <c r="J273" s="406" t="e">
        <f t="shared" ca="1" si="131"/>
        <v>#N/A</v>
      </c>
      <c r="K273" s="406" t="e">
        <f t="shared" ca="1" si="131"/>
        <v>#N/A</v>
      </c>
      <c r="L273" s="406" t="e">
        <f t="shared" ca="1" si="131"/>
        <v>#N/A</v>
      </c>
      <c r="M273" s="406" t="e">
        <f t="shared" ca="1" si="131"/>
        <v>#N/A</v>
      </c>
      <c r="N273" s="406" t="e">
        <f t="shared" ca="1" si="130"/>
        <v>#N/A</v>
      </c>
      <c r="O273" s="406" t="e">
        <f t="shared" ca="1" si="130"/>
        <v>#N/A</v>
      </c>
      <c r="P273" s="406" t="e">
        <f t="shared" ca="1" si="130"/>
        <v>#N/A</v>
      </c>
      <c r="Q273" s="406" t="e">
        <f t="shared" ca="1" si="130"/>
        <v>#N/A</v>
      </c>
      <c r="R273" s="406" t="e">
        <f t="shared" ca="1" si="130"/>
        <v>#N/A</v>
      </c>
      <c r="S273" s="406" t="e">
        <f t="shared" ca="1" si="130"/>
        <v>#N/A</v>
      </c>
      <c r="T273" s="406" t="e">
        <f t="shared" ca="1" si="130"/>
        <v>#N/A</v>
      </c>
      <c r="U273" s="406" t="e">
        <f t="shared" ca="1" si="130"/>
        <v>#N/A</v>
      </c>
      <c r="V273" s="406" t="e">
        <f t="shared" ca="1" si="130"/>
        <v>#N/A</v>
      </c>
      <c r="W273" s="406" t="e">
        <f t="shared" ca="1" si="130"/>
        <v>#N/A</v>
      </c>
      <c r="X273" s="406" t="e">
        <f t="shared" ca="1" si="128"/>
        <v>#N/A</v>
      </c>
      <c r="Y273" s="406" t="e">
        <f t="shared" ca="1" si="128"/>
        <v>#N/A</v>
      </c>
      <c r="Z273" s="406" t="e">
        <f t="shared" ca="1" si="128"/>
        <v>#N/A</v>
      </c>
      <c r="AA273" s="406" t="e">
        <f t="shared" ca="1" si="128"/>
        <v>#N/A</v>
      </c>
      <c r="AB273" s="406" t="e">
        <f t="shared" ca="1" si="128"/>
        <v>#N/A</v>
      </c>
      <c r="AC273" s="406" t="e">
        <f t="shared" ca="1" si="128"/>
        <v>#N/A</v>
      </c>
      <c r="AD273" s="406" t="e">
        <f t="shared" ca="1" si="128"/>
        <v>#N/A</v>
      </c>
      <c r="AE273" s="406" t="e">
        <f t="shared" ca="1" si="128"/>
        <v>#N/A</v>
      </c>
      <c r="AF273" s="406" t="e">
        <f t="shared" ca="1" si="128"/>
        <v>#N/A</v>
      </c>
      <c r="AG273" s="406" t="e">
        <f t="shared" ca="1" si="128"/>
        <v>#N/A</v>
      </c>
      <c r="AH273" s="406" t="e">
        <f t="shared" ca="1" si="129"/>
        <v>#N/A</v>
      </c>
      <c r="AI273" s="406" t="e">
        <f t="shared" ca="1" si="129"/>
        <v>#N/A</v>
      </c>
      <c r="AJ273" s="406" t="e">
        <f t="shared" ca="1" si="129"/>
        <v>#N/A</v>
      </c>
      <c r="AK273" s="406" t="e">
        <f t="shared" ca="1" si="129"/>
        <v>#N/A</v>
      </c>
      <c r="AL273" s="406" t="e">
        <f t="shared" ca="1" si="129"/>
        <v>#N/A</v>
      </c>
      <c r="AM273" s="406" t="e">
        <f t="shared" ca="1" si="129"/>
        <v>#N/A</v>
      </c>
      <c r="AN273" s="406" t="e">
        <f t="shared" ca="1" si="129"/>
        <v>#N/A</v>
      </c>
      <c r="AO273" s="406" t="e">
        <f t="shared" ca="1" si="129"/>
        <v>#N/A</v>
      </c>
      <c r="AP273" s="406" t="e">
        <f t="shared" ca="1" si="129"/>
        <v>#N/A</v>
      </c>
      <c r="AQ273" s="406" t="e">
        <f t="shared" ca="1" si="129"/>
        <v>#N/A</v>
      </c>
      <c r="AR273" s="406" t="e">
        <f t="shared" ca="1" si="126"/>
        <v>#N/A</v>
      </c>
      <c r="AS273" s="406" t="e">
        <f t="shared" ca="1" si="126"/>
        <v>#N/A</v>
      </c>
      <c r="AT273" s="406" t="e">
        <f t="shared" ca="1" si="126"/>
        <v>#N/A</v>
      </c>
      <c r="AU273" s="406" t="e">
        <f t="shared" ca="1" si="126"/>
        <v>#N/A</v>
      </c>
      <c r="AV273" s="406" t="e">
        <f t="shared" ca="1" si="126"/>
        <v>#N/A</v>
      </c>
      <c r="AW273" s="406" t="e">
        <f t="shared" ca="1" si="126"/>
        <v>#N/A</v>
      </c>
      <c r="AX273" s="406" t="e">
        <f t="shared" ca="1" si="126"/>
        <v>#N/A</v>
      </c>
      <c r="AY273" s="406" t="e">
        <f t="shared" ca="1" si="126"/>
        <v>#N/A</v>
      </c>
      <c r="AZ273" s="406" t="e">
        <f t="shared" ca="1" si="126"/>
        <v>#N/A</v>
      </c>
      <c r="BA273" s="406" t="e">
        <f t="shared" ca="1" si="126"/>
        <v>#N/A</v>
      </c>
      <c r="BB273" s="408"/>
      <c r="BC273" s="408" t="str">
        <f t="shared" ca="1" si="125"/>
        <v/>
      </c>
      <c r="BD273" s="408" t="s">
        <v>1278</v>
      </c>
      <c r="BE273" s="408" t="s">
        <v>1278</v>
      </c>
    </row>
    <row r="274" spans="3:57" x14ac:dyDescent="0.25">
      <c r="C274" s="406">
        <f t="shared" si="127"/>
        <v>272</v>
      </c>
      <c r="D274" s="406" t="e">
        <f t="shared" ca="1" si="131"/>
        <v>#N/A</v>
      </c>
      <c r="E274" s="406" t="e">
        <f t="shared" ca="1" si="131"/>
        <v>#N/A</v>
      </c>
      <c r="F274" s="406" t="e">
        <f t="shared" ca="1" si="131"/>
        <v>#N/A</v>
      </c>
      <c r="G274" s="406" t="e">
        <f t="shared" ca="1" si="131"/>
        <v>#N/A</v>
      </c>
      <c r="H274" s="406" t="e">
        <f t="shared" ca="1" si="131"/>
        <v>#N/A</v>
      </c>
      <c r="I274" s="406" t="e">
        <f t="shared" ca="1" si="131"/>
        <v>#N/A</v>
      </c>
      <c r="J274" s="406" t="e">
        <f t="shared" ca="1" si="131"/>
        <v>#N/A</v>
      </c>
      <c r="K274" s="406" t="e">
        <f t="shared" ca="1" si="131"/>
        <v>#N/A</v>
      </c>
      <c r="L274" s="406" t="e">
        <f t="shared" ca="1" si="131"/>
        <v>#N/A</v>
      </c>
      <c r="M274" s="406" t="e">
        <f t="shared" ca="1" si="131"/>
        <v>#N/A</v>
      </c>
      <c r="N274" s="406" t="e">
        <f t="shared" ca="1" si="130"/>
        <v>#N/A</v>
      </c>
      <c r="O274" s="406" t="e">
        <f t="shared" ca="1" si="130"/>
        <v>#N/A</v>
      </c>
      <c r="P274" s="406" t="e">
        <f t="shared" ca="1" si="130"/>
        <v>#N/A</v>
      </c>
      <c r="Q274" s="406" t="e">
        <f t="shared" ca="1" si="130"/>
        <v>#N/A</v>
      </c>
      <c r="R274" s="406" t="e">
        <f t="shared" ca="1" si="130"/>
        <v>#N/A</v>
      </c>
      <c r="S274" s="406" t="e">
        <f t="shared" ca="1" si="130"/>
        <v>#N/A</v>
      </c>
      <c r="T274" s="406" t="e">
        <f t="shared" ca="1" si="130"/>
        <v>#N/A</v>
      </c>
      <c r="U274" s="406" t="e">
        <f t="shared" ca="1" si="130"/>
        <v>#N/A</v>
      </c>
      <c r="V274" s="406" t="e">
        <f t="shared" ca="1" si="130"/>
        <v>#N/A</v>
      </c>
      <c r="W274" s="406" t="e">
        <f t="shared" ca="1" si="130"/>
        <v>#N/A</v>
      </c>
      <c r="X274" s="406" t="e">
        <f t="shared" ca="1" si="128"/>
        <v>#N/A</v>
      </c>
      <c r="Y274" s="406" t="e">
        <f t="shared" ca="1" si="128"/>
        <v>#N/A</v>
      </c>
      <c r="Z274" s="406" t="e">
        <f t="shared" ca="1" si="128"/>
        <v>#N/A</v>
      </c>
      <c r="AA274" s="406" t="e">
        <f t="shared" ca="1" si="128"/>
        <v>#N/A</v>
      </c>
      <c r="AB274" s="406" t="e">
        <f t="shared" ca="1" si="128"/>
        <v>#N/A</v>
      </c>
      <c r="AC274" s="406" t="e">
        <f t="shared" ca="1" si="128"/>
        <v>#N/A</v>
      </c>
      <c r="AD274" s="406" t="e">
        <f t="shared" ca="1" si="128"/>
        <v>#N/A</v>
      </c>
      <c r="AE274" s="406" t="e">
        <f t="shared" ca="1" si="128"/>
        <v>#N/A</v>
      </c>
      <c r="AF274" s="406" t="e">
        <f t="shared" ca="1" si="128"/>
        <v>#N/A</v>
      </c>
      <c r="AG274" s="406" t="e">
        <f t="shared" ca="1" si="128"/>
        <v>#N/A</v>
      </c>
      <c r="AH274" s="406" t="e">
        <f t="shared" ca="1" si="129"/>
        <v>#N/A</v>
      </c>
      <c r="AI274" s="406" t="e">
        <f t="shared" ca="1" si="129"/>
        <v>#N/A</v>
      </c>
      <c r="AJ274" s="406" t="e">
        <f t="shared" ca="1" si="129"/>
        <v>#N/A</v>
      </c>
      <c r="AK274" s="406" t="e">
        <f t="shared" ca="1" si="129"/>
        <v>#N/A</v>
      </c>
      <c r="AL274" s="406" t="e">
        <f t="shared" ca="1" si="129"/>
        <v>#N/A</v>
      </c>
      <c r="AM274" s="406" t="e">
        <f t="shared" ca="1" si="129"/>
        <v>#N/A</v>
      </c>
      <c r="AN274" s="406" t="e">
        <f t="shared" ca="1" si="129"/>
        <v>#N/A</v>
      </c>
      <c r="AO274" s="406" t="e">
        <f t="shared" ca="1" si="129"/>
        <v>#N/A</v>
      </c>
      <c r="AP274" s="406" t="e">
        <f t="shared" ca="1" si="129"/>
        <v>#N/A</v>
      </c>
      <c r="AQ274" s="406" t="e">
        <f t="shared" ca="1" si="129"/>
        <v>#N/A</v>
      </c>
      <c r="AR274" s="406" t="e">
        <f t="shared" ca="1" si="126"/>
        <v>#N/A</v>
      </c>
      <c r="AS274" s="406" t="e">
        <f t="shared" ca="1" si="126"/>
        <v>#N/A</v>
      </c>
      <c r="AT274" s="406" t="e">
        <f t="shared" ca="1" si="126"/>
        <v>#N/A</v>
      </c>
      <c r="AU274" s="406" t="e">
        <f t="shared" ca="1" si="126"/>
        <v>#N/A</v>
      </c>
      <c r="AV274" s="406" t="e">
        <f t="shared" ca="1" si="126"/>
        <v>#N/A</v>
      </c>
      <c r="AW274" s="406" t="e">
        <f t="shared" ca="1" si="126"/>
        <v>#N/A</v>
      </c>
      <c r="AX274" s="406" t="e">
        <f t="shared" ca="1" si="126"/>
        <v>#N/A</v>
      </c>
      <c r="AY274" s="406" t="e">
        <f t="shared" ca="1" si="126"/>
        <v>#N/A</v>
      </c>
      <c r="AZ274" s="406" t="e">
        <f t="shared" ca="1" si="126"/>
        <v>#N/A</v>
      </c>
      <c r="BA274" s="406" t="e">
        <f t="shared" ca="1" si="126"/>
        <v>#N/A</v>
      </c>
      <c r="BB274" s="408"/>
      <c r="BC274" s="408" t="str">
        <f t="shared" ca="1" si="125"/>
        <v/>
      </c>
      <c r="BD274" s="408" t="s">
        <v>1278</v>
      </c>
      <c r="BE274" s="408" t="s">
        <v>1278</v>
      </c>
    </row>
    <row r="275" spans="3:57" x14ac:dyDescent="0.25">
      <c r="C275" s="406">
        <f t="shared" si="127"/>
        <v>273</v>
      </c>
      <c r="D275" s="406" t="e">
        <f t="shared" ca="1" si="131"/>
        <v>#N/A</v>
      </c>
      <c r="E275" s="406" t="e">
        <f t="shared" ca="1" si="131"/>
        <v>#N/A</v>
      </c>
      <c r="F275" s="406" t="e">
        <f t="shared" ca="1" si="131"/>
        <v>#N/A</v>
      </c>
      <c r="G275" s="406" t="e">
        <f t="shared" ca="1" si="131"/>
        <v>#N/A</v>
      </c>
      <c r="H275" s="406" t="e">
        <f t="shared" ca="1" si="131"/>
        <v>#N/A</v>
      </c>
      <c r="I275" s="406" t="e">
        <f t="shared" ca="1" si="131"/>
        <v>#N/A</v>
      </c>
      <c r="J275" s="406" t="e">
        <f t="shared" ca="1" si="131"/>
        <v>#N/A</v>
      </c>
      <c r="K275" s="406" t="e">
        <f t="shared" ca="1" si="131"/>
        <v>#N/A</v>
      </c>
      <c r="L275" s="406" t="e">
        <f t="shared" ca="1" si="131"/>
        <v>#N/A</v>
      </c>
      <c r="M275" s="406" t="e">
        <f t="shared" ca="1" si="131"/>
        <v>#N/A</v>
      </c>
      <c r="N275" s="406" t="e">
        <f t="shared" ca="1" si="130"/>
        <v>#N/A</v>
      </c>
      <c r="O275" s="406" t="e">
        <f t="shared" ca="1" si="130"/>
        <v>#N/A</v>
      </c>
      <c r="P275" s="406" t="e">
        <f t="shared" ca="1" si="130"/>
        <v>#N/A</v>
      </c>
      <c r="Q275" s="406" t="e">
        <f t="shared" ca="1" si="130"/>
        <v>#N/A</v>
      </c>
      <c r="R275" s="406" t="e">
        <f t="shared" ca="1" si="130"/>
        <v>#N/A</v>
      </c>
      <c r="S275" s="406" t="e">
        <f t="shared" ca="1" si="130"/>
        <v>#N/A</v>
      </c>
      <c r="T275" s="406" t="e">
        <f t="shared" ca="1" si="130"/>
        <v>#N/A</v>
      </c>
      <c r="U275" s="406" t="e">
        <f t="shared" ca="1" si="130"/>
        <v>#N/A</v>
      </c>
      <c r="V275" s="406" t="e">
        <f t="shared" ca="1" si="130"/>
        <v>#N/A</v>
      </c>
      <c r="W275" s="406" t="e">
        <f t="shared" ca="1" si="130"/>
        <v>#N/A</v>
      </c>
      <c r="X275" s="406" t="e">
        <f t="shared" ca="1" si="128"/>
        <v>#N/A</v>
      </c>
      <c r="Y275" s="406" t="e">
        <f t="shared" ca="1" si="128"/>
        <v>#N/A</v>
      </c>
      <c r="Z275" s="406" t="e">
        <f t="shared" ca="1" si="128"/>
        <v>#N/A</v>
      </c>
      <c r="AA275" s="406" t="e">
        <f t="shared" ca="1" si="128"/>
        <v>#N/A</v>
      </c>
      <c r="AB275" s="406" t="e">
        <f t="shared" ca="1" si="128"/>
        <v>#N/A</v>
      </c>
      <c r="AC275" s="406" t="e">
        <f t="shared" ca="1" si="128"/>
        <v>#N/A</v>
      </c>
      <c r="AD275" s="406" t="e">
        <f t="shared" ca="1" si="128"/>
        <v>#N/A</v>
      </c>
      <c r="AE275" s="406" t="e">
        <f t="shared" ca="1" si="128"/>
        <v>#N/A</v>
      </c>
      <c r="AF275" s="406" t="e">
        <f t="shared" ca="1" si="128"/>
        <v>#N/A</v>
      </c>
      <c r="AG275" s="406" t="e">
        <f t="shared" ca="1" si="128"/>
        <v>#N/A</v>
      </c>
      <c r="AH275" s="406" t="e">
        <f t="shared" ca="1" si="129"/>
        <v>#N/A</v>
      </c>
      <c r="AI275" s="406" t="e">
        <f t="shared" ca="1" si="129"/>
        <v>#N/A</v>
      </c>
      <c r="AJ275" s="406" t="e">
        <f t="shared" ca="1" si="129"/>
        <v>#N/A</v>
      </c>
      <c r="AK275" s="406" t="e">
        <f t="shared" ca="1" si="129"/>
        <v>#N/A</v>
      </c>
      <c r="AL275" s="406" t="e">
        <f t="shared" ca="1" si="129"/>
        <v>#N/A</v>
      </c>
      <c r="AM275" s="406" t="e">
        <f t="shared" ca="1" si="129"/>
        <v>#N/A</v>
      </c>
      <c r="AN275" s="406" t="e">
        <f t="shared" ca="1" si="129"/>
        <v>#N/A</v>
      </c>
      <c r="AO275" s="406" t="e">
        <f t="shared" ca="1" si="129"/>
        <v>#N/A</v>
      </c>
      <c r="AP275" s="406" t="e">
        <f t="shared" ca="1" si="129"/>
        <v>#N/A</v>
      </c>
      <c r="AQ275" s="406" t="e">
        <f t="shared" ca="1" si="129"/>
        <v>#N/A</v>
      </c>
      <c r="AR275" s="406" t="e">
        <f t="shared" ca="1" si="126"/>
        <v>#N/A</v>
      </c>
      <c r="AS275" s="406" t="e">
        <f t="shared" ca="1" si="126"/>
        <v>#N/A</v>
      </c>
      <c r="AT275" s="406" t="e">
        <f t="shared" ca="1" si="126"/>
        <v>#N/A</v>
      </c>
      <c r="AU275" s="406" t="e">
        <f t="shared" ca="1" si="126"/>
        <v>#N/A</v>
      </c>
      <c r="AV275" s="406" t="e">
        <f t="shared" ca="1" si="126"/>
        <v>#N/A</v>
      </c>
      <c r="AW275" s="406" t="e">
        <f t="shared" ca="1" si="126"/>
        <v>#N/A</v>
      </c>
      <c r="AX275" s="406" t="e">
        <f t="shared" ca="1" si="126"/>
        <v>#N/A</v>
      </c>
      <c r="AY275" s="406" t="e">
        <f t="shared" ca="1" si="126"/>
        <v>#N/A</v>
      </c>
      <c r="AZ275" s="406" t="e">
        <f t="shared" ca="1" si="126"/>
        <v>#N/A</v>
      </c>
      <c r="BA275" s="406" t="e">
        <f t="shared" ca="1" si="126"/>
        <v>#N/A</v>
      </c>
      <c r="BB275" s="408"/>
      <c r="BC275" s="408" t="str">
        <f t="shared" ca="1" si="125"/>
        <v/>
      </c>
      <c r="BD275" s="408" t="s">
        <v>1278</v>
      </c>
      <c r="BE275" s="408" t="s">
        <v>1278</v>
      </c>
    </row>
    <row r="276" spans="3:57" x14ac:dyDescent="0.25">
      <c r="C276" s="406">
        <f t="shared" si="127"/>
        <v>274</v>
      </c>
      <c r="D276" s="406" t="e">
        <f t="shared" ca="1" si="131"/>
        <v>#N/A</v>
      </c>
      <c r="E276" s="406" t="e">
        <f t="shared" ca="1" si="131"/>
        <v>#N/A</v>
      </c>
      <c r="F276" s="406" t="e">
        <f t="shared" ca="1" si="131"/>
        <v>#N/A</v>
      </c>
      <c r="G276" s="406" t="e">
        <f t="shared" ca="1" si="131"/>
        <v>#N/A</v>
      </c>
      <c r="H276" s="406" t="e">
        <f t="shared" ca="1" si="131"/>
        <v>#N/A</v>
      </c>
      <c r="I276" s="406" t="e">
        <f t="shared" ca="1" si="131"/>
        <v>#N/A</v>
      </c>
      <c r="J276" s="406" t="e">
        <f t="shared" ca="1" si="131"/>
        <v>#N/A</v>
      </c>
      <c r="K276" s="406" t="e">
        <f t="shared" ca="1" si="131"/>
        <v>#N/A</v>
      </c>
      <c r="L276" s="406" t="e">
        <f t="shared" ca="1" si="131"/>
        <v>#N/A</v>
      </c>
      <c r="M276" s="406" t="e">
        <f t="shared" ca="1" si="131"/>
        <v>#N/A</v>
      </c>
      <c r="N276" s="406" t="e">
        <f t="shared" ca="1" si="130"/>
        <v>#N/A</v>
      </c>
      <c r="O276" s="406" t="e">
        <f t="shared" ca="1" si="130"/>
        <v>#N/A</v>
      </c>
      <c r="P276" s="406" t="e">
        <f t="shared" ca="1" si="130"/>
        <v>#N/A</v>
      </c>
      <c r="Q276" s="406" t="e">
        <f t="shared" ca="1" si="130"/>
        <v>#N/A</v>
      </c>
      <c r="R276" s="406" t="e">
        <f t="shared" ca="1" si="130"/>
        <v>#N/A</v>
      </c>
      <c r="S276" s="406" t="e">
        <f t="shared" ca="1" si="130"/>
        <v>#N/A</v>
      </c>
      <c r="T276" s="406" t="e">
        <f t="shared" ca="1" si="130"/>
        <v>#N/A</v>
      </c>
      <c r="U276" s="406" t="e">
        <f t="shared" ca="1" si="130"/>
        <v>#N/A</v>
      </c>
      <c r="V276" s="406" t="e">
        <f t="shared" ca="1" si="130"/>
        <v>#N/A</v>
      </c>
      <c r="W276" s="406" t="e">
        <f t="shared" ca="1" si="130"/>
        <v>#N/A</v>
      </c>
      <c r="X276" s="406" t="e">
        <f t="shared" ca="1" si="128"/>
        <v>#N/A</v>
      </c>
      <c r="Y276" s="406" t="e">
        <f t="shared" ca="1" si="128"/>
        <v>#N/A</v>
      </c>
      <c r="Z276" s="406" t="e">
        <f t="shared" ca="1" si="128"/>
        <v>#N/A</v>
      </c>
      <c r="AA276" s="406" t="e">
        <f t="shared" ca="1" si="128"/>
        <v>#N/A</v>
      </c>
      <c r="AB276" s="406" t="e">
        <f t="shared" ca="1" si="128"/>
        <v>#N/A</v>
      </c>
      <c r="AC276" s="406" t="e">
        <f t="shared" ca="1" si="128"/>
        <v>#N/A</v>
      </c>
      <c r="AD276" s="406" t="e">
        <f t="shared" ca="1" si="128"/>
        <v>#N/A</v>
      </c>
      <c r="AE276" s="406" t="e">
        <f t="shared" ca="1" si="128"/>
        <v>#N/A</v>
      </c>
      <c r="AF276" s="406" t="e">
        <f t="shared" ca="1" si="128"/>
        <v>#N/A</v>
      </c>
      <c r="AG276" s="406" t="e">
        <f t="shared" ca="1" si="128"/>
        <v>#N/A</v>
      </c>
      <c r="AH276" s="406" t="e">
        <f t="shared" ca="1" si="129"/>
        <v>#N/A</v>
      </c>
      <c r="AI276" s="406" t="e">
        <f t="shared" ca="1" si="129"/>
        <v>#N/A</v>
      </c>
      <c r="AJ276" s="406" t="e">
        <f t="shared" ca="1" si="129"/>
        <v>#N/A</v>
      </c>
      <c r="AK276" s="406" t="e">
        <f t="shared" ca="1" si="129"/>
        <v>#N/A</v>
      </c>
      <c r="AL276" s="406" t="e">
        <f t="shared" ca="1" si="129"/>
        <v>#N/A</v>
      </c>
      <c r="AM276" s="406" t="e">
        <f t="shared" ca="1" si="129"/>
        <v>#N/A</v>
      </c>
      <c r="AN276" s="406" t="e">
        <f t="shared" ca="1" si="129"/>
        <v>#N/A</v>
      </c>
      <c r="AO276" s="406" t="e">
        <f t="shared" ca="1" si="129"/>
        <v>#N/A</v>
      </c>
      <c r="AP276" s="406" t="e">
        <f t="shared" ca="1" si="129"/>
        <v>#N/A</v>
      </c>
      <c r="AQ276" s="406" t="e">
        <f t="shared" ca="1" si="129"/>
        <v>#N/A</v>
      </c>
      <c r="AR276" s="406" t="e">
        <f t="shared" ca="1" si="126"/>
        <v>#N/A</v>
      </c>
      <c r="AS276" s="406" t="e">
        <f t="shared" ca="1" si="126"/>
        <v>#N/A</v>
      </c>
      <c r="AT276" s="406" t="e">
        <f t="shared" ca="1" si="126"/>
        <v>#N/A</v>
      </c>
      <c r="AU276" s="406" t="e">
        <f t="shared" ca="1" si="126"/>
        <v>#N/A</v>
      </c>
      <c r="AV276" s="406" t="e">
        <f t="shared" ca="1" si="126"/>
        <v>#N/A</v>
      </c>
      <c r="AW276" s="406" t="e">
        <f t="shared" ca="1" si="126"/>
        <v>#N/A</v>
      </c>
      <c r="AX276" s="406" t="e">
        <f t="shared" ca="1" si="126"/>
        <v>#N/A</v>
      </c>
      <c r="AY276" s="406" t="e">
        <f t="shared" ca="1" si="126"/>
        <v>#N/A</v>
      </c>
      <c r="AZ276" s="406" t="e">
        <f t="shared" ca="1" si="126"/>
        <v>#N/A</v>
      </c>
      <c r="BA276" s="406" t="e">
        <f t="shared" ca="1" si="126"/>
        <v>#N/A</v>
      </c>
      <c r="BB276" s="408"/>
      <c r="BC276" s="408" t="str">
        <f t="shared" ca="1" si="125"/>
        <v/>
      </c>
      <c r="BD276" s="408" t="s">
        <v>1278</v>
      </c>
      <c r="BE276" s="408" t="s">
        <v>1278</v>
      </c>
    </row>
    <row r="277" spans="3:57" x14ac:dyDescent="0.25">
      <c r="C277" s="406">
        <f t="shared" si="127"/>
        <v>275</v>
      </c>
      <c r="D277" s="406" t="e">
        <f t="shared" ca="1" si="131"/>
        <v>#N/A</v>
      </c>
      <c r="E277" s="406" t="e">
        <f t="shared" ca="1" si="131"/>
        <v>#N/A</v>
      </c>
      <c r="F277" s="406" t="e">
        <f t="shared" ca="1" si="131"/>
        <v>#N/A</v>
      </c>
      <c r="G277" s="406" t="e">
        <f t="shared" ca="1" si="131"/>
        <v>#N/A</v>
      </c>
      <c r="H277" s="406" t="e">
        <f t="shared" ca="1" si="131"/>
        <v>#N/A</v>
      </c>
      <c r="I277" s="406" t="e">
        <f t="shared" ca="1" si="131"/>
        <v>#N/A</v>
      </c>
      <c r="J277" s="406" t="e">
        <f t="shared" ca="1" si="131"/>
        <v>#N/A</v>
      </c>
      <c r="K277" s="406" t="e">
        <f t="shared" ca="1" si="131"/>
        <v>#N/A</v>
      </c>
      <c r="L277" s="406" t="e">
        <f t="shared" ca="1" si="131"/>
        <v>#N/A</v>
      </c>
      <c r="M277" s="406" t="e">
        <f t="shared" ca="1" si="131"/>
        <v>#N/A</v>
      </c>
      <c r="N277" s="406" t="e">
        <f t="shared" ca="1" si="130"/>
        <v>#N/A</v>
      </c>
      <c r="O277" s="406" t="e">
        <f t="shared" ca="1" si="130"/>
        <v>#N/A</v>
      </c>
      <c r="P277" s="406" t="e">
        <f t="shared" ca="1" si="130"/>
        <v>#N/A</v>
      </c>
      <c r="Q277" s="406" t="e">
        <f t="shared" ca="1" si="130"/>
        <v>#N/A</v>
      </c>
      <c r="R277" s="406" t="e">
        <f t="shared" ca="1" si="130"/>
        <v>#N/A</v>
      </c>
      <c r="S277" s="406" t="e">
        <f t="shared" ca="1" si="130"/>
        <v>#N/A</v>
      </c>
      <c r="T277" s="406" t="e">
        <f t="shared" ca="1" si="130"/>
        <v>#N/A</v>
      </c>
      <c r="U277" s="406" t="e">
        <f t="shared" ca="1" si="130"/>
        <v>#N/A</v>
      </c>
      <c r="V277" s="406" t="e">
        <f t="shared" ca="1" si="130"/>
        <v>#N/A</v>
      </c>
      <c r="W277" s="406" t="e">
        <f t="shared" ca="1" si="130"/>
        <v>#N/A</v>
      </c>
      <c r="X277" s="406" t="e">
        <f t="shared" ca="1" si="128"/>
        <v>#N/A</v>
      </c>
      <c r="Y277" s="406" t="e">
        <f t="shared" ca="1" si="128"/>
        <v>#N/A</v>
      </c>
      <c r="Z277" s="406" t="e">
        <f t="shared" ca="1" si="128"/>
        <v>#N/A</v>
      </c>
      <c r="AA277" s="406" t="e">
        <f t="shared" ca="1" si="128"/>
        <v>#N/A</v>
      </c>
      <c r="AB277" s="406" t="e">
        <f t="shared" ca="1" si="128"/>
        <v>#N/A</v>
      </c>
      <c r="AC277" s="406" t="e">
        <f t="shared" ca="1" si="128"/>
        <v>#N/A</v>
      </c>
      <c r="AD277" s="406" t="e">
        <f t="shared" ca="1" si="128"/>
        <v>#N/A</v>
      </c>
      <c r="AE277" s="406" t="e">
        <f t="shared" ca="1" si="128"/>
        <v>#N/A</v>
      </c>
      <c r="AF277" s="406" t="e">
        <f t="shared" ca="1" si="128"/>
        <v>#N/A</v>
      </c>
      <c r="AG277" s="406" t="e">
        <f t="shared" ca="1" si="128"/>
        <v>#N/A</v>
      </c>
      <c r="AH277" s="406" t="e">
        <f t="shared" ca="1" si="129"/>
        <v>#N/A</v>
      </c>
      <c r="AI277" s="406" t="e">
        <f t="shared" ca="1" si="129"/>
        <v>#N/A</v>
      </c>
      <c r="AJ277" s="406" t="e">
        <f t="shared" ca="1" si="129"/>
        <v>#N/A</v>
      </c>
      <c r="AK277" s="406" t="e">
        <f t="shared" ca="1" si="129"/>
        <v>#N/A</v>
      </c>
      <c r="AL277" s="406" t="e">
        <f t="shared" ca="1" si="129"/>
        <v>#N/A</v>
      </c>
      <c r="AM277" s="406" t="e">
        <f t="shared" ca="1" si="129"/>
        <v>#N/A</v>
      </c>
      <c r="AN277" s="406" t="e">
        <f t="shared" ca="1" si="129"/>
        <v>#N/A</v>
      </c>
      <c r="AO277" s="406" t="e">
        <f t="shared" ca="1" si="129"/>
        <v>#N/A</v>
      </c>
      <c r="AP277" s="406" t="e">
        <f t="shared" ca="1" si="129"/>
        <v>#N/A</v>
      </c>
      <c r="AQ277" s="406" t="e">
        <f t="shared" ca="1" si="129"/>
        <v>#N/A</v>
      </c>
      <c r="AR277" s="406" t="e">
        <f t="shared" ca="1" si="126"/>
        <v>#N/A</v>
      </c>
      <c r="AS277" s="406" t="e">
        <f t="shared" ca="1" si="126"/>
        <v>#N/A</v>
      </c>
      <c r="AT277" s="406" t="e">
        <f t="shared" ca="1" si="126"/>
        <v>#N/A</v>
      </c>
      <c r="AU277" s="406" t="e">
        <f t="shared" ca="1" si="126"/>
        <v>#N/A</v>
      </c>
      <c r="AV277" s="406" t="e">
        <f t="shared" ca="1" si="126"/>
        <v>#N/A</v>
      </c>
      <c r="AW277" s="406" t="e">
        <f t="shared" ca="1" si="126"/>
        <v>#N/A</v>
      </c>
      <c r="AX277" s="406" t="e">
        <f t="shared" ca="1" si="126"/>
        <v>#N/A</v>
      </c>
      <c r="AY277" s="406" t="e">
        <f t="shared" ca="1" si="126"/>
        <v>#N/A</v>
      </c>
      <c r="AZ277" s="406" t="e">
        <f t="shared" ca="1" si="126"/>
        <v>#N/A</v>
      </c>
      <c r="BA277" s="406" t="e">
        <f t="shared" ca="1" si="126"/>
        <v>#N/A</v>
      </c>
      <c r="BB277" s="408"/>
      <c r="BC277" s="408" t="str">
        <f t="shared" ca="1" si="125"/>
        <v/>
      </c>
      <c r="BD277" s="408" t="s">
        <v>1278</v>
      </c>
      <c r="BE277" s="408" t="s">
        <v>1278</v>
      </c>
    </row>
    <row r="278" spans="3:57" x14ac:dyDescent="0.25">
      <c r="C278" s="406">
        <f t="shared" si="127"/>
        <v>276</v>
      </c>
      <c r="D278" s="406" t="e">
        <f t="shared" ca="1" si="131"/>
        <v>#N/A</v>
      </c>
      <c r="E278" s="406" t="e">
        <f t="shared" ca="1" si="131"/>
        <v>#N/A</v>
      </c>
      <c r="F278" s="406" t="e">
        <f t="shared" ca="1" si="131"/>
        <v>#N/A</v>
      </c>
      <c r="G278" s="406" t="e">
        <f t="shared" ca="1" si="131"/>
        <v>#N/A</v>
      </c>
      <c r="H278" s="406" t="e">
        <f t="shared" ca="1" si="131"/>
        <v>#N/A</v>
      </c>
      <c r="I278" s="406" t="e">
        <f t="shared" ca="1" si="131"/>
        <v>#N/A</v>
      </c>
      <c r="J278" s="406" t="e">
        <f t="shared" ca="1" si="131"/>
        <v>#N/A</v>
      </c>
      <c r="K278" s="406" t="e">
        <f t="shared" ca="1" si="131"/>
        <v>#N/A</v>
      </c>
      <c r="L278" s="406" t="e">
        <f t="shared" ca="1" si="131"/>
        <v>#N/A</v>
      </c>
      <c r="M278" s="406" t="e">
        <f t="shared" ca="1" si="131"/>
        <v>#N/A</v>
      </c>
      <c r="N278" s="406" t="e">
        <f t="shared" ca="1" si="130"/>
        <v>#N/A</v>
      </c>
      <c r="O278" s="406" t="e">
        <f t="shared" ca="1" si="130"/>
        <v>#N/A</v>
      </c>
      <c r="P278" s="406" t="e">
        <f t="shared" ca="1" si="130"/>
        <v>#N/A</v>
      </c>
      <c r="Q278" s="406" t="e">
        <f t="shared" ca="1" si="130"/>
        <v>#N/A</v>
      </c>
      <c r="R278" s="406" t="e">
        <f t="shared" ca="1" si="130"/>
        <v>#N/A</v>
      </c>
      <c r="S278" s="406" t="e">
        <f t="shared" ca="1" si="130"/>
        <v>#N/A</v>
      </c>
      <c r="T278" s="406" t="e">
        <f t="shared" ca="1" si="130"/>
        <v>#N/A</v>
      </c>
      <c r="U278" s="406" t="e">
        <f t="shared" ca="1" si="130"/>
        <v>#N/A</v>
      </c>
      <c r="V278" s="406" t="e">
        <f t="shared" ca="1" si="130"/>
        <v>#N/A</v>
      </c>
      <c r="W278" s="406" t="e">
        <f t="shared" ca="1" si="130"/>
        <v>#N/A</v>
      </c>
      <c r="X278" s="406" t="e">
        <f t="shared" ca="1" si="128"/>
        <v>#N/A</v>
      </c>
      <c r="Y278" s="406" t="e">
        <f t="shared" ca="1" si="128"/>
        <v>#N/A</v>
      </c>
      <c r="Z278" s="406" t="e">
        <f t="shared" ca="1" si="128"/>
        <v>#N/A</v>
      </c>
      <c r="AA278" s="406" t="e">
        <f t="shared" ca="1" si="128"/>
        <v>#N/A</v>
      </c>
      <c r="AB278" s="406" t="e">
        <f t="shared" ca="1" si="128"/>
        <v>#N/A</v>
      </c>
      <c r="AC278" s="406" t="e">
        <f t="shared" ca="1" si="128"/>
        <v>#N/A</v>
      </c>
      <c r="AD278" s="406" t="e">
        <f t="shared" ca="1" si="128"/>
        <v>#N/A</v>
      </c>
      <c r="AE278" s="406" t="e">
        <f t="shared" ca="1" si="128"/>
        <v>#N/A</v>
      </c>
      <c r="AF278" s="406" t="e">
        <f t="shared" ca="1" si="128"/>
        <v>#N/A</v>
      </c>
      <c r="AG278" s="406" t="e">
        <f t="shared" ca="1" si="128"/>
        <v>#N/A</v>
      </c>
      <c r="AH278" s="406" t="e">
        <f t="shared" ca="1" si="129"/>
        <v>#N/A</v>
      </c>
      <c r="AI278" s="406" t="e">
        <f t="shared" ca="1" si="129"/>
        <v>#N/A</v>
      </c>
      <c r="AJ278" s="406" t="e">
        <f t="shared" ca="1" si="129"/>
        <v>#N/A</v>
      </c>
      <c r="AK278" s="406" t="e">
        <f t="shared" ca="1" si="129"/>
        <v>#N/A</v>
      </c>
      <c r="AL278" s="406" t="e">
        <f t="shared" ca="1" si="129"/>
        <v>#N/A</v>
      </c>
      <c r="AM278" s="406" t="e">
        <f t="shared" ca="1" si="129"/>
        <v>#N/A</v>
      </c>
      <c r="AN278" s="406" t="e">
        <f t="shared" ca="1" si="129"/>
        <v>#N/A</v>
      </c>
      <c r="AO278" s="406" t="e">
        <f t="shared" ca="1" si="129"/>
        <v>#N/A</v>
      </c>
      <c r="AP278" s="406" t="e">
        <f t="shared" ca="1" si="129"/>
        <v>#N/A</v>
      </c>
      <c r="AQ278" s="406" t="e">
        <f t="shared" ca="1" si="129"/>
        <v>#N/A</v>
      </c>
      <c r="AR278" s="406" t="e">
        <f t="shared" ca="1" si="126"/>
        <v>#N/A</v>
      </c>
      <c r="AS278" s="406" t="e">
        <f t="shared" ca="1" si="126"/>
        <v>#N/A</v>
      </c>
      <c r="AT278" s="406" t="e">
        <f t="shared" ca="1" si="126"/>
        <v>#N/A</v>
      </c>
      <c r="AU278" s="406" t="e">
        <f t="shared" ca="1" si="126"/>
        <v>#N/A</v>
      </c>
      <c r="AV278" s="406" t="e">
        <f t="shared" ca="1" si="126"/>
        <v>#N/A</v>
      </c>
      <c r="AW278" s="406" t="e">
        <f t="shared" ca="1" si="126"/>
        <v>#N/A</v>
      </c>
      <c r="AX278" s="406" t="e">
        <f t="shared" ca="1" si="126"/>
        <v>#N/A</v>
      </c>
      <c r="AY278" s="406" t="e">
        <f t="shared" ca="1" si="126"/>
        <v>#N/A</v>
      </c>
      <c r="AZ278" s="406" t="e">
        <f t="shared" ca="1" si="126"/>
        <v>#N/A</v>
      </c>
      <c r="BA278" s="406" t="e">
        <f t="shared" ca="1" si="126"/>
        <v>#N/A</v>
      </c>
      <c r="BB278" s="408"/>
      <c r="BC278" s="408" t="str">
        <f t="shared" ca="1" si="125"/>
        <v/>
      </c>
      <c r="BD278" s="408" t="s">
        <v>1278</v>
      </c>
      <c r="BE278" s="408" t="s">
        <v>1278</v>
      </c>
    </row>
    <row r="279" spans="3:57" x14ac:dyDescent="0.25">
      <c r="C279" s="406">
        <f t="shared" si="127"/>
        <v>277</v>
      </c>
      <c r="D279" s="406" t="e">
        <f t="shared" ca="1" si="131"/>
        <v>#N/A</v>
      </c>
      <c r="E279" s="406" t="e">
        <f t="shared" ca="1" si="131"/>
        <v>#N/A</v>
      </c>
      <c r="F279" s="406" t="e">
        <f t="shared" ca="1" si="131"/>
        <v>#N/A</v>
      </c>
      <c r="G279" s="406" t="e">
        <f t="shared" ca="1" si="131"/>
        <v>#N/A</v>
      </c>
      <c r="H279" s="406" t="e">
        <f t="shared" ca="1" si="131"/>
        <v>#N/A</v>
      </c>
      <c r="I279" s="406" t="e">
        <f t="shared" ca="1" si="131"/>
        <v>#N/A</v>
      </c>
      <c r="J279" s="406" t="e">
        <f t="shared" ca="1" si="131"/>
        <v>#N/A</v>
      </c>
      <c r="K279" s="406" t="e">
        <f t="shared" ca="1" si="131"/>
        <v>#N/A</v>
      </c>
      <c r="L279" s="406" t="e">
        <f t="shared" ca="1" si="131"/>
        <v>#N/A</v>
      </c>
      <c r="M279" s="406" t="e">
        <f t="shared" ca="1" si="131"/>
        <v>#N/A</v>
      </c>
      <c r="N279" s="406" t="e">
        <f t="shared" ca="1" si="130"/>
        <v>#N/A</v>
      </c>
      <c r="O279" s="406" t="e">
        <f t="shared" ca="1" si="130"/>
        <v>#N/A</v>
      </c>
      <c r="P279" s="406" t="e">
        <f t="shared" ca="1" si="130"/>
        <v>#N/A</v>
      </c>
      <c r="Q279" s="406" t="e">
        <f t="shared" ca="1" si="130"/>
        <v>#N/A</v>
      </c>
      <c r="R279" s="406" t="e">
        <f t="shared" ca="1" si="130"/>
        <v>#N/A</v>
      </c>
      <c r="S279" s="406" t="e">
        <f t="shared" ca="1" si="130"/>
        <v>#N/A</v>
      </c>
      <c r="T279" s="406" t="e">
        <f t="shared" ca="1" si="130"/>
        <v>#N/A</v>
      </c>
      <c r="U279" s="406" t="e">
        <f t="shared" ca="1" si="130"/>
        <v>#N/A</v>
      </c>
      <c r="V279" s="406" t="e">
        <f t="shared" ca="1" si="130"/>
        <v>#N/A</v>
      </c>
      <c r="W279" s="406" t="e">
        <f t="shared" ca="1" si="130"/>
        <v>#N/A</v>
      </c>
      <c r="X279" s="406" t="e">
        <f t="shared" ca="1" si="128"/>
        <v>#N/A</v>
      </c>
      <c r="Y279" s="406" t="e">
        <f t="shared" ca="1" si="128"/>
        <v>#N/A</v>
      </c>
      <c r="Z279" s="406" t="e">
        <f t="shared" ca="1" si="128"/>
        <v>#N/A</v>
      </c>
      <c r="AA279" s="406" t="e">
        <f t="shared" ca="1" si="128"/>
        <v>#N/A</v>
      </c>
      <c r="AB279" s="406" t="e">
        <f t="shared" ca="1" si="128"/>
        <v>#N/A</v>
      </c>
      <c r="AC279" s="406" t="e">
        <f t="shared" ca="1" si="128"/>
        <v>#N/A</v>
      </c>
      <c r="AD279" s="406" t="e">
        <f t="shared" ca="1" si="128"/>
        <v>#N/A</v>
      </c>
      <c r="AE279" s="406" t="e">
        <f t="shared" ca="1" si="128"/>
        <v>#N/A</v>
      </c>
      <c r="AF279" s="406" t="e">
        <f t="shared" ca="1" si="128"/>
        <v>#N/A</v>
      </c>
      <c r="AG279" s="406" t="e">
        <f t="shared" ca="1" si="128"/>
        <v>#N/A</v>
      </c>
      <c r="AH279" s="406" t="e">
        <f t="shared" ca="1" si="129"/>
        <v>#N/A</v>
      </c>
      <c r="AI279" s="406" t="e">
        <f t="shared" ca="1" si="129"/>
        <v>#N/A</v>
      </c>
      <c r="AJ279" s="406" t="e">
        <f t="shared" ca="1" si="129"/>
        <v>#N/A</v>
      </c>
      <c r="AK279" s="406" t="e">
        <f t="shared" ca="1" si="129"/>
        <v>#N/A</v>
      </c>
      <c r="AL279" s="406" t="e">
        <f t="shared" ca="1" si="129"/>
        <v>#N/A</v>
      </c>
      <c r="AM279" s="406" t="e">
        <f t="shared" ca="1" si="129"/>
        <v>#N/A</v>
      </c>
      <c r="AN279" s="406" t="e">
        <f t="shared" ca="1" si="129"/>
        <v>#N/A</v>
      </c>
      <c r="AO279" s="406" t="e">
        <f t="shared" ca="1" si="129"/>
        <v>#N/A</v>
      </c>
      <c r="AP279" s="406" t="e">
        <f t="shared" ca="1" si="129"/>
        <v>#N/A</v>
      </c>
      <c r="AQ279" s="406" t="e">
        <f t="shared" ca="1" si="129"/>
        <v>#N/A</v>
      </c>
      <c r="AR279" s="406" t="e">
        <f t="shared" ca="1" si="126"/>
        <v>#N/A</v>
      </c>
      <c r="AS279" s="406" t="e">
        <f t="shared" ca="1" si="126"/>
        <v>#N/A</v>
      </c>
      <c r="AT279" s="406" t="e">
        <f t="shared" ca="1" si="126"/>
        <v>#N/A</v>
      </c>
      <c r="AU279" s="406" t="e">
        <f t="shared" ca="1" si="126"/>
        <v>#N/A</v>
      </c>
      <c r="AV279" s="406" t="e">
        <f t="shared" ca="1" si="126"/>
        <v>#N/A</v>
      </c>
      <c r="AW279" s="406" t="e">
        <f t="shared" ca="1" si="126"/>
        <v>#N/A</v>
      </c>
      <c r="AX279" s="406" t="e">
        <f t="shared" ca="1" si="126"/>
        <v>#N/A</v>
      </c>
      <c r="AY279" s="406" t="e">
        <f t="shared" ca="1" si="126"/>
        <v>#N/A</v>
      </c>
      <c r="AZ279" s="406" t="e">
        <f t="shared" ca="1" si="126"/>
        <v>#N/A</v>
      </c>
      <c r="BA279" s="406" t="e">
        <f t="shared" ca="1" si="126"/>
        <v>#N/A</v>
      </c>
      <c r="BB279" s="408"/>
      <c r="BC279" s="408" t="str">
        <f t="shared" ca="1" si="125"/>
        <v/>
      </c>
      <c r="BD279" s="408" t="s">
        <v>1278</v>
      </c>
      <c r="BE279" s="408" t="s">
        <v>1278</v>
      </c>
    </row>
    <row r="280" spans="3:57" x14ac:dyDescent="0.25">
      <c r="C280" s="406">
        <f t="shared" si="127"/>
        <v>278</v>
      </c>
      <c r="D280" s="406" t="e">
        <f t="shared" ca="1" si="131"/>
        <v>#N/A</v>
      </c>
      <c r="E280" s="406" t="e">
        <f t="shared" ca="1" si="131"/>
        <v>#N/A</v>
      </c>
      <c r="F280" s="406" t="e">
        <f t="shared" ca="1" si="131"/>
        <v>#N/A</v>
      </c>
      <c r="G280" s="406" t="e">
        <f t="shared" ca="1" si="131"/>
        <v>#N/A</v>
      </c>
      <c r="H280" s="406" t="e">
        <f t="shared" ca="1" si="131"/>
        <v>#N/A</v>
      </c>
      <c r="I280" s="406" t="e">
        <f t="shared" ca="1" si="131"/>
        <v>#N/A</v>
      </c>
      <c r="J280" s="406" t="e">
        <f t="shared" ca="1" si="131"/>
        <v>#N/A</v>
      </c>
      <c r="K280" s="406" t="e">
        <f t="shared" ca="1" si="131"/>
        <v>#N/A</v>
      </c>
      <c r="L280" s="406" t="e">
        <f t="shared" ca="1" si="131"/>
        <v>#N/A</v>
      </c>
      <c r="M280" s="406" t="e">
        <f t="shared" ca="1" si="131"/>
        <v>#N/A</v>
      </c>
      <c r="N280" s="406" t="e">
        <f t="shared" ca="1" si="130"/>
        <v>#N/A</v>
      </c>
      <c r="O280" s="406" t="e">
        <f t="shared" ca="1" si="130"/>
        <v>#N/A</v>
      </c>
      <c r="P280" s="406" t="e">
        <f t="shared" ca="1" si="130"/>
        <v>#N/A</v>
      </c>
      <c r="Q280" s="406" t="e">
        <f t="shared" ca="1" si="130"/>
        <v>#N/A</v>
      </c>
      <c r="R280" s="406" t="e">
        <f t="shared" ca="1" si="130"/>
        <v>#N/A</v>
      </c>
      <c r="S280" s="406" t="e">
        <f t="shared" ca="1" si="130"/>
        <v>#N/A</v>
      </c>
      <c r="T280" s="406" t="e">
        <f t="shared" ca="1" si="130"/>
        <v>#N/A</v>
      </c>
      <c r="U280" s="406" t="e">
        <f t="shared" ca="1" si="130"/>
        <v>#N/A</v>
      </c>
      <c r="V280" s="406" t="e">
        <f t="shared" ca="1" si="130"/>
        <v>#N/A</v>
      </c>
      <c r="W280" s="406" t="e">
        <f t="shared" ca="1" si="130"/>
        <v>#N/A</v>
      </c>
      <c r="X280" s="406" t="e">
        <f t="shared" ca="1" si="128"/>
        <v>#N/A</v>
      </c>
      <c r="Y280" s="406" t="e">
        <f t="shared" ca="1" si="128"/>
        <v>#N/A</v>
      </c>
      <c r="Z280" s="406" t="e">
        <f t="shared" ca="1" si="128"/>
        <v>#N/A</v>
      </c>
      <c r="AA280" s="406" t="e">
        <f t="shared" ca="1" si="128"/>
        <v>#N/A</v>
      </c>
      <c r="AB280" s="406" t="e">
        <f t="shared" ca="1" si="128"/>
        <v>#N/A</v>
      </c>
      <c r="AC280" s="406" t="e">
        <f t="shared" ca="1" si="128"/>
        <v>#N/A</v>
      </c>
      <c r="AD280" s="406" t="e">
        <f t="shared" ca="1" si="128"/>
        <v>#N/A</v>
      </c>
      <c r="AE280" s="406" t="e">
        <f t="shared" ca="1" si="128"/>
        <v>#N/A</v>
      </c>
      <c r="AF280" s="406" t="e">
        <f t="shared" ca="1" si="128"/>
        <v>#N/A</v>
      </c>
      <c r="AG280" s="406" t="e">
        <f t="shared" ca="1" si="128"/>
        <v>#N/A</v>
      </c>
      <c r="AH280" s="406" t="e">
        <f t="shared" ca="1" si="129"/>
        <v>#N/A</v>
      </c>
      <c r="AI280" s="406" t="e">
        <f t="shared" ca="1" si="129"/>
        <v>#N/A</v>
      </c>
      <c r="AJ280" s="406" t="e">
        <f t="shared" ca="1" si="129"/>
        <v>#N/A</v>
      </c>
      <c r="AK280" s="406" t="e">
        <f t="shared" ca="1" si="129"/>
        <v>#N/A</v>
      </c>
      <c r="AL280" s="406" t="e">
        <f t="shared" ca="1" si="129"/>
        <v>#N/A</v>
      </c>
      <c r="AM280" s="406" t="e">
        <f t="shared" ca="1" si="129"/>
        <v>#N/A</v>
      </c>
      <c r="AN280" s="406" t="e">
        <f t="shared" ca="1" si="129"/>
        <v>#N/A</v>
      </c>
      <c r="AO280" s="406" t="e">
        <f t="shared" ca="1" si="129"/>
        <v>#N/A</v>
      </c>
      <c r="AP280" s="406" t="e">
        <f t="shared" ca="1" si="129"/>
        <v>#N/A</v>
      </c>
      <c r="AQ280" s="406" t="e">
        <f t="shared" ca="1" si="129"/>
        <v>#N/A</v>
      </c>
      <c r="AR280" s="406" t="e">
        <f t="shared" ca="1" si="126"/>
        <v>#N/A</v>
      </c>
      <c r="AS280" s="406" t="e">
        <f t="shared" ca="1" si="126"/>
        <v>#N/A</v>
      </c>
      <c r="AT280" s="406" t="e">
        <f t="shared" ca="1" si="126"/>
        <v>#N/A</v>
      </c>
      <c r="AU280" s="406" t="e">
        <f t="shared" ca="1" si="126"/>
        <v>#N/A</v>
      </c>
      <c r="AV280" s="406" t="e">
        <f t="shared" ca="1" si="126"/>
        <v>#N/A</v>
      </c>
      <c r="AW280" s="406" t="e">
        <f t="shared" ca="1" si="126"/>
        <v>#N/A</v>
      </c>
      <c r="AX280" s="406" t="e">
        <f t="shared" ca="1" si="126"/>
        <v>#N/A</v>
      </c>
      <c r="AY280" s="406" t="e">
        <f t="shared" ca="1" si="126"/>
        <v>#N/A</v>
      </c>
      <c r="AZ280" s="406" t="e">
        <f t="shared" ca="1" si="126"/>
        <v>#N/A</v>
      </c>
      <c r="BA280" s="406" t="e">
        <f t="shared" ca="1" si="126"/>
        <v>#N/A</v>
      </c>
      <c r="BB280" s="408"/>
      <c r="BC280" s="408" t="str">
        <f t="shared" ca="1" si="125"/>
        <v/>
      </c>
      <c r="BD280" s="408" t="s">
        <v>1278</v>
      </c>
      <c r="BE280" s="408" t="s">
        <v>1278</v>
      </c>
    </row>
    <row r="281" spans="3:57" x14ac:dyDescent="0.25">
      <c r="C281" s="406">
        <f t="shared" si="127"/>
        <v>279</v>
      </c>
      <c r="D281" s="406" t="e">
        <f t="shared" ca="1" si="131"/>
        <v>#N/A</v>
      </c>
      <c r="E281" s="406" t="e">
        <f t="shared" ca="1" si="131"/>
        <v>#N/A</v>
      </c>
      <c r="F281" s="406" t="e">
        <f t="shared" ca="1" si="131"/>
        <v>#N/A</v>
      </c>
      <c r="G281" s="406" t="e">
        <f t="shared" ca="1" si="131"/>
        <v>#N/A</v>
      </c>
      <c r="H281" s="406" t="e">
        <f t="shared" ca="1" si="131"/>
        <v>#N/A</v>
      </c>
      <c r="I281" s="406" t="e">
        <f t="shared" ca="1" si="131"/>
        <v>#N/A</v>
      </c>
      <c r="J281" s="406" t="e">
        <f t="shared" ca="1" si="131"/>
        <v>#N/A</v>
      </c>
      <c r="K281" s="406" t="e">
        <f t="shared" ca="1" si="131"/>
        <v>#N/A</v>
      </c>
      <c r="L281" s="406" t="e">
        <f t="shared" ca="1" si="131"/>
        <v>#N/A</v>
      </c>
      <c r="M281" s="406" t="e">
        <f t="shared" ca="1" si="131"/>
        <v>#N/A</v>
      </c>
      <c r="N281" s="406" t="e">
        <f t="shared" ca="1" si="130"/>
        <v>#N/A</v>
      </c>
      <c r="O281" s="406" t="e">
        <f t="shared" ca="1" si="130"/>
        <v>#N/A</v>
      </c>
      <c r="P281" s="406" t="e">
        <f t="shared" ca="1" si="130"/>
        <v>#N/A</v>
      </c>
      <c r="Q281" s="406" t="e">
        <f t="shared" ca="1" si="130"/>
        <v>#N/A</v>
      </c>
      <c r="R281" s="406" t="e">
        <f t="shared" ca="1" si="130"/>
        <v>#N/A</v>
      </c>
      <c r="S281" s="406" t="e">
        <f t="shared" ca="1" si="130"/>
        <v>#N/A</v>
      </c>
      <c r="T281" s="406" t="e">
        <f t="shared" ca="1" si="130"/>
        <v>#N/A</v>
      </c>
      <c r="U281" s="406" t="e">
        <f t="shared" ca="1" si="130"/>
        <v>#N/A</v>
      </c>
      <c r="V281" s="406" t="e">
        <f t="shared" ca="1" si="130"/>
        <v>#N/A</v>
      </c>
      <c r="W281" s="406" t="e">
        <f t="shared" ca="1" si="130"/>
        <v>#N/A</v>
      </c>
      <c r="X281" s="406" t="e">
        <f t="shared" ca="1" si="128"/>
        <v>#N/A</v>
      </c>
      <c r="Y281" s="406" t="e">
        <f t="shared" ca="1" si="128"/>
        <v>#N/A</v>
      </c>
      <c r="Z281" s="406" t="e">
        <f t="shared" ca="1" si="128"/>
        <v>#N/A</v>
      </c>
      <c r="AA281" s="406" t="e">
        <f t="shared" ca="1" si="128"/>
        <v>#N/A</v>
      </c>
      <c r="AB281" s="406" t="e">
        <f t="shared" ca="1" si="128"/>
        <v>#N/A</v>
      </c>
      <c r="AC281" s="406" t="e">
        <f t="shared" ca="1" si="128"/>
        <v>#N/A</v>
      </c>
      <c r="AD281" s="406" t="e">
        <f t="shared" ca="1" si="128"/>
        <v>#N/A</v>
      </c>
      <c r="AE281" s="406" t="e">
        <f t="shared" ca="1" si="128"/>
        <v>#N/A</v>
      </c>
      <c r="AF281" s="406" t="e">
        <f t="shared" ca="1" si="128"/>
        <v>#N/A</v>
      </c>
      <c r="AG281" s="406" t="e">
        <f t="shared" ca="1" si="128"/>
        <v>#N/A</v>
      </c>
      <c r="AH281" s="406" t="e">
        <f t="shared" ca="1" si="129"/>
        <v>#N/A</v>
      </c>
      <c r="AI281" s="406" t="e">
        <f t="shared" ca="1" si="129"/>
        <v>#N/A</v>
      </c>
      <c r="AJ281" s="406" t="e">
        <f t="shared" ca="1" si="129"/>
        <v>#N/A</v>
      </c>
      <c r="AK281" s="406" t="e">
        <f t="shared" ca="1" si="129"/>
        <v>#N/A</v>
      </c>
      <c r="AL281" s="406" t="e">
        <f t="shared" ca="1" si="129"/>
        <v>#N/A</v>
      </c>
      <c r="AM281" s="406" t="e">
        <f t="shared" ca="1" si="129"/>
        <v>#N/A</v>
      </c>
      <c r="AN281" s="406" t="e">
        <f t="shared" ca="1" si="129"/>
        <v>#N/A</v>
      </c>
      <c r="AO281" s="406" t="e">
        <f t="shared" ca="1" si="129"/>
        <v>#N/A</v>
      </c>
      <c r="AP281" s="406" t="e">
        <f t="shared" ca="1" si="129"/>
        <v>#N/A</v>
      </c>
      <c r="AQ281" s="406" t="e">
        <f t="shared" ca="1" si="129"/>
        <v>#N/A</v>
      </c>
      <c r="AR281" s="406" t="e">
        <f t="shared" ca="1" si="126"/>
        <v>#N/A</v>
      </c>
      <c r="AS281" s="406" t="e">
        <f t="shared" ca="1" si="126"/>
        <v>#N/A</v>
      </c>
      <c r="AT281" s="406" t="e">
        <f t="shared" ca="1" si="126"/>
        <v>#N/A</v>
      </c>
      <c r="AU281" s="406" t="e">
        <f t="shared" ca="1" si="126"/>
        <v>#N/A</v>
      </c>
      <c r="AV281" s="406" t="e">
        <f t="shared" ca="1" si="126"/>
        <v>#N/A</v>
      </c>
      <c r="AW281" s="406" t="e">
        <f t="shared" ca="1" si="126"/>
        <v>#N/A</v>
      </c>
      <c r="AX281" s="406" t="e">
        <f t="shared" ca="1" si="126"/>
        <v>#N/A</v>
      </c>
      <c r="AY281" s="406" t="e">
        <f t="shared" ca="1" si="126"/>
        <v>#N/A</v>
      </c>
      <c r="AZ281" s="406" t="e">
        <f t="shared" ca="1" si="126"/>
        <v>#N/A</v>
      </c>
      <c r="BA281" s="406" t="e">
        <f t="shared" ca="1" si="126"/>
        <v>#N/A</v>
      </c>
      <c r="BB281" s="408"/>
      <c r="BC281" s="408" t="str">
        <f t="shared" ca="1" si="125"/>
        <v/>
      </c>
      <c r="BD281" s="408" t="s">
        <v>1278</v>
      </c>
      <c r="BE281" s="408" t="s">
        <v>1278</v>
      </c>
    </row>
    <row r="282" spans="3:57" x14ac:dyDescent="0.25">
      <c r="C282" s="406">
        <f t="shared" si="127"/>
        <v>280</v>
      </c>
      <c r="D282" s="406" t="e">
        <f t="shared" ca="1" si="131"/>
        <v>#N/A</v>
      </c>
      <c r="E282" s="406" t="e">
        <f t="shared" ca="1" si="131"/>
        <v>#N/A</v>
      </c>
      <c r="F282" s="406" t="e">
        <f t="shared" ca="1" si="131"/>
        <v>#N/A</v>
      </c>
      <c r="G282" s="406" t="e">
        <f t="shared" ca="1" si="131"/>
        <v>#N/A</v>
      </c>
      <c r="H282" s="406" t="e">
        <f t="shared" ca="1" si="131"/>
        <v>#N/A</v>
      </c>
      <c r="I282" s="406" t="e">
        <f t="shared" ca="1" si="131"/>
        <v>#N/A</v>
      </c>
      <c r="J282" s="406" t="e">
        <f t="shared" ca="1" si="131"/>
        <v>#N/A</v>
      </c>
      <c r="K282" s="406" t="e">
        <f t="shared" ca="1" si="131"/>
        <v>#N/A</v>
      </c>
      <c r="L282" s="406" t="e">
        <f t="shared" ca="1" si="131"/>
        <v>#N/A</v>
      </c>
      <c r="M282" s="406" t="e">
        <f t="shared" ca="1" si="131"/>
        <v>#N/A</v>
      </c>
      <c r="N282" s="406" t="e">
        <f t="shared" ca="1" si="130"/>
        <v>#N/A</v>
      </c>
      <c r="O282" s="406" t="e">
        <f t="shared" ca="1" si="130"/>
        <v>#N/A</v>
      </c>
      <c r="P282" s="406" t="e">
        <f t="shared" ca="1" si="130"/>
        <v>#N/A</v>
      </c>
      <c r="Q282" s="406" t="e">
        <f t="shared" ca="1" si="130"/>
        <v>#N/A</v>
      </c>
      <c r="R282" s="406" t="e">
        <f t="shared" ca="1" si="130"/>
        <v>#N/A</v>
      </c>
      <c r="S282" s="406" t="e">
        <f t="shared" ca="1" si="130"/>
        <v>#N/A</v>
      </c>
      <c r="T282" s="406" t="e">
        <f t="shared" ca="1" si="130"/>
        <v>#N/A</v>
      </c>
      <c r="U282" s="406" t="e">
        <f t="shared" ca="1" si="130"/>
        <v>#N/A</v>
      </c>
      <c r="V282" s="406" t="e">
        <f t="shared" ca="1" si="130"/>
        <v>#N/A</v>
      </c>
      <c r="W282" s="406" t="e">
        <f t="shared" ca="1" si="130"/>
        <v>#N/A</v>
      </c>
      <c r="X282" s="406" t="e">
        <f t="shared" ca="1" si="128"/>
        <v>#N/A</v>
      </c>
      <c r="Y282" s="406" t="e">
        <f t="shared" ca="1" si="128"/>
        <v>#N/A</v>
      </c>
      <c r="Z282" s="406" t="e">
        <f t="shared" ca="1" si="128"/>
        <v>#N/A</v>
      </c>
      <c r="AA282" s="406" t="e">
        <f t="shared" ca="1" si="128"/>
        <v>#N/A</v>
      </c>
      <c r="AB282" s="406" t="e">
        <f t="shared" ca="1" si="128"/>
        <v>#N/A</v>
      </c>
      <c r="AC282" s="406" t="e">
        <f t="shared" ca="1" si="128"/>
        <v>#N/A</v>
      </c>
      <c r="AD282" s="406" t="e">
        <f t="shared" ca="1" si="128"/>
        <v>#N/A</v>
      </c>
      <c r="AE282" s="406" t="e">
        <f t="shared" ca="1" si="128"/>
        <v>#N/A</v>
      </c>
      <c r="AF282" s="406" t="e">
        <f t="shared" ca="1" si="128"/>
        <v>#N/A</v>
      </c>
      <c r="AG282" s="406" t="e">
        <f t="shared" ca="1" si="128"/>
        <v>#N/A</v>
      </c>
      <c r="AH282" s="406" t="e">
        <f t="shared" ca="1" si="129"/>
        <v>#N/A</v>
      </c>
      <c r="AI282" s="406" t="e">
        <f t="shared" ca="1" si="129"/>
        <v>#N/A</v>
      </c>
      <c r="AJ282" s="406" t="e">
        <f t="shared" ca="1" si="129"/>
        <v>#N/A</v>
      </c>
      <c r="AK282" s="406" t="e">
        <f t="shared" ca="1" si="129"/>
        <v>#N/A</v>
      </c>
      <c r="AL282" s="406" t="e">
        <f t="shared" ca="1" si="129"/>
        <v>#N/A</v>
      </c>
      <c r="AM282" s="406" t="e">
        <f t="shared" ca="1" si="129"/>
        <v>#N/A</v>
      </c>
      <c r="AN282" s="406" t="e">
        <f t="shared" ca="1" si="129"/>
        <v>#N/A</v>
      </c>
      <c r="AO282" s="406" t="e">
        <f t="shared" ca="1" si="129"/>
        <v>#N/A</v>
      </c>
      <c r="AP282" s="406" t="e">
        <f t="shared" ca="1" si="129"/>
        <v>#N/A</v>
      </c>
      <c r="AQ282" s="406" t="e">
        <f t="shared" ca="1" si="129"/>
        <v>#N/A</v>
      </c>
      <c r="AR282" s="406" t="e">
        <f t="shared" ca="1" si="126"/>
        <v>#N/A</v>
      </c>
      <c r="AS282" s="406" t="e">
        <f t="shared" ca="1" si="126"/>
        <v>#N/A</v>
      </c>
      <c r="AT282" s="406" t="e">
        <f t="shared" ca="1" si="126"/>
        <v>#N/A</v>
      </c>
      <c r="AU282" s="406" t="e">
        <f t="shared" ca="1" si="126"/>
        <v>#N/A</v>
      </c>
      <c r="AV282" s="406" t="e">
        <f t="shared" ca="1" si="126"/>
        <v>#N/A</v>
      </c>
      <c r="AW282" s="406" t="e">
        <f t="shared" ca="1" si="126"/>
        <v>#N/A</v>
      </c>
      <c r="AX282" s="406" t="e">
        <f t="shared" ca="1" si="126"/>
        <v>#N/A</v>
      </c>
      <c r="AY282" s="406" t="e">
        <f t="shared" ca="1" si="126"/>
        <v>#N/A</v>
      </c>
      <c r="AZ282" s="406" t="e">
        <f t="shared" ca="1" si="126"/>
        <v>#N/A</v>
      </c>
      <c r="BA282" s="406" t="e">
        <f t="shared" ca="1" si="126"/>
        <v>#N/A</v>
      </c>
      <c r="BB282" s="408"/>
      <c r="BC282" s="408" t="str">
        <f t="shared" ca="1" si="125"/>
        <v/>
      </c>
      <c r="BD282" s="408" t="s">
        <v>1278</v>
      </c>
      <c r="BE282" s="408" t="s">
        <v>1278</v>
      </c>
    </row>
    <row r="283" spans="3:57" x14ac:dyDescent="0.25">
      <c r="C283" s="406">
        <f t="shared" si="127"/>
        <v>281</v>
      </c>
      <c r="D283" s="406" t="e">
        <f t="shared" ca="1" si="131"/>
        <v>#N/A</v>
      </c>
      <c r="E283" s="406" t="e">
        <f t="shared" ca="1" si="131"/>
        <v>#N/A</v>
      </c>
      <c r="F283" s="406" t="e">
        <f t="shared" ca="1" si="131"/>
        <v>#N/A</v>
      </c>
      <c r="G283" s="406" t="e">
        <f t="shared" ca="1" si="131"/>
        <v>#N/A</v>
      </c>
      <c r="H283" s="406" t="e">
        <f t="shared" ca="1" si="131"/>
        <v>#N/A</v>
      </c>
      <c r="I283" s="406" t="e">
        <f t="shared" ca="1" si="131"/>
        <v>#N/A</v>
      </c>
      <c r="J283" s="406" t="e">
        <f t="shared" ca="1" si="131"/>
        <v>#N/A</v>
      </c>
      <c r="K283" s="406" t="e">
        <f t="shared" ca="1" si="131"/>
        <v>#N/A</v>
      </c>
      <c r="L283" s="406" t="e">
        <f t="shared" ca="1" si="131"/>
        <v>#N/A</v>
      </c>
      <c r="M283" s="406" t="e">
        <f t="shared" ca="1" si="131"/>
        <v>#N/A</v>
      </c>
      <c r="N283" s="406" t="e">
        <f t="shared" ca="1" si="130"/>
        <v>#N/A</v>
      </c>
      <c r="O283" s="406" t="e">
        <f t="shared" ca="1" si="130"/>
        <v>#N/A</v>
      </c>
      <c r="P283" s="406" t="e">
        <f t="shared" ca="1" si="130"/>
        <v>#N/A</v>
      </c>
      <c r="Q283" s="406" t="e">
        <f t="shared" ca="1" si="130"/>
        <v>#N/A</v>
      </c>
      <c r="R283" s="406" t="e">
        <f t="shared" ca="1" si="130"/>
        <v>#N/A</v>
      </c>
      <c r="S283" s="406" t="e">
        <f t="shared" ca="1" si="130"/>
        <v>#N/A</v>
      </c>
      <c r="T283" s="406" t="e">
        <f t="shared" ca="1" si="130"/>
        <v>#N/A</v>
      </c>
      <c r="U283" s="406" t="e">
        <f t="shared" ca="1" si="130"/>
        <v>#N/A</v>
      </c>
      <c r="V283" s="406" t="e">
        <f t="shared" ca="1" si="130"/>
        <v>#N/A</v>
      </c>
      <c r="W283" s="406" t="e">
        <f t="shared" ca="1" si="130"/>
        <v>#N/A</v>
      </c>
      <c r="X283" s="406" t="e">
        <f t="shared" ca="1" si="128"/>
        <v>#N/A</v>
      </c>
      <c r="Y283" s="406" t="e">
        <f t="shared" ca="1" si="128"/>
        <v>#N/A</v>
      </c>
      <c r="Z283" s="406" t="e">
        <f t="shared" ca="1" si="128"/>
        <v>#N/A</v>
      </c>
      <c r="AA283" s="406" t="e">
        <f t="shared" ca="1" si="128"/>
        <v>#N/A</v>
      </c>
      <c r="AB283" s="406" t="e">
        <f t="shared" ca="1" si="128"/>
        <v>#N/A</v>
      </c>
      <c r="AC283" s="406" t="e">
        <f t="shared" ca="1" si="128"/>
        <v>#N/A</v>
      </c>
      <c r="AD283" s="406" t="e">
        <f t="shared" ca="1" si="128"/>
        <v>#N/A</v>
      </c>
      <c r="AE283" s="406" t="e">
        <f t="shared" ca="1" si="128"/>
        <v>#N/A</v>
      </c>
      <c r="AF283" s="406" t="e">
        <f t="shared" ca="1" si="128"/>
        <v>#N/A</v>
      </c>
      <c r="AG283" s="406" t="e">
        <f t="shared" ca="1" si="128"/>
        <v>#N/A</v>
      </c>
      <c r="AH283" s="406" t="e">
        <f t="shared" ca="1" si="129"/>
        <v>#N/A</v>
      </c>
      <c r="AI283" s="406" t="e">
        <f t="shared" ca="1" si="129"/>
        <v>#N/A</v>
      </c>
      <c r="AJ283" s="406" t="e">
        <f t="shared" ca="1" si="129"/>
        <v>#N/A</v>
      </c>
      <c r="AK283" s="406" t="e">
        <f t="shared" ca="1" si="129"/>
        <v>#N/A</v>
      </c>
      <c r="AL283" s="406" t="e">
        <f t="shared" ca="1" si="129"/>
        <v>#N/A</v>
      </c>
      <c r="AM283" s="406" t="e">
        <f t="shared" ca="1" si="129"/>
        <v>#N/A</v>
      </c>
      <c r="AN283" s="406" t="e">
        <f t="shared" ca="1" si="129"/>
        <v>#N/A</v>
      </c>
      <c r="AO283" s="406" t="e">
        <f t="shared" ca="1" si="129"/>
        <v>#N/A</v>
      </c>
      <c r="AP283" s="406" t="e">
        <f t="shared" ca="1" si="129"/>
        <v>#N/A</v>
      </c>
      <c r="AQ283" s="406" t="e">
        <f t="shared" ca="1" si="129"/>
        <v>#N/A</v>
      </c>
      <c r="AR283" s="406" t="e">
        <f t="shared" ca="1" si="126"/>
        <v>#N/A</v>
      </c>
      <c r="AS283" s="406" t="e">
        <f t="shared" ca="1" si="126"/>
        <v>#N/A</v>
      </c>
      <c r="AT283" s="406" t="e">
        <f t="shared" ca="1" si="126"/>
        <v>#N/A</v>
      </c>
      <c r="AU283" s="406" t="e">
        <f t="shared" ca="1" si="126"/>
        <v>#N/A</v>
      </c>
      <c r="AV283" s="406" t="e">
        <f t="shared" ca="1" si="126"/>
        <v>#N/A</v>
      </c>
      <c r="AW283" s="406" t="e">
        <f t="shared" ca="1" si="126"/>
        <v>#N/A</v>
      </c>
      <c r="AX283" s="406" t="e">
        <f t="shared" ca="1" si="126"/>
        <v>#N/A</v>
      </c>
      <c r="AY283" s="406" t="e">
        <f t="shared" ca="1" si="126"/>
        <v>#N/A</v>
      </c>
      <c r="AZ283" s="406" t="e">
        <f t="shared" ca="1" si="126"/>
        <v>#N/A</v>
      </c>
      <c r="BA283" s="406" t="e">
        <f t="shared" ca="1" si="126"/>
        <v>#N/A</v>
      </c>
      <c r="BB283" s="408"/>
      <c r="BC283" s="408" t="str">
        <f t="shared" ca="1" si="125"/>
        <v/>
      </c>
      <c r="BD283" s="408" t="s">
        <v>1278</v>
      </c>
      <c r="BE283" s="408" t="s">
        <v>1278</v>
      </c>
    </row>
    <row r="284" spans="3:57" x14ac:dyDescent="0.25">
      <c r="C284" s="406">
        <f t="shared" si="127"/>
        <v>282</v>
      </c>
      <c r="D284" s="406" t="e">
        <f t="shared" ca="1" si="131"/>
        <v>#N/A</v>
      </c>
      <c r="E284" s="406" t="e">
        <f t="shared" ca="1" si="131"/>
        <v>#N/A</v>
      </c>
      <c r="F284" s="406" t="e">
        <f t="shared" ca="1" si="131"/>
        <v>#N/A</v>
      </c>
      <c r="G284" s="406" t="e">
        <f t="shared" ca="1" si="131"/>
        <v>#N/A</v>
      </c>
      <c r="H284" s="406" t="e">
        <f t="shared" ca="1" si="131"/>
        <v>#N/A</v>
      </c>
      <c r="I284" s="406" t="e">
        <f t="shared" ca="1" si="131"/>
        <v>#N/A</v>
      </c>
      <c r="J284" s="406" t="e">
        <f t="shared" ca="1" si="131"/>
        <v>#N/A</v>
      </c>
      <c r="K284" s="406" t="e">
        <f t="shared" ca="1" si="131"/>
        <v>#N/A</v>
      </c>
      <c r="L284" s="406" t="e">
        <f t="shared" ca="1" si="131"/>
        <v>#N/A</v>
      </c>
      <c r="M284" s="406" t="e">
        <f t="shared" ca="1" si="131"/>
        <v>#N/A</v>
      </c>
      <c r="N284" s="406" t="e">
        <f t="shared" ca="1" si="130"/>
        <v>#N/A</v>
      </c>
      <c r="O284" s="406" t="e">
        <f t="shared" ca="1" si="130"/>
        <v>#N/A</v>
      </c>
      <c r="P284" s="406" t="e">
        <f t="shared" ca="1" si="130"/>
        <v>#N/A</v>
      </c>
      <c r="Q284" s="406" t="e">
        <f t="shared" ca="1" si="130"/>
        <v>#N/A</v>
      </c>
      <c r="R284" s="406" t="e">
        <f t="shared" ca="1" si="130"/>
        <v>#N/A</v>
      </c>
      <c r="S284" s="406" t="e">
        <f t="shared" ca="1" si="130"/>
        <v>#N/A</v>
      </c>
      <c r="T284" s="406" t="e">
        <f t="shared" ca="1" si="130"/>
        <v>#N/A</v>
      </c>
      <c r="U284" s="406" t="e">
        <f t="shared" ca="1" si="130"/>
        <v>#N/A</v>
      </c>
      <c r="V284" s="406" t="e">
        <f t="shared" ca="1" si="130"/>
        <v>#N/A</v>
      </c>
      <c r="W284" s="406" t="e">
        <f t="shared" ca="1" si="130"/>
        <v>#N/A</v>
      </c>
      <c r="X284" s="406" t="e">
        <f t="shared" ca="1" si="128"/>
        <v>#N/A</v>
      </c>
      <c r="Y284" s="406" t="e">
        <f t="shared" ca="1" si="128"/>
        <v>#N/A</v>
      </c>
      <c r="Z284" s="406" t="e">
        <f t="shared" ca="1" si="128"/>
        <v>#N/A</v>
      </c>
      <c r="AA284" s="406" t="e">
        <f t="shared" ca="1" si="128"/>
        <v>#N/A</v>
      </c>
      <c r="AB284" s="406" t="e">
        <f t="shared" ca="1" si="128"/>
        <v>#N/A</v>
      </c>
      <c r="AC284" s="406" t="e">
        <f t="shared" ca="1" si="128"/>
        <v>#N/A</v>
      </c>
      <c r="AD284" s="406" t="e">
        <f t="shared" ca="1" si="128"/>
        <v>#N/A</v>
      </c>
      <c r="AE284" s="406" t="e">
        <f t="shared" ca="1" si="128"/>
        <v>#N/A</v>
      </c>
      <c r="AF284" s="406" t="e">
        <f t="shared" ca="1" si="128"/>
        <v>#N/A</v>
      </c>
      <c r="AG284" s="406" t="e">
        <f t="shared" ca="1" si="128"/>
        <v>#N/A</v>
      </c>
      <c r="AH284" s="406" t="e">
        <f t="shared" ca="1" si="129"/>
        <v>#N/A</v>
      </c>
      <c r="AI284" s="406" t="e">
        <f t="shared" ca="1" si="129"/>
        <v>#N/A</v>
      </c>
      <c r="AJ284" s="406" t="e">
        <f t="shared" ca="1" si="129"/>
        <v>#N/A</v>
      </c>
      <c r="AK284" s="406" t="e">
        <f t="shared" ca="1" si="129"/>
        <v>#N/A</v>
      </c>
      <c r="AL284" s="406" t="e">
        <f t="shared" ca="1" si="129"/>
        <v>#N/A</v>
      </c>
      <c r="AM284" s="406" t="e">
        <f t="shared" ca="1" si="129"/>
        <v>#N/A</v>
      </c>
      <c r="AN284" s="406" t="e">
        <f t="shared" ca="1" si="129"/>
        <v>#N/A</v>
      </c>
      <c r="AO284" s="406" t="e">
        <f t="shared" ca="1" si="129"/>
        <v>#N/A</v>
      </c>
      <c r="AP284" s="406" t="e">
        <f t="shared" ca="1" si="129"/>
        <v>#N/A</v>
      </c>
      <c r="AQ284" s="406" t="e">
        <f t="shared" ca="1" si="129"/>
        <v>#N/A</v>
      </c>
      <c r="AR284" s="406" t="e">
        <f t="shared" ca="1" si="126"/>
        <v>#N/A</v>
      </c>
      <c r="AS284" s="406" t="e">
        <f t="shared" ca="1" si="126"/>
        <v>#N/A</v>
      </c>
      <c r="AT284" s="406" t="e">
        <f t="shared" ca="1" si="126"/>
        <v>#N/A</v>
      </c>
      <c r="AU284" s="406" t="e">
        <f t="shared" ca="1" si="126"/>
        <v>#N/A</v>
      </c>
      <c r="AV284" s="406" t="e">
        <f t="shared" ca="1" si="126"/>
        <v>#N/A</v>
      </c>
      <c r="AW284" s="406" t="e">
        <f t="shared" ca="1" si="126"/>
        <v>#N/A</v>
      </c>
      <c r="AX284" s="406" t="e">
        <f t="shared" ca="1" si="126"/>
        <v>#N/A</v>
      </c>
      <c r="AY284" s="406" t="e">
        <f t="shared" ca="1" si="126"/>
        <v>#N/A</v>
      </c>
      <c r="AZ284" s="406" t="e">
        <f t="shared" ca="1" si="126"/>
        <v>#N/A</v>
      </c>
      <c r="BA284" s="406" t="e">
        <f t="shared" ca="1" si="126"/>
        <v>#N/A</v>
      </c>
      <c r="BB284" s="408"/>
      <c r="BC284" s="408" t="str">
        <f t="shared" ca="1" si="125"/>
        <v/>
      </c>
      <c r="BD284" s="408" t="s">
        <v>1278</v>
      </c>
      <c r="BE284" s="408" t="s">
        <v>1278</v>
      </c>
    </row>
    <row r="285" spans="3:57" x14ac:dyDescent="0.25">
      <c r="C285" s="406">
        <f t="shared" si="127"/>
        <v>283</v>
      </c>
      <c r="D285" s="406" t="e">
        <f t="shared" ca="1" si="131"/>
        <v>#N/A</v>
      </c>
      <c r="E285" s="406" t="e">
        <f t="shared" ca="1" si="131"/>
        <v>#N/A</v>
      </c>
      <c r="F285" s="406" t="e">
        <f t="shared" ca="1" si="131"/>
        <v>#N/A</v>
      </c>
      <c r="G285" s="406" t="e">
        <f t="shared" ca="1" si="131"/>
        <v>#N/A</v>
      </c>
      <c r="H285" s="406" t="e">
        <f t="shared" ca="1" si="131"/>
        <v>#N/A</v>
      </c>
      <c r="I285" s="406" t="e">
        <f t="shared" ca="1" si="131"/>
        <v>#N/A</v>
      </c>
      <c r="J285" s="406" t="e">
        <f t="shared" ca="1" si="131"/>
        <v>#N/A</v>
      </c>
      <c r="K285" s="406" t="e">
        <f t="shared" ca="1" si="131"/>
        <v>#N/A</v>
      </c>
      <c r="L285" s="406" t="e">
        <f t="shared" ca="1" si="131"/>
        <v>#N/A</v>
      </c>
      <c r="M285" s="406" t="e">
        <f t="shared" ca="1" si="131"/>
        <v>#N/A</v>
      </c>
      <c r="N285" s="406" t="e">
        <f t="shared" ca="1" si="130"/>
        <v>#N/A</v>
      </c>
      <c r="O285" s="406" t="e">
        <f t="shared" ca="1" si="130"/>
        <v>#N/A</v>
      </c>
      <c r="P285" s="406" t="e">
        <f t="shared" ca="1" si="130"/>
        <v>#N/A</v>
      </c>
      <c r="Q285" s="406" t="e">
        <f t="shared" ca="1" si="130"/>
        <v>#N/A</v>
      </c>
      <c r="R285" s="406" t="e">
        <f t="shared" ca="1" si="130"/>
        <v>#N/A</v>
      </c>
      <c r="S285" s="406" t="e">
        <f t="shared" ca="1" si="130"/>
        <v>#N/A</v>
      </c>
      <c r="T285" s="406" t="e">
        <f t="shared" ca="1" si="130"/>
        <v>#N/A</v>
      </c>
      <c r="U285" s="406" t="e">
        <f t="shared" ca="1" si="130"/>
        <v>#N/A</v>
      </c>
      <c r="V285" s="406" t="e">
        <f t="shared" ca="1" si="130"/>
        <v>#N/A</v>
      </c>
      <c r="W285" s="406" t="e">
        <f t="shared" ca="1" si="130"/>
        <v>#N/A</v>
      </c>
      <c r="X285" s="406" t="e">
        <f t="shared" ca="1" si="128"/>
        <v>#N/A</v>
      </c>
      <c r="Y285" s="406" t="e">
        <f t="shared" ca="1" si="128"/>
        <v>#N/A</v>
      </c>
      <c r="Z285" s="406" t="e">
        <f t="shared" ca="1" si="128"/>
        <v>#N/A</v>
      </c>
      <c r="AA285" s="406" t="e">
        <f t="shared" ca="1" si="128"/>
        <v>#N/A</v>
      </c>
      <c r="AB285" s="406" t="e">
        <f t="shared" ca="1" si="128"/>
        <v>#N/A</v>
      </c>
      <c r="AC285" s="406" t="e">
        <f t="shared" ca="1" si="128"/>
        <v>#N/A</v>
      </c>
      <c r="AD285" s="406" t="e">
        <f t="shared" ca="1" si="128"/>
        <v>#N/A</v>
      </c>
      <c r="AE285" s="406" t="e">
        <f t="shared" ca="1" si="128"/>
        <v>#N/A</v>
      </c>
      <c r="AF285" s="406" t="e">
        <f t="shared" ca="1" si="128"/>
        <v>#N/A</v>
      </c>
      <c r="AG285" s="406" t="e">
        <f t="shared" ca="1" si="128"/>
        <v>#N/A</v>
      </c>
      <c r="AH285" s="406" t="e">
        <f t="shared" ca="1" si="129"/>
        <v>#N/A</v>
      </c>
      <c r="AI285" s="406" t="e">
        <f t="shared" ca="1" si="129"/>
        <v>#N/A</v>
      </c>
      <c r="AJ285" s="406" t="e">
        <f t="shared" ca="1" si="129"/>
        <v>#N/A</v>
      </c>
      <c r="AK285" s="406" t="e">
        <f t="shared" ca="1" si="129"/>
        <v>#N/A</v>
      </c>
      <c r="AL285" s="406" t="e">
        <f t="shared" ca="1" si="129"/>
        <v>#N/A</v>
      </c>
      <c r="AM285" s="406" t="e">
        <f t="shared" ca="1" si="129"/>
        <v>#N/A</v>
      </c>
      <c r="AN285" s="406" t="e">
        <f t="shared" ca="1" si="129"/>
        <v>#N/A</v>
      </c>
      <c r="AO285" s="406" t="e">
        <f t="shared" ca="1" si="129"/>
        <v>#N/A</v>
      </c>
      <c r="AP285" s="406" t="e">
        <f t="shared" ca="1" si="129"/>
        <v>#N/A</v>
      </c>
      <c r="AQ285" s="406" t="e">
        <f t="shared" ca="1" si="129"/>
        <v>#N/A</v>
      </c>
      <c r="AR285" s="406" t="e">
        <f t="shared" ca="1" si="126"/>
        <v>#N/A</v>
      </c>
      <c r="AS285" s="406" t="e">
        <f t="shared" ca="1" si="126"/>
        <v>#N/A</v>
      </c>
      <c r="AT285" s="406" t="e">
        <f t="shared" ca="1" si="126"/>
        <v>#N/A</v>
      </c>
      <c r="AU285" s="406" t="e">
        <f t="shared" ref="AR285:BA310" ca="1" si="132">TRIM(INDIRECT("'" &amp; "TNX RTF" &amp; "'!" &amp; ADDRESS($A$3+$C285,AU$1)))</f>
        <v>#N/A</v>
      </c>
      <c r="AV285" s="406" t="e">
        <f t="shared" ca="1" si="132"/>
        <v>#N/A</v>
      </c>
      <c r="AW285" s="406" t="e">
        <f t="shared" ca="1" si="132"/>
        <v>#N/A</v>
      </c>
      <c r="AX285" s="406" t="e">
        <f t="shared" ca="1" si="132"/>
        <v>#N/A</v>
      </c>
      <c r="AY285" s="406" t="e">
        <f t="shared" ca="1" si="132"/>
        <v>#N/A</v>
      </c>
      <c r="AZ285" s="406" t="e">
        <f t="shared" ca="1" si="132"/>
        <v>#N/A</v>
      </c>
      <c r="BA285" s="406" t="e">
        <f t="shared" ca="1" si="132"/>
        <v>#N/A</v>
      </c>
      <c r="BB285" s="408"/>
      <c r="BC285" s="408" t="str">
        <f t="shared" ca="1" si="125"/>
        <v/>
      </c>
      <c r="BD285" s="408" t="s">
        <v>1278</v>
      </c>
      <c r="BE285" s="408" t="s">
        <v>1278</v>
      </c>
    </row>
    <row r="286" spans="3:57" x14ac:dyDescent="0.25">
      <c r="C286" s="406">
        <f t="shared" si="127"/>
        <v>284</v>
      </c>
      <c r="D286" s="406" t="e">
        <f t="shared" ca="1" si="131"/>
        <v>#N/A</v>
      </c>
      <c r="E286" s="406" t="e">
        <f t="shared" ca="1" si="131"/>
        <v>#N/A</v>
      </c>
      <c r="F286" s="406" t="e">
        <f t="shared" ca="1" si="131"/>
        <v>#N/A</v>
      </c>
      <c r="G286" s="406" t="e">
        <f t="shared" ca="1" si="131"/>
        <v>#N/A</v>
      </c>
      <c r="H286" s="406" t="e">
        <f t="shared" ca="1" si="131"/>
        <v>#N/A</v>
      </c>
      <c r="I286" s="406" t="e">
        <f t="shared" ca="1" si="131"/>
        <v>#N/A</v>
      </c>
      <c r="J286" s="406" t="e">
        <f t="shared" ca="1" si="131"/>
        <v>#N/A</v>
      </c>
      <c r="K286" s="406" t="e">
        <f t="shared" ca="1" si="131"/>
        <v>#N/A</v>
      </c>
      <c r="L286" s="406" t="e">
        <f t="shared" ca="1" si="131"/>
        <v>#N/A</v>
      </c>
      <c r="M286" s="406" t="e">
        <f t="shared" ca="1" si="131"/>
        <v>#N/A</v>
      </c>
      <c r="N286" s="406" t="e">
        <f t="shared" ca="1" si="130"/>
        <v>#N/A</v>
      </c>
      <c r="O286" s="406" t="e">
        <f t="shared" ca="1" si="130"/>
        <v>#N/A</v>
      </c>
      <c r="P286" s="406" t="e">
        <f t="shared" ca="1" si="130"/>
        <v>#N/A</v>
      </c>
      <c r="Q286" s="406" t="e">
        <f t="shared" ca="1" si="130"/>
        <v>#N/A</v>
      </c>
      <c r="R286" s="406" t="e">
        <f t="shared" ca="1" si="130"/>
        <v>#N/A</v>
      </c>
      <c r="S286" s="406" t="e">
        <f t="shared" ca="1" si="130"/>
        <v>#N/A</v>
      </c>
      <c r="T286" s="406" t="e">
        <f t="shared" ca="1" si="130"/>
        <v>#N/A</v>
      </c>
      <c r="U286" s="406" t="e">
        <f t="shared" ca="1" si="130"/>
        <v>#N/A</v>
      </c>
      <c r="V286" s="406" t="e">
        <f t="shared" ca="1" si="130"/>
        <v>#N/A</v>
      </c>
      <c r="W286" s="406" t="e">
        <f t="shared" ca="1" si="130"/>
        <v>#N/A</v>
      </c>
      <c r="X286" s="406" t="e">
        <f t="shared" ca="1" si="128"/>
        <v>#N/A</v>
      </c>
      <c r="Y286" s="406" t="e">
        <f t="shared" ca="1" si="128"/>
        <v>#N/A</v>
      </c>
      <c r="Z286" s="406" t="e">
        <f t="shared" ca="1" si="128"/>
        <v>#N/A</v>
      </c>
      <c r="AA286" s="406" t="e">
        <f t="shared" ca="1" si="128"/>
        <v>#N/A</v>
      </c>
      <c r="AB286" s="406" t="e">
        <f t="shared" ca="1" si="128"/>
        <v>#N/A</v>
      </c>
      <c r="AC286" s="406" t="e">
        <f t="shared" ca="1" si="128"/>
        <v>#N/A</v>
      </c>
      <c r="AD286" s="406" t="e">
        <f t="shared" ca="1" si="128"/>
        <v>#N/A</v>
      </c>
      <c r="AE286" s="406" t="e">
        <f t="shared" ca="1" si="128"/>
        <v>#N/A</v>
      </c>
      <c r="AF286" s="406" t="e">
        <f t="shared" ca="1" si="128"/>
        <v>#N/A</v>
      </c>
      <c r="AG286" s="406" t="e">
        <f t="shared" ca="1" si="128"/>
        <v>#N/A</v>
      </c>
      <c r="AH286" s="406" t="e">
        <f t="shared" ca="1" si="129"/>
        <v>#N/A</v>
      </c>
      <c r="AI286" s="406" t="e">
        <f t="shared" ca="1" si="129"/>
        <v>#N/A</v>
      </c>
      <c r="AJ286" s="406" t="e">
        <f t="shared" ca="1" si="129"/>
        <v>#N/A</v>
      </c>
      <c r="AK286" s="406" t="e">
        <f t="shared" ca="1" si="129"/>
        <v>#N/A</v>
      </c>
      <c r="AL286" s="406" t="e">
        <f t="shared" ca="1" si="129"/>
        <v>#N/A</v>
      </c>
      <c r="AM286" s="406" t="e">
        <f t="shared" ca="1" si="129"/>
        <v>#N/A</v>
      </c>
      <c r="AN286" s="406" t="e">
        <f t="shared" ca="1" si="129"/>
        <v>#N/A</v>
      </c>
      <c r="AO286" s="406" t="e">
        <f t="shared" ca="1" si="129"/>
        <v>#N/A</v>
      </c>
      <c r="AP286" s="406" t="e">
        <f t="shared" ca="1" si="129"/>
        <v>#N/A</v>
      </c>
      <c r="AQ286" s="406" t="e">
        <f t="shared" ca="1" si="129"/>
        <v>#N/A</v>
      </c>
      <c r="AR286" s="406" t="e">
        <f t="shared" ca="1" si="132"/>
        <v>#N/A</v>
      </c>
      <c r="AS286" s="406" t="e">
        <f t="shared" ca="1" si="132"/>
        <v>#N/A</v>
      </c>
      <c r="AT286" s="406" t="e">
        <f t="shared" ca="1" si="132"/>
        <v>#N/A</v>
      </c>
      <c r="AU286" s="406" t="e">
        <f t="shared" ca="1" si="132"/>
        <v>#N/A</v>
      </c>
      <c r="AV286" s="406" t="e">
        <f t="shared" ca="1" si="132"/>
        <v>#N/A</v>
      </c>
      <c r="AW286" s="406" t="e">
        <f t="shared" ca="1" si="132"/>
        <v>#N/A</v>
      </c>
      <c r="AX286" s="406" t="e">
        <f t="shared" ca="1" si="132"/>
        <v>#N/A</v>
      </c>
      <c r="AY286" s="406" t="e">
        <f t="shared" ca="1" si="132"/>
        <v>#N/A</v>
      </c>
      <c r="AZ286" s="406" t="e">
        <f t="shared" ca="1" si="132"/>
        <v>#N/A</v>
      </c>
      <c r="BA286" s="406" t="e">
        <f t="shared" ca="1" si="132"/>
        <v>#N/A</v>
      </c>
      <c r="BB286" s="408"/>
      <c r="BC286" s="408" t="str">
        <f t="shared" ca="1" si="125"/>
        <v/>
      </c>
      <c r="BD286" s="408" t="s">
        <v>1278</v>
      </c>
      <c r="BE286" s="408" t="s">
        <v>1278</v>
      </c>
    </row>
    <row r="287" spans="3:57" ht="15" customHeight="1" x14ac:dyDescent="0.25">
      <c r="C287" s="406">
        <f t="shared" si="127"/>
        <v>285</v>
      </c>
      <c r="D287" s="406" t="e">
        <f t="shared" ca="1" si="131"/>
        <v>#N/A</v>
      </c>
      <c r="E287" s="406" t="e">
        <f t="shared" ca="1" si="131"/>
        <v>#N/A</v>
      </c>
      <c r="F287" s="406" t="e">
        <f t="shared" ca="1" si="131"/>
        <v>#N/A</v>
      </c>
      <c r="G287" s="406" t="e">
        <f t="shared" ca="1" si="131"/>
        <v>#N/A</v>
      </c>
      <c r="H287" s="406" t="e">
        <f t="shared" ca="1" si="131"/>
        <v>#N/A</v>
      </c>
      <c r="I287" s="406" t="e">
        <f t="shared" ca="1" si="131"/>
        <v>#N/A</v>
      </c>
      <c r="J287" s="406" t="e">
        <f t="shared" ca="1" si="131"/>
        <v>#N/A</v>
      </c>
      <c r="K287" s="406" t="e">
        <f t="shared" ca="1" si="131"/>
        <v>#N/A</v>
      </c>
      <c r="L287" s="406" t="e">
        <f t="shared" ca="1" si="131"/>
        <v>#N/A</v>
      </c>
      <c r="M287" s="406" t="e">
        <f t="shared" ca="1" si="131"/>
        <v>#N/A</v>
      </c>
      <c r="N287" s="406" t="e">
        <f t="shared" ca="1" si="130"/>
        <v>#N/A</v>
      </c>
      <c r="O287" s="406" t="e">
        <f t="shared" ca="1" si="130"/>
        <v>#N/A</v>
      </c>
      <c r="P287" s="406" t="e">
        <f t="shared" ca="1" si="130"/>
        <v>#N/A</v>
      </c>
      <c r="Q287" s="406" t="e">
        <f t="shared" ca="1" si="130"/>
        <v>#N/A</v>
      </c>
      <c r="R287" s="406" t="e">
        <f t="shared" ca="1" si="130"/>
        <v>#N/A</v>
      </c>
      <c r="S287" s="406" t="e">
        <f t="shared" ca="1" si="130"/>
        <v>#N/A</v>
      </c>
      <c r="T287" s="406" t="e">
        <f t="shared" ca="1" si="130"/>
        <v>#N/A</v>
      </c>
      <c r="U287" s="406" t="e">
        <f t="shared" ca="1" si="130"/>
        <v>#N/A</v>
      </c>
      <c r="V287" s="406" t="e">
        <f t="shared" ca="1" si="130"/>
        <v>#N/A</v>
      </c>
      <c r="W287" s="406" t="e">
        <f t="shared" ca="1" si="130"/>
        <v>#N/A</v>
      </c>
      <c r="X287" s="406" t="e">
        <f t="shared" ca="1" si="128"/>
        <v>#N/A</v>
      </c>
      <c r="Y287" s="406" t="e">
        <f t="shared" ca="1" si="128"/>
        <v>#N/A</v>
      </c>
      <c r="Z287" s="406" t="e">
        <f t="shared" ca="1" si="128"/>
        <v>#N/A</v>
      </c>
      <c r="AA287" s="406" t="e">
        <f t="shared" ca="1" si="128"/>
        <v>#N/A</v>
      </c>
      <c r="AB287" s="406" t="e">
        <f t="shared" ca="1" si="128"/>
        <v>#N/A</v>
      </c>
      <c r="AC287" s="406" t="e">
        <f t="shared" ca="1" si="128"/>
        <v>#N/A</v>
      </c>
      <c r="AD287" s="406" t="e">
        <f t="shared" ca="1" si="128"/>
        <v>#N/A</v>
      </c>
      <c r="AE287" s="406" t="e">
        <f t="shared" ca="1" si="128"/>
        <v>#N/A</v>
      </c>
      <c r="AF287" s="406" t="e">
        <f t="shared" ca="1" si="128"/>
        <v>#N/A</v>
      </c>
      <c r="AG287" s="406" t="e">
        <f t="shared" ca="1" si="128"/>
        <v>#N/A</v>
      </c>
      <c r="AH287" s="406" t="e">
        <f t="shared" ca="1" si="129"/>
        <v>#N/A</v>
      </c>
      <c r="AI287" s="406" t="e">
        <f t="shared" ca="1" si="129"/>
        <v>#N/A</v>
      </c>
      <c r="AJ287" s="406" t="e">
        <f t="shared" ca="1" si="129"/>
        <v>#N/A</v>
      </c>
      <c r="AK287" s="406" t="e">
        <f t="shared" ca="1" si="129"/>
        <v>#N/A</v>
      </c>
      <c r="AL287" s="406" t="e">
        <f t="shared" ca="1" si="129"/>
        <v>#N/A</v>
      </c>
      <c r="AM287" s="406" t="e">
        <f t="shared" ca="1" si="129"/>
        <v>#N/A</v>
      </c>
      <c r="AN287" s="406" t="e">
        <f t="shared" ca="1" si="129"/>
        <v>#N/A</v>
      </c>
      <c r="AO287" s="406" t="e">
        <f t="shared" ca="1" si="129"/>
        <v>#N/A</v>
      </c>
      <c r="AP287" s="406" t="e">
        <f t="shared" ca="1" si="129"/>
        <v>#N/A</v>
      </c>
      <c r="AQ287" s="406" t="e">
        <f t="shared" ca="1" si="129"/>
        <v>#N/A</v>
      </c>
      <c r="AR287" s="406" t="e">
        <f t="shared" ca="1" si="132"/>
        <v>#N/A</v>
      </c>
      <c r="AS287" s="406" t="e">
        <f t="shared" ca="1" si="132"/>
        <v>#N/A</v>
      </c>
      <c r="AT287" s="406" t="e">
        <f t="shared" ca="1" si="132"/>
        <v>#N/A</v>
      </c>
      <c r="AU287" s="406" t="e">
        <f t="shared" ca="1" si="132"/>
        <v>#N/A</v>
      </c>
      <c r="AV287" s="406" t="e">
        <f t="shared" ca="1" si="132"/>
        <v>#N/A</v>
      </c>
      <c r="AW287" s="406" t="e">
        <f t="shared" ca="1" si="132"/>
        <v>#N/A</v>
      </c>
      <c r="AX287" s="406" t="e">
        <f t="shared" ca="1" si="132"/>
        <v>#N/A</v>
      </c>
      <c r="AY287" s="406" t="e">
        <f t="shared" ca="1" si="132"/>
        <v>#N/A</v>
      </c>
      <c r="AZ287" s="406" t="e">
        <f t="shared" ca="1" si="132"/>
        <v>#N/A</v>
      </c>
      <c r="BA287" s="406" t="e">
        <f t="shared" ca="1" si="132"/>
        <v>#N/A</v>
      </c>
      <c r="BB287" s="408"/>
      <c r="BC287" s="408" t="str">
        <f t="shared" ca="1" si="125"/>
        <v/>
      </c>
      <c r="BD287" s="408" t="s">
        <v>1278</v>
      </c>
      <c r="BE287" s="408" t="s">
        <v>1278</v>
      </c>
    </row>
    <row r="288" spans="3:57" x14ac:dyDescent="0.25">
      <c r="C288" s="406">
        <f t="shared" si="127"/>
        <v>286</v>
      </c>
      <c r="D288" s="406" t="e">
        <f t="shared" ca="1" si="131"/>
        <v>#N/A</v>
      </c>
      <c r="E288" s="406" t="e">
        <f t="shared" ca="1" si="131"/>
        <v>#N/A</v>
      </c>
      <c r="F288" s="406" t="e">
        <f t="shared" ca="1" si="131"/>
        <v>#N/A</v>
      </c>
      <c r="G288" s="406" t="e">
        <f t="shared" ca="1" si="131"/>
        <v>#N/A</v>
      </c>
      <c r="H288" s="406" t="e">
        <f t="shared" ca="1" si="131"/>
        <v>#N/A</v>
      </c>
      <c r="I288" s="406" t="e">
        <f t="shared" ca="1" si="131"/>
        <v>#N/A</v>
      </c>
      <c r="J288" s="406" t="e">
        <f t="shared" ca="1" si="131"/>
        <v>#N/A</v>
      </c>
      <c r="K288" s="406" t="e">
        <f t="shared" ca="1" si="131"/>
        <v>#N/A</v>
      </c>
      <c r="L288" s="406" t="e">
        <f t="shared" ca="1" si="131"/>
        <v>#N/A</v>
      </c>
      <c r="M288" s="406" t="e">
        <f t="shared" ca="1" si="131"/>
        <v>#N/A</v>
      </c>
      <c r="N288" s="406" t="e">
        <f t="shared" ca="1" si="130"/>
        <v>#N/A</v>
      </c>
      <c r="O288" s="406" t="e">
        <f t="shared" ca="1" si="130"/>
        <v>#N/A</v>
      </c>
      <c r="P288" s="406" t="e">
        <f t="shared" ca="1" si="130"/>
        <v>#N/A</v>
      </c>
      <c r="Q288" s="406" t="e">
        <f t="shared" ca="1" si="130"/>
        <v>#N/A</v>
      </c>
      <c r="R288" s="406" t="e">
        <f t="shared" ca="1" si="130"/>
        <v>#N/A</v>
      </c>
      <c r="S288" s="406" t="e">
        <f t="shared" ca="1" si="130"/>
        <v>#N/A</v>
      </c>
      <c r="T288" s="406" t="e">
        <f t="shared" ca="1" si="130"/>
        <v>#N/A</v>
      </c>
      <c r="U288" s="406" t="e">
        <f t="shared" ca="1" si="130"/>
        <v>#N/A</v>
      </c>
      <c r="V288" s="406" t="e">
        <f t="shared" ca="1" si="130"/>
        <v>#N/A</v>
      </c>
      <c r="W288" s="406" t="e">
        <f t="shared" ca="1" si="130"/>
        <v>#N/A</v>
      </c>
      <c r="X288" s="406" t="e">
        <f t="shared" ca="1" si="128"/>
        <v>#N/A</v>
      </c>
      <c r="Y288" s="406" t="e">
        <f t="shared" ca="1" si="128"/>
        <v>#N/A</v>
      </c>
      <c r="Z288" s="406" t="e">
        <f t="shared" ca="1" si="128"/>
        <v>#N/A</v>
      </c>
      <c r="AA288" s="406" t="e">
        <f t="shared" ca="1" si="128"/>
        <v>#N/A</v>
      </c>
      <c r="AB288" s="406" t="e">
        <f t="shared" ca="1" si="128"/>
        <v>#N/A</v>
      </c>
      <c r="AC288" s="406" t="e">
        <f t="shared" ca="1" si="128"/>
        <v>#N/A</v>
      </c>
      <c r="AD288" s="406" t="e">
        <f t="shared" ca="1" si="128"/>
        <v>#N/A</v>
      </c>
      <c r="AE288" s="406" t="e">
        <f t="shared" ca="1" si="128"/>
        <v>#N/A</v>
      </c>
      <c r="AF288" s="406" t="e">
        <f t="shared" ca="1" si="128"/>
        <v>#N/A</v>
      </c>
      <c r="AG288" s="406" t="e">
        <f t="shared" ca="1" si="128"/>
        <v>#N/A</v>
      </c>
      <c r="AH288" s="406" t="e">
        <f t="shared" ca="1" si="129"/>
        <v>#N/A</v>
      </c>
      <c r="AI288" s="406" t="e">
        <f t="shared" ca="1" si="129"/>
        <v>#N/A</v>
      </c>
      <c r="AJ288" s="406" t="e">
        <f t="shared" ca="1" si="129"/>
        <v>#N/A</v>
      </c>
      <c r="AK288" s="406" t="e">
        <f t="shared" ca="1" si="129"/>
        <v>#N/A</v>
      </c>
      <c r="AL288" s="406" t="e">
        <f t="shared" ca="1" si="129"/>
        <v>#N/A</v>
      </c>
      <c r="AM288" s="406" t="e">
        <f t="shared" ca="1" si="129"/>
        <v>#N/A</v>
      </c>
      <c r="AN288" s="406" t="e">
        <f t="shared" ca="1" si="129"/>
        <v>#N/A</v>
      </c>
      <c r="AO288" s="406" t="e">
        <f t="shared" ca="1" si="129"/>
        <v>#N/A</v>
      </c>
      <c r="AP288" s="406" t="e">
        <f t="shared" ca="1" si="129"/>
        <v>#N/A</v>
      </c>
      <c r="AQ288" s="406" t="e">
        <f t="shared" ca="1" si="129"/>
        <v>#N/A</v>
      </c>
      <c r="AR288" s="406" t="e">
        <f t="shared" ca="1" si="132"/>
        <v>#N/A</v>
      </c>
      <c r="AS288" s="406" t="e">
        <f t="shared" ca="1" si="132"/>
        <v>#N/A</v>
      </c>
      <c r="AT288" s="406" t="e">
        <f t="shared" ca="1" si="132"/>
        <v>#N/A</v>
      </c>
      <c r="AU288" s="406" t="e">
        <f t="shared" ca="1" si="132"/>
        <v>#N/A</v>
      </c>
      <c r="AV288" s="406" t="e">
        <f t="shared" ca="1" si="132"/>
        <v>#N/A</v>
      </c>
      <c r="AW288" s="406" t="e">
        <f t="shared" ca="1" si="132"/>
        <v>#N/A</v>
      </c>
      <c r="AX288" s="406" t="e">
        <f t="shared" ca="1" si="132"/>
        <v>#N/A</v>
      </c>
      <c r="AY288" s="406" t="e">
        <f t="shared" ca="1" si="132"/>
        <v>#N/A</v>
      </c>
      <c r="AZ288" s="406" t="e">
        <f t="shared" ca="1" si="132"/>
        <v>#N/A</v>
      </c>
      <c r="BA288" s="406" t="e">
        <f t="shared" ca="1" si="132"/>
        <v>#N/A</v>
      </c>
      <c r="BB288" s="408"/>
      <c r="BC288" s="408" t="str">
        <f t="shared" ca="1" si="125"/>
        <v/>
      </c>
      <c r="BD288" s="408" t="s">
        <v>1278</v>
      </c>
      <c r="BE288" s="408" t="s">
        <v>1278</v>
      </c>
    </row>
    <row r="289" spans="3:57" x14ac:dyDescent="0.25">
      <c r="C289" s="406">
        <f t="shared" si="127"/>
        <v>287</v>
      </c>
      <c r="D289" s="406" t="e">
        <f t="shared" ca="1" si="131"/>
        <v>#N/A</v>
      </c>
      <c r="E289" s="406" t="e">
        <f t="shared" ca="1" si="131"/>
        <v>#N/A</v>
      </c>
      <c r="F289" s="406" t="e">
        <f t="shared" ca="1" si="131"/>
        <v>#N/A</v>
      </c>
      <c r="G289" s="406" t="e">
        <f t="shared" ca="1" si="131"/>
        <v>#N/A</v>
      </c>
      <c r="H289" s="406" t="e">
        <f t="shared" ca="1" si="131"/>
        <v>#N/A</v>
      </c>
      <c r="I289" s="406" t="e">
        <f t="shared" ca="1" si="131"/>
        <v>#N/A</v>
      </c>
      <c r="J289" s="406" t="e">
        <f t="shared" ca="1" si="131"/>
        <v>#N/A</v>
      </c>
      <c r="K289" s="406" t="e">
        <f t="shared" ca="1" si="131"/>
        <v>#N/A</v>
      </c>
      <c r="L289" s="406" t="e">
        <f t="shared" ca="1" si="131"/>
        <v>#N/A</v>
      </c>
      <c r="M289" s="406" t="e">
        <f t="shared" ca="1" si="131"/>
        <v>#N/A</v>
      </c>
      <c r="N289" s="406" t="e">
        <f t="shared" ca="1" si="130"/>
        <v>#N/A</v>
      </c>
      <c r="O289" s="406" t="e">
        <f t="shared" ca="1" si="130"/>
        <v>#N/A</v>
      </c>
      <c r="P289" s="406" t="e">
        <f t="shared" ca="1" si="130"/>
        <v>#N/A</v>
      </c>
      <c r="Q289" s="406" t="e">
        <f t="shared" ca="1" si="130"/>
        <v>#N/A</v>
      </c>
      <c r="R289" s="406" t="e">
        <f t="shared" ca="1" si="130"/>
        <v>#N/A</v>
      </c>
      <c r="S289" s="406" t="e">
        <f t="shared" ca="1" si="130"/>
        <v>#N/A</v>
      </c>
      <c r="T289" s="406" t="e">
        <f t="shared" ca="1" si="130"/>
        <v>#N/A</v>
      </c>
      <c r="U289" s="406" t="e">
        <f t="shared" ca="1" si="130"/>
        <v>#N/A</v>
      </c>
      <c r="V289" s="406" t="e">
        <f t="shared" ca="1" si="130"/>
        <v>#N/A</v>
      </c>
      <c r="W289" s="406" t="e">
        <f t="shared" ca="1" si="130"/>
        <v>#N/A</v>
      </c>
      <c r="X289" s="406" t="e">
        <f t="shared" ca="1" si="130"/>
        <v>#N/A</v>
      </c>
      <c r="Y289" s="406" t="e">
        <f t="shared" ref="X289:AG314" ca="1" si="133">TRIM(INDIRECT("'" &amp; "TNX RTF" &amp; "'!" &amp; ADDRESS($A$3+$C289,Y$1)))</f>
        <v>#N/A</v>
      </c>
      <c r="Z289" s="406" t="e">
        <f t="shared" ca="1" si="133"/>
        <v>#N/A</v>
      </c>
      <c r="AA289" s="406" t="e">
        <f t="shared" ca="1" si="133"/>
        <v>#N/A</v>
      </c>
      <c r="AB289" s="406" t="e">
        <f t="shared" ca="1" si="133"/>
        <v>#N/A</v>
      </c>
      <c r="AC289" s="406" t="e">
        <f t="shared" ca="1" si="133"/>
        <v>#N/A</v>
      </c>
      <c r="AD289" s="406" t="e">
        <f t="shared" ca="1" si="133"/>
        <v>#N/A</v>
      </c>
      <c r="AE289" s="406" t="e">
        <f t="shared" ca="1" si="133"/>
        <v>#N/A</v>
      </c>
      <c r="AF289" s="406" t="e">
        <f t="shared" ca="1" si="133"/>
        <v>#N/A</v>
      </c>
      <c r="AG289" s="406" t="e">
        <f t="shared" ca="1" si="133"/>
        <v>#N/A</v>
      </c>
      <c r="AH289" s="406" t="e">
        <f t="shared" ca="1" si="129"/>
        <v>#N/A</v>
      </c>
      <c r="AI289" s="406" t="e">
        <f t="shared" ca="1" si="129"/>
        <v>#N/A</v>
      </c>
      <c r="AJ289" s="406" t="e">
        <f t="shared" ca="1" si="129"/>
        <v>#N/A</v>
      </c>
      <c r="AK289" s="406" t="e">
        <f t="shared" ca="1" si="129"/>
        <v>#N/A</v>
      </c>
      <c r="AL289" s="406" t="e">
        <f t="shared" ca="1" si="129"/>
        <v>#N/A</v>
      </c>
      <c r="AM289" s="406" t="e">
        <f t="shared" ca="1" si="129"/>
        <v>#N/A</v>
      </c>
      <c r="AN289" s="406" t="e">
        <f t="shared" ca="1" si="129"/>
        <v>#N/A</v>
      </c>
      <c r="AO289" s="406" t="e">
        <f t="shared" ca="1" si="129"/>
        <v>#N/A</v>
      </c>
      <c r="AP289" s="406" t="e">
        <f t="shared" ca="1" si="129"/>
        <v>#N/A</v>
      </c>
      <c r="AQ289" s="406" t="e">
        <f t="shared" ca="1" si="129"/>
        <v>#N/A</v>
      </c>
      <c r="AR289" s="406" t="e">
        <f t="shared" ca="1" si="132"/>
        <v>#N/A</v>
      </c>
      <c r="AS289" s="406" t="e">
        <f t="shared" ca="1" si="132"/>
        <v>#N/A</v>
      </c>
      <c r="AT289" s="406" t="e">
        <f t="shared" ca="1" si="132"/>
        <v>#N/A</v>
      </c>
      <c r="AU289" s="406" t="e">
        <f t="shared" ca="1" si="132"/>
        <v>#N/A</v>
      </c>
      <c r="AV289" s="406" t="e">
        <f t="shared" ca="1" si="132"/>
        <v>#N/A</v>
      </c>
      <c r="AW289" s="406" t="e">
        <f t="shared" ca="1" si="132"/>
        <v>#N/A</v>
      </c>
      <c r="AX289" s="406" t="e">
        <f t="shared" ca="1" si="132"/>
        <v>#N/A</v>
      </c>
      <c r="AY289" s="406" t="e">
        <f t="shared" ca="1" si="132"/>
        <v>#N/A</v>
      </c>
      <c r="AZ289" s="406" t="e">
        <f t="shared" ca="1" si="132"/>
        <v>#N/A</v>
      </c>
      <c r="BA289" s="406" t="e">
        <f t="shared" ca="1" si="132"/>
        <v>#N/A</v>
      </c>
      <c r="BB289" s="408"/>
      <c r="BC289" s="408" t="str">
        <f t="shared" ca="1" si="125"/>
        <v/>
      </c>
      <c r="BD289" s="408" t="s">
        <v>1278</v>
      </c>
      <c r="BE289" s="408" t="s">
        <v>1278</v>
      </c>
    </row>
    <row r="290" spans="3:57" ht="15" customHeight="1" x14ac:dyDescent="0.25">
      <c r="C290" s="406">
        <f t="shared" si="127"/>
        <v>288</v>
      </c>
      <c r="D290" s="406" t="e">
        <f t="shared" ca="1" si="131"/>
        <v>#N/A</v>
      </c>
      <c r="E290" s="406" t="e">
        <f t="shared" ca="1" si="131"/>
        <v>#N/A</v>
      </c>
      <c r="F290" s="406" t="e">
        <f t="shared" ca="1" si="131"/>
        <v>#N/A</v>
      </c>
      <c r="G290" s="406" t="e">
        <f t="shared" ca="1" si="131"/>
        <v>#N/A</v>
      </c>
      <c r="H290" s="406" t="e">
        <f t="shared" ca="1" si="131"/>
        <v>#N/A</v>
      </c>
      <c r="I290" s="406" t="e">
        <f t="shared" ca="1" si="131"/>
        <v>#N/A</v>
      </c>
      <c r="J290" s="406" t="e">
        <f t="shared" ca="1" si="131"/>
        <v>#N/A</v>
      </c>
      <c r="K290" s="406" t="e">
        <f t="shared" ca="1" si="131"/>
        <v>#N/A</v>
      </c>
      <c r="L290" s="406" t="e">
        <f t="shared" ca="1" si="131"/>
        <v>#N/A</v>
      </c>
      <c r="M290" s="406" t="e">
        <f t="shared" ca="1" si="131"/>
        <v>#N/A</v>
      </c>
      <c r="N290" s="406" t="e">
        <f t="shared" ca="1" si="130"/>
        <v>#N/A</v>
      </c>
      <c r="O290" s="406" t="e">
        <f t="shared" ca="1" si="130"/>
        <v>#N/A</v>
      </c>
      <c r="P290" s="406" t="e">
        <f t="shared" ca="1" si="130"/>
        <v>#N/A</v>
      </c>
      <c r="Q290" s="406" t="e">
        <f t="shared" ca="1" si="130"/>
        <v>#N/A</v>
      </c>
      <c r="R290" s="406" t="e">
        <f t="shared" ca="1" si="130"/>
        <v>#N/A</v>
      </c>
      <c r="S290" s="406" t="e">
        <f t="shared" ca="1" si="130"/>
        <v>#N/A</v>
      </c>
      <c r="T290" s="406" t="e">
        <f t="shared" ca="1" si="130"/>
        <v>#N/A</v>
      </c>
      <c r="U290" s="406" t="e">
        <f t="shared" ca="1" si="130"/>
        <v>#N/A</v>
      </c>
      <c r="V290" s="406" t="e">
        <f t="shared" ca="1" si="130"/>
        <v>#N/A</v>
      </c>
      <c r="W290" s="406" t="e">
        <f t="shared" ca="1" si="130"/>
        <v>#N/A</v>
      </c>
      <c r="X290" s="406" t="e">
        <f t="shared" ca="1" si="133"/>
        <v>#N/A</v>
      </c>
      <c r="Y290" s="406" t="e">
        <f t="shared" ca="1" si="133"/>
        <v>#N/A</v>
      </c>
      <c r="Z290" s="406" t="e">
        <f t="shared" ca="1" si="133"/>
        <v>#N/A</v>
      </c>
      <c r="AA290" s="406" t="e">
        <f t="shared" ca="1" si="133"/>
        <v>#N/A</v>
      </c>
      <c r="AB290" s="406" t="e">
        <f t="shared" ca="1" si="133"/>
        <v>#N/A</v>
      </c>
      <c r="AC290" s="406" t="e">
        <f t="shared" ca="1" si="133"/>
        <v>#N/A</v>
      </c>
      <c r="AD290" s="406" t="e">
        <f t="shared" ca="1" si="133"/>
        <v>#N/A</v>
      </c>
      <c r="AE290" s="406" t="e">
        <f t="shared" ca="1" si="133"/>
        <v>#N/A</v>
      </c>
      <c r="AF290" s="406" t="e">
        <f t="shared" ca="1" si="133"/>
        <v>#N/A</v>
      </c>
      <c r="AG290" s="406" t="e">
        <f t="shared" ca="1" si="133"/>
        <v>#N/A</v>
      </c>
      <c r="AH290" s="406" t="e">
        <f t="shared" ca="1" si="129"/>
        <v>#N/A</v>
      </c>
      <c r="AI290" s="406" t="e">
        <f t="shared" ca="1" si="129"/>
        <v>#N/A</v>
      </c>
      <c r="AJ290" s="406" t="e">
        <f t="shared" ca="1" si="129"/>
        <v>#N/A</v>
      </c>
      <c r="AK290" s="406" t="e">
        <f t="shared" ca="1" si="129"/>
        <v>#N/A</v>
      </c>
      <c r="AL290" s="406" t="e">
        <f t="shared" ca="1" si="129"/>
        <v>#N/A</v>
      </c>
      <c r="AM290" s="406" t="e">
        <f t="shared" ca="1" si="129"/>
        <v>#N/A</v>
      </c>
      <c r="AN290" s="406" t="e">
        <f t="shared" ca="1" si="129"/>
        <v>#N/A</v>
      </c>
      <c r="AO290" s="406" t="e">
        <f t="shared" ca="1" si="129"/>
        <v>#N/A</v>
      </c>
      <c r="AP290" s="406" t="e">
        <f t="shared" ca="1" si="129"/>
        <v>#N/A</v>
      </c>
      <c r="AQ290" s="406" t="e">
        <f t="shared" ca="1" si="129"/>
        <v>#N/A</v>
      </c>
      <c r="AR290" s="406" t="e">
        <f t="shared" ca="1" si="132"/>
        <v>#N/A</v>
      </c>
      <c r="AS290" s="406" t="e">
        <f t="shared" ca="1" si="132"/>
        <v>#N/A</v>
      </c>
      <c r="AT290" s="406" t="e">
        <f t="shared" ca="1" si="132"/>
        <v>#N/A</v>
      </c>
      <c r="AU290" s="406" t="e">
        <f t="shared" ca="1" si="132"/>
        <v>#N/A</v>
      </c>
      <c r="AV290" s="406" t="e">
        <f t="shared" ca="1" si="132"/>
        <v>#N/A</v>
      </c>
      <c r="AW290" s="406" t="e">
        <f t="shared" ca="1" si="132"/>
        <v>#N/A</v>
      </c>
      <c r="AX290" s="406" t="e">
        <f t="shared" ca="1" si="132"/>
        <v>#N/A</v>
      </c>
      <c r="AY290" s="406" t="e">
        <f t="shared" ca="1" si="132"/>
        <v>#N/A</v>
      </c>
      <c r="AZ290" s="406" t="e">
        <f t="shared" ca="1" si="132"/>
        <v>#N/A</v>
      </c>
      <c r="BA290" s="406" t="e">
        <f t="shared" ca="1" si="132"/>
        <v>#N/A</v>
      </c>
      <c r="BB290" s="408"/>
      <c r="BC290" s="408" t="str">
        <f t="shared" ca="1" si="125"/>
        <v/>
      </c>
      <c r="BD290" s="408" t="s">
        <v>1278</v>
      </c>
      <c r="BE290" s="408" t="s">
        <v>1278</v>
      </c>
    </row>
    <row r="291" spans="3:57" x14ac:dyDescent="0.25">
      <c r="C291" s="406">
        <f t="shared" si="127"/>
        <v>289</v>
      </c>
      <c r="D291" s="406" t="e">
        <f t="shared" ca="1" si="131"/>
        <v>#N/A</v>
      </c>
      <c r="E291" s="406" t="e">
        <f t="shared" ca="1" si="131"/>
        <v>#N/A</v>
      </c>
      <c r="F291" s="406" t="e">
        <f t="shared" ca="1" si="131"/>
        <v>#N/A</v>
      </c>
      <c r="G291" s="406" t="e">
        <f t="shared" ca="1" si="131"/>
        <v>#N/A</v>
      </c>
      <c r="H291" s="406" t="e">
        <f t="shared" ca="1" si="131"/>
        <v>#N/A</v>
      </c>
      <c r="I291" s="406" t="e">
        <f t="shared" ca="1" si="131"/>
        <v>#N/A</v>
      </c>
      <c r="J291" s="406" t="e">
        <f t="shared" ca="1" si="131"/>
        <v>#N/A</v>
      </c>
      <c r="K291" s="406" t="e">
        <f t="shared" ca="1" si="131"/>
        <v>#N/A</v>
      </c>
      <c r="L291" s="406" t="e">
        <f t="shared" ca="1" si="131"/>
        <v>#N/A</v>
      </c>
      <c r="M291" s="406" t="e">
        <f t="shared" ca="1" si="131"/>
        <v>#N/A</v>
      </c>
      <c r="N291" s="406" t="e">
        <f t="shared" ca="1" si="130"/>
        <v>#N/A</v>
      </c>
      <c r="O291" s="406" t="e">
        <f t="shared" ca="1" si="130"/>
        <v>#N/A</v>
      </c>
      <c r="P291" s="406" t="e">
        <f t="shared" ca="1" si="130"/>
        <v>#N/A</v>
      </c>
      <c r="Q291" s="406" t="e">
        <f t="shared" ca="1" si="130"/>
        <v>#N/A</v>
      </c>
      <c r="R291" s="406" t="e">
        <f t="shared" ca="1" si="130"/>
        <v>#N/A</v>
      </c>
      <c r="S291" s="406" t="e">
        <f t="shared" ca="1" si="130"/>
        <v>#N/A</v>
      </c>
      <c r="T291" s="406" t="e">
        <f t="shared" ca="1" si="130"/>
        <v>#N/A</v>
      </c>
      <c r="U291" s="406" t="e">
        <f t="shared" ca="1" si="130"/>
        <v>#N/A</v>
      </c>
      <c r="V291" s="406" t="e">
        <f t="shared" ca="1" si="130"/>
        <v>#N/A</v>
      </c>
      <c r="W291" s="406" t="e">
        <f t="shared" ca="1" si="130"/>
        <v>#N/A</v>
      </c>
      <c r="X291" s="406" t="e">
        <f t="shared" ca="1" si="133"/>
        <v>#N/A</v>
      </c>
      <c r="Y291" s="406" t="e">
        <f t="shared" ca="1" si="133"/>
        <v>#N/A</v>
      </c>
      <c r="Z291" s="406" t="e">
        <f t="shared" ca="1" si="133"/>
        <v>#N/A</v>
      </c>
      <c r="AA291" s="406" t="e">
        <f t="shared" ca="1" si="133"/>
        <v>#N/A</v>
      </c>
      <c r="AB291" s="406" t="e">
        <f t="shared" ca="1" si="133"/>
        <v>#N/A</v>
      </c>
      <c r="AC291" s="406" t="e">
        <f t="shared" ca="1" si="133"/>
        <v>#N/A</v>
      </c>
      <c r="AD291" s="406" t="e">
        <f t="shared" ca="1" si="133"/>
        <v>#N/A</v>
      </c>
      <c r="AE291" s="406" t="e">
        <f t="shared" ca="1" si="133"/>
        <v>#N/A</v>
      </c>
      <c r="AF291" s="406" t="e">
        <f t="shared" ca="1" si="133"/>
        <v>#N/A</v>
      </c>
      <c r="AG291" s="406" t="e">
        <f t="shared" ca="1" si="133"/>
        <v>#N/A</v>
      </c>
      <c r="AH291" s="406" t="e">
        <f t="shared" ca="1" si="129"/>
        <v>#N/A</v>
      </c>
      <c r="AI291" s="406" t="e">
        <f t="shared" ca="1" si="129"/>
        <v>#N/A</v>
      </c>
      <c r="AJ291" s="406" t="e">
        <f t="shared" ca="1" si="129"/>
        <v>#N/A</v>
      </c>
      <c r="AK291" s="406" t="e">
        <f t="shared" ca="1" si="129"/>
        <v>#N/A</v>
      </c>
      <c r="AL291" s="406" t="e">
        <f t="shared" ca="1" si="129"/>
        <v>#N/A</v>
      </c>
      <c r="AM291" s="406" t="e">
        <f t="shared" ca="1" si="129"/>
        <v>#N/A</v>
      </c>
      <c r="AN291" s="406" t="e">
        <f t="shared" ca="1" si="129"/>
        <v>#N/A</v>
      </c>
      <c r="AO291" s="406" t="e">
        <f t="shared" ca="1" si="129"/>
        <v>#N/A</v>
      </c>
      <c r="AP291" s="406" t="e">
        <f t="shared" ca="1" si="129"/>
        <v>#N/A</v>
      </c>
      <c r="AQ291" s="406" t="e">
        <f t="shared" ca="1" si="129"/>
        <v>#N/A</v>
      </c>
      <c r="AR291" s="406" t="e">
        <f t="shared" ca="1" si="132"/>
        <v>#N/A</v>
      </c>
      <c r="AS291" s="406" t="e">
        <f t="shared" ca="1" si="132"/>
        <v>#N/A</v>
      </c>
      <c r="AT291" s="406" t="e">
        <f t="shared" ca="1" si="132"/>
        <v>#N/A</v>
      </c>
      <c r="AU291" s="406" t="e">
        <f t="shared" ca="1" si="132"/>
        <v>#N/A</v>
      </c>
      <c r="AV291" s="406" t="e">
        <f t="shared" ca="1" si="132"/>
        <v>#N/A</v>
      </c>
      <c r="AW291" s="406" t="e">
        <f t="shared" ca="1" si="132"/>
        <v>#N/A</v>
      </c>
      <c r="AX291" s="406" t="e">
        <f t="shared" ca="1" si="132"/>
        <v>#N/A</v>
      </c>
      <c r="AY291" s="406" t="e">
        <f t="shared" ca="1" si="132"/>
        <v>#N/A</v>
      </c>
      <c r="AZ291" s="406" t="e">
        <f t="shared" ca="1" si="132"/>
        <v>#N/A</v>
      </c>
      <c r="BA291" s="406" t="e">
        <f t="shared" ca="1" si="132"/>
        <v>#N/A</v>
      </c>
      <c r="BB291" s="408"/>
      <c r="BC291" s="408" t="str">
        <f t="shared" ca="1" si="125"/>
        <v/>
      </c>
      <c r="BD291" s="408" t="s">
        <v>1278</v>
      </c>
      <c r="BE291" s="408" t="s">
        <v>1278</v>
      </c>
    </row>
    <row r="292" spans="3:57" x14ac:dyDescent="0.25">
      <c r="C292" s="406">
        <f t="shared" si="127"/>
        <v>290</v>
      </c>
      <c r="D292" s="406" t="e">
        <f t="shared" ca="1" si="131"/>
        <v>#N/A</v>
      </c>
      <c r="E292" s="406" t="e">
        <f t="shared" ca="1" si="131"/>
        <v>#N/A</v>
      </c>
      <c r="F292" s="406" t="e">
        <f t="shared" ca="1" si="131"/>
        <v>#N/A</v>
      </c>
      <c r="G292" s="406" t="e">
        <f t="shared" ca="1" si="131"/>
        <v>#N/A</v>
      </c>
      <c r="H292" s="406" t="e">
        <f t="shared" ca="1" si="131"/>
        <v>#N/A</v>
      </c>
      <c r="I292" s="406" t="e">
        <f t="shared" ca="1" si="131"/>
        <v>#N/A</v>
      </c>
      <c r="J292" s="406" t="e">
        <f t="shared" ca="1" si="131"/>
        <v>#N/A</v>
      </c>
      <c r="K292" s="406" t="e">
        <f t="shared" ca="1" si="131"/>
        <v>#N/A</v>
      </c>
      <c r="L292" s="406" t="e">
        <f t="shared" ca="1" si="131"/>
        <v>#N/A</v>
      </c>
      <c r="M292" s="406" t="e">
        <f t="shared" ca="1" si="131"/>
        <v>#N/A</v>
      </c>
      <c r="N292" s="406" t="e">
        <f t="shared" ca="1" si="130"/>
        <v>#N/A</v>
      </c>
      <c r="O292" s="406" t="e">
        <f t="shared" ca="1" si="130"/>
        <v>#N/A</v>
      </c>
      <c r="P292" s="406" t="e">
        <f t="shared" ca="1" si="130"/>
        <v>#N/A</v>
      </c>
      <c r="Q292" s="406" t="e">
        <f t="shared" ca="1" si="130"/>
        <v>#N/A</v>
      </c>
      <c r="R292" s="406" t="e">
        <f t="shared" ca="1" si="130"/>
        <v>#N/A</v>
      </c>
      <c r="S292" s="406" t="e">
        <f t="shared" ca="1" si="130"/>
        <v>#N/A</v>
      </c>
      <c r="T292" s="406" t="e">
        <f t="shared" ca="1" si="130"/>
        <v>#N/A</v>
      </c>
      <c r="U292" s="406" t="e">
        <f t="shared" ca="1" si="130"/>
        <v>#N/A</v>
      </c>
      <c r="V292" s="406" t="e">
        <f t="shared" ca="1" si="130"/>
        <v>#N/A</v>
      </c>
      <c r="W292" s="406" t="e">
        <f t="shared" ca="1" si="130"/>
        <v>#N/A</v>
      </c>
      <c r="X292" s="406" t="e">
        <f t="shared" ca="1" si="133"/>
        <v>#N/A</v>
      </c>
      <c r="Y292" s="406" t="e">
        <f t="shared" ca="1" si="133"/>
        <v>#N/A</v>
      </c>
      <c r="Z292" s="406" t="e">
        <f t="shared" ca="1" si="133"/>
        <v>#N/A</v>
      </c>
      <c r="AA292" s="406" t="e">
        <f t="shared" ca="1" si="133"/>
        <v>#N/A</v>
      </c>
      <c r="AB292" s="406" t="e">
        <f t="shared" ca="1" si="133"/>
        <v>#N/A</v>
      </c>
      <c r="AC292" s="406" t="e">
        <f t="shared" ca="1" si="133"/>
        <v>#N/A</v>
      </c>
      <c r="AD292" s="406" t="e">
        <f t="shared" ca="1" si="133"/>
        <v>#N/A</v>
      </c>
      <c r="AE292" s="406" t="e">
        <f t="shared" ca="1" si="133"/>
        <v>#N/A</v>
      </c>
      <c r="AF292" s="406" t="e">
        <f t="shared" ca="1" si="133"/>
        <v>#N/A</v>
      </c>
      <c r="AG292" s="406" t="e">
        <f t="shared" ca="1" si="133"/>
        <v>#N/A</v>
      </c>
      <c r="AH292" s="406" t="e">
        <f t="shared" ca="1" si="129"/>
        <v>#N/A</v>
      </c>
      <c r="AI292" s="406" t="e">
        <f t="shared" ca="1" si="129"/>
        <v>#N/A</v>
      </c>
      <c r="AJ292" s="406" t="e">
        <f t="shared" ca="1" si="129"/>
        <v>#N/A</v>
      </c>
      <c r="AK292" s="406" t="e">
        <f t="shared" ca="1" si="129"/>
        <v>#N/A</v>
      </c>
      <c r="AL292" s="406" t="e">
        <f t="shared" ca="1" si="129"/>
        <v>#N/A</v>
      </c>
      <c r="AM292" s="406" t="e">
        <f t="shared" ca="1" si="129"/>
        <v>#N/A</v>
      </c>
      <c r="AN292" s="406" t="e">
        <f t="shared" ca="1" si="129"/>
        <v>#N/A</v>
      </c>
      <c r="AO292" s="406" t="e">
        <f t="shared" ca="1" si="129"/>
        <v>#N/A</v>
      </c>
      <c r="AP292" s="406" t="e">
        <f t="shared" ca="1" si="129"/>
        <v>#N/A</v>
      </c>
      <c r="AQ292" s="406" t="e">
        <f t="shared" ca="1" si="129"/>
        <v>#N/A</v>
      </c>
      <c r="AR292" s="406" t="e">
        <f t="shared" ca="1" si="132"/>
        <v>#N/A</v>
      </c>
      <c r="AS292" s="406" t="e">
        <f t="shared" ca="1" si="132"/>
        <v>#N/A</v>
      </c>
      <c r="AT292" s="406" t="e">
        <f t="shared" ca="1" si="132"/>
        <v>#N/A</v>
      </c>
      <c r="AU292" s="406" t="e">
        <f t="shared" ca="1" si="132"/>
        <v>#N/A</v>
      </c>
      <c r="AV292" s="406" t="e">
        <f t="shared" ca="1" si="132"/>
        <v>#N/A</v>
      </c>
      <c r="AW292" s="406" t="e">
        <f t="shared" ca="1" si="132"/>
        <v>#N/A</v>
      </c>
      <c r="AX292" s="406" t="e">
        <f t="shared" ca="1" si="132"/>
        <v>#N/A</v>
      </c>
      <c r="AY292" s="406" t="e">
        <f t="shared" ca="1" si="132"/>
        <v>#N/A</v>
      </c>
      <c r="AZ292" s="406" t="e">
        <f t="shared" ca="1" si="132"/>
        <v>#N/A</v>
      </c>
      <c r="BA292" s="406" t="e">
        <f t="shared" ca="1" si="132"/>
        <v>#N/A</v>
      </c>
      <c r="BB292" s="408"/>
      <c r="BC292" s="408" t="str">
        <f t="shared" ca="1" si="125"/>
        <v/>
      </c>
      <c r="BD292" s="408" t="s">
        <v>1278</v>
      </c>
      <c r="BE292" s="408" t="s">
        <v>1278</v>
      </c>
    </row>
    <row r="293" spans="3:57" ht="15" customHeight="1" x14ac:dyDescent="0.25">
      <c r="C293" s="406">
        <f t="shared" si="127"/>
        <v>291</v>
      </c>
      <c r="D293" s="406" t="e">
        <f t="shared" ca="1" si="131"/>
        <v>#N/A</v>
      </c>
      <c r="E293" s="406" t="e">
        <f t="shared" ca="1" si="131"/>
        <v>#N/A</v>
      </c>
      <c r="F293" s="406" t="e">
        <f t="shared" ca="1" si="131"/>
        <v>#N/A</v>
      </c>
      <c r="G293" s="406" t="e">
        <f t="shared" ca="1" si="131"/>
        <v>#N/A</v>
      </c>
      <c r="H293" s="406" t="e">
        <f t="shared" ca="1" si="131"/>
        <v>#N/A</v>
      </c>
      <c r="I293" s="406" t="e">
        <f t="shared" ca="1" si="131"/>
        <v>#N/A</v>
      </c>
      <c r="J293" s="406" t="e">
        <f t="shared" ca="1" si="131"/>
        <v>#N/A</v>
      </c>
      <c r="K293" s="406" t="e">
        <f t="shared" ca="1" si="131"/>
        <v>#N/A</v>
      </c>
      <c r="L293" s="406" t="e">
        <f t="shared" ca="1" si="131"/>
        <v>#N/A</v>
      </c>
      <c r="M293" s="406" t="e">
        <f t="shared" ca="1" si="131"/>
        <v>#N/A</v>
      </c>
      <c r="N293" s="406" t="e">
        <f t="shared" ca="1" si="130"/>
        <v>#N/A</v>
      </c>
      <c r="O293" s="406" t="e">
        <f t="shared" ca="1" si="130"/>
        <v>#N/A</v>
      </c>
      <c r="P293" s="406" t="e">
        <f t="shared" ca="1" si="130"/>
        <v>#N/A</v>
      </c>
      <c r="Q293" s="406" t="e">
        <f t="shared" ca="1" si="130"/>
        <v>#N/A</v>
      </c>
      <c r="R293" s="406" t="e">
        <f t="shared" ca="1" si="130"/>
        <v>#N/A</v>
      </c>
      <c r="S293" s="406" t="e">
        <f t="shared" ca="1" si="130"/>
        <v>#N/A</v>
      </c>
      <c r="T293" s="406" t="e">
        <f t="shared" ca="1" si="130"/>
        <v>#N/A</v>
      </c>
      <c r="U293" s="406" t="e">
        <f t="shared" ca="1" si="130"/>
        <v>#N/A</v>
      </c>
      <c r="V293" s="406" t="e">
        <f t="shared" ca="1" si="130"/>
        <v>#N/A</v>
      </c>
      <c r="W293" s="406" t="e">
        <f t="shared" ca="1" si="130"/>
        <v>#N/A</v>
      </c>
      <c r="X293" s="406" t="e">
        <f t="shared" ca="1" si="133"/>
        <v>#N/A</v>
      </c>
      <c r="Y293" s="406" t="e">
        <f t="shared" ca="1" si="133"/>
        <v>#N/A</v>
      </c>
      <c r="Z293" s="406" t="e">
        <f t="shared" ca="1" si="133"/>
        <v>#N/A</v>
      </c>
      <c r="AA293" s="406" t="e">
        <f t="shared" ca="1" si="133"/>
        <v>#N/A</v>
      </c>
      <c r="AB293" s="406" t="e">
        <f t="shared" ca="1" si="133"/>
        <v>#N/A</v>
      </c>
      <c r="AC293" s="406" t="e">
        <f t="shared" ca="1" si="133"/>
        <v>#N/A</v>
      </c>
      <c r="AD293" s="406" t="e">
        <f t="shared" ca="1" si="133"/>
        <v>#N/A</v>
      </c>
      <c r="AE293" s="406" t="e">
        <f t="shared" ca="1" si="133"/>
        <v>#N/A</v>
      </c>
      <c r="AF293" s="406" t="e">
        <f t="shared" ca="1" si="133"/>
        <v>#N/A</v>
      </c>
      <c r="AG293" s="406" t="e">
        <f t="shared" ca="1" si="133"/>
        <v>#N/A</v>
      </c>
      <c r="AH293" s="406" t="e">
        <f t="shared" ca="1" si="129"/>
        <v>#N/A</v>
      </c>
      <c r="AI293" s="406" t="e">
        <f t="shared" ca="1" si="129"/>
        <v>#N/A</v>
      </c>
      <c r="AJ293" s="406" t="e">
        <f t="shared" ca="1" si="129"/>
        <v>#N/A</v>
      </c>
      <c r="AK293" s="406" t="e">
        <f t="shared" ca="1" si="129"/>
        <v>#N/A</v>
      </c>
      <c r="AL293" s="406" t="e">
        <f t="shared" ca="1" si="129"/>
        <v>#N/A</v>
      </c>
      <c r="AM293" s="406" t="e">
        <f t="shared" ca="1" si="129"/>
        <v>#N/A</v>
      </c>
      <c r="AN293" s="406" t="e">
        <f t="shared" ca="1" si="129"/>
        <v>#N/A</v>
      </c>
      <c r="AO293" s="406" t="e">
        <f t="shared" ca="1" si="129"/>
        <v>#N/A</v>
      </c>
      <c r="AP293" s="406" t="e">
        <f t="shared" ca="1" si="129"/>
        <v>#N/A</v>
      </c>
      <c r="AQ293" s="406" t="e">
        <f t="shared" ca="1" si="129"/>
        <v>#N/A</v>
      </c>
      <c r="AR293" s="406" t="e">
        <f t="shared" ca="1" si="132"/>
        <v>#N/A</v>
      </c>
      <c r="AS293" s="406" t="e">
        <f t="shared" ca="1" si="132"/>
        <v>#N/A</v>
      </c>
      <c r="AT293" s="406" t="e">
        <f t="shared" ca="1" si="132"/>
        <v>#N/A</v>
      </c>
      <c r="AU293" s="406" t="e">
        <f t="shared" ca="1" si="132"/>
        <v>#N/A</v>
      </c>
      <c r="AV293" s="406" t="e">
        <f t="shared" ca="1" si="132"/>
        <v>#N/A</v>
      </c>
      <c r="AW293" s="406" t="e">
        <f t="shared" ca="1" si="132"/>
        <v>#N/A</v>
      </c>
      <c r="AX293" s="406" t="e">
        <f t="shared" ca="1" si="132"/>
        <v>#N/A</v>
      </c>
      <c r="AY293" s="406" t="e">
        <f t="shared" ca="1" si="132"/>
        <v>#N/A</v>
      </c>
      <c r="AZ293" s="406" t="e">
        <f t="shared" ca="1" si="132"/>
        <v>#N/A</v>
      </c>
      <c r="BA293" s="406" t="e">
        <f t="shared" ca="1" si="132"/>
        <v>#N/A</v>
      </c>
      <c r="BB293" s="408"/>
      <c r="BC293" s="408" t="str">
        <f t="shared" ca="1" si="125"/>
        <v/>
      </c>
      <c r="BD293" s="408" t="s">
        <v>1278</v>
      </c>
      <c r="BE293" s="408" t="s">
        <v>1278</v>
      </c>
    </row>
    <row r="294" spans="3:57" x14ac:dyDescent="0.25">
      <c r="C294" s="406">
        <f t="shared" si="127"/>
        <v>292</v>
      </c>
      <c r="D294" s="406" t="e">
        <f t="shared" ca="1" si="131"/>
        <v>#N/A</v>
      </c>
      <c r="E294" s="406" t="e">
        <f t="shared" ca="1" si="131"/>
        <v>#N/A</v>
      </c>
      <c r="F294" s="406" t="e">
        <f t="shared" ca="1" si="131"/>
        <v>#N/A</v>
      </c>
      <c r="G294" s="406" t="e">
        <f t="shared" ca="1" si="131"/>
        <v>#N/A</v>
      </c>
      <c r="H294" s="406" t="e">
        <f t="shared" ca="1" si="131"/>
        <v>#N/A</v>
      </c>
      <c r="I294" s="406" t="e">
        <f t="shared" ca="1" si="131"/>
        <v>#N/A</v>
      </c>
      <c r="J294" s="406" t="e">
        <f t="shared" ca="1" si="131"/>
        <v>#N/A</v>
      </c>
      <c r="K294" s="406" t="e">
        <f t="shared" ca="1" si="131"/>
        <v>#N/A</v>
      </c>
      <c r="L294" s="406" t="e">
        <f t="shared" ca="1" si="131"/>
        <v>#N/A</v>
      </c>
      <c r="M294" s="406" t="e">
        <f t="shared" ca="1" si="131"/>
        <v>#N/A</v>
      </c>
      <c r="N294" s="406" t="e">
        <f t="shared" ca="1" si="130"/>
        <v>#N/A</v>
      </c>
      <c r="O294" s="406" t="e">
        <f t="shared" ca="1" si="130"/>
        <v>#N/A</v>
      </c>
      <c r="P294" s="406" t="e">
        <f t="shared" ca="1" si="130"/>
        <v>#N/A</v>
      </c>
      <c r="Q294" s="406" t="e">
        <f t="shared" ca="1" si="130"/>
        <v>#N/A</v>
      </c>
      <c r="R294" s="406" t="e">
        <f t="shared" ca="1" si="130"/>
        <v>#N/A</v>
      </c>
      <c r="S294" s="406" t="e">
        <f t="shared" ca="1" si="130"/>
        <v>#N/A</v>
      </c>
      <c r="T294" s="406" t="e">
        <f t="shared" ca="1" si="130"/>
        <v>#N/A</v>
      </c>
      <c r="U294" s="406" t="e">
        <f t="shared" ca="1" si="130"/>
        <v>#N/A</v>
      </c>
      <c r="V294" s="406" t="e">
        <f t="shared" ca="1" si="130"/>
        <v>#N/A</v>
      </c>
      <c r="W294" s="406" t="e">
        <f t="shared" ca="1" si="130"/>
        <v>#N/A</v>
      </c>
      <c r="X294" s="406" t="e">
        <f t="shared" ca="1" si="133"/>
        <v>#N/A</v>
      </c>
      <c r="Y294" s="406" t="e">
        <f t="shared" ca="1" si="133"/>
        <v>#N/A</v>
      </c>
      <c r="Z294" s="406" t="e">
        <f t="shared" ca="1" si="133"/>
        <v>#N/A</v>
      </c>
      <c r="AA294" s="406" t="e">
        <f t="shared" ca="1" si="133"/>
        <v>#N/A</v>
      </c>
      <c r="AB294" s="406" t="e">
        <f t="shared" ca="1" si="133"/>
        <v>#N/A</v>
      </c>
      <c r="AC294" s="406" t="e">
        <f t="shared" ca="1" si="133"/>
        <v>#N/A</v>
      </c>
      <c r="AD294" s="406" t="e">
        <f t="shared" ca="1" si="133"/>
        <v>#N/A</v>
      </c>
      <c r="AE294" s="406" t="e">
        <f t="shared" ca="1" si="133"/>
        <v>#N/A</v>
      </c>
      <c r="AF294" s="406" t="e">
        <f t="shared" ca="1" si="133"/>
        <v>#N/A</v>
      </c>
      <c r="AG294" s="406" t="e">
        <f t="shared" ca="1" si="133"/>
        <v>#N/A</v>
      </c>
      <c r="AH294" s="406" t="e">
        <f t="shared" ca="1" si="129"/>
        <v>#N/A</v>
      </c>
      <c r="AI294" s="406" t="e">
        <f t="shared" ca="1" si="129"/>
        <v>#N/A</v>
      </c>
      <c r="AJ294" s="406" t="e">
        <f t="shared" ca="1" si="129"/>
        <v>#N/A</v>
      </c>
      <c r="AK294" s="406" t="e">
        <f t="shared" ca="1" si="129"/>
        <v>#N/A</v>
      </c>
      <c r="AL294" s="406" t="e">
        <f t="shared" ca="1" si="129"/>
        <v>#N/A</v>
      </c>
      <c r="AM294" s="406" t="e">
        <f t="shared" ca="1" si="129"/>
        <v>#N/A</v>
      </c>
      <c r="AN294" s="406" t="e">
        <f t="shared" ca="1" si="129"/>
        <v>#N/A</v>
      </c>
      <c r="AO294" s="406" t="e">
        <f t="shared" ca="1" si="129"/>
        <v>#N/A</v>
      </c>
      <c r="AP294" s="406" t="e">
        <f t="shared" ca="1" si="129"/>
        <v>#N/A</v>
      </c>
      <c r="AQ294" s="406" t="e">
        <f t="shared" ca="1" si="129"/>
        <v>#N/A</v>
      </c>
      <c r="AR294" s="406" t="e">
        <f t="shared" ca="1" si="132"/>
        <v>#N/A</v>
      </c>
      <c r="AS294" s="406" t="e">
        <f t="shared" ca="1" si="132"/>
        <v>#N/A</v>
      </c>
      <c r="AT294" s="406" t="e">
        <f t="shared" ca="1" si="132"/>
        <v>#N/A</v>
      </c>
      <c r="AU294" s="406" t="e">
        <f t="shared" ca="1" si="132"/>
        <v>#N/A</v>
      </c>
      <c r="AV294" s="406" t="e">
        <f t="shared" ca="1" si="132"/>
        <v>#N/A</v>
      </c>
      <c r="AW294" s="406" t="e">
        <f t="shared" ca="1" si="132"/>
        <v>#N/A</v>
      </c>
      <c r="AX294" s="406" t="e">
        <f t="shared" ca="1" si="132"/>
        <v>#N/A</v>
      </c>
      <c r="AY294" s="406" t="e">
        <f t="shared" ca="1" si="132"/>
        <v>#N/A</v>
      </c>
      <c r="AZ294" s="406" t="e">
        <f t="shared" ca="1" si="132"/>
        <v>#N/A</v>
      </c>
      <c r="BA294" s="406" t="e">
        <f t="shared" ca="1" si="132"/>
        <v>#N/A</v>
      </c>
      <c r="BB294" s="408"/>
      <c r="BC294" s="408" t="str">
        <f t="shared" ca="1" si="125"/>
        <v/>
      </c>
      <c r="BD294" s="408" t="s">
        <v>1278</v>
      </c>
      <c r="BE294" s="408" t="s">
        <v>1278</v>
      </c>
    </row>
    <row r="295" spans="3:57" x14ac:dyDescent="0.25">
      <c r="C295" s="406">
        <f t="shared" si="127"/>
        <v>293</v>
      </c>
      <c r="D295" s="406" t="e">
        <f t="shared" ca="1" si="131"/>
        <v>#N/A</v>
      </c>
      <c r="E295" s="406" t="e">
        <f t="shared" ca="1" si="131"/>
        <v>#N/A</v>
      </c>
      <c r="F295" s="406" t="e">
        <f t="shared" ca="1" si="131"/>
        <v>#N/A</v>
      </c>
      <c r="G295" s="406" t="e">
        <f t="shared" ca="1" si="131"/>
        <v>#N/A</v>
      </c>
      <c r="H295" s="406" t="e">
        <f t="shared" ca="1" si="131"/>
        <v>#N/A</v>
      </c>
      <c r="I295" s="406" t="e">
        <f t="shared" ca="1" si="131"/>
        <v>#N/A</v>
      </c>
      <c r="J295" s="406" t="e">
        <f t="shared" ca="1" si="131"/>
        <v>#N/A</v>
      </c>
      <c r="K295" s="406" t="e">
        <f t="shared" ca="1" si="131"/>
        <v>#N/A</v>
      </c>
      <c r="L295" s="406" t="e">
        <f t="shared" ca="1" si="131"/>
        <v>#N/A</v>
      </c>
      <c r="M295" s="406" t="e">
        <f t="shared" ca="1" si="131"/>
        <v>#N/A</v>
      </c>
      <c r="N295" s="406" t="e">
        <f t="shared" ca="1" si="130"/>
        <v>#N/A</v>
      </c>
      <c r="O295" s="406" t="e">
        <f t="shared" ca="1" si="130"/>
        <v>#N/A</v>
      </c>
      <c r="P295" s="406" t="e">
        <f t="shared" ca="1" si="130"/>
        <v>#N/A</v>
      </c>
      <c r="Q295" s="406" t="e">
        <f t="shared" ca="1" si="130"/>
        <v>#N/A</v>
      </c>
      <c r="R295" s="406" t="e">
        <f t="shared" ca="1" si="130"/>
        <v>#N/A</v>
      </c>
      <c r="S295" s="406" t="e">
        <f t="shared" ca="1" si="130"/>
        <v>#N/A</v>
      </c>
      <c r="T295" s="406" t="e">
        <f t="shared" ca="1" si="130"/>
        <v>#N/A</v>
      </c>
      <c r="U295" s="406" t="e">
        <f t="shared" ca="1" si="130"/>
        <v>#N/A</v>
      </c>
      <c r="V295" s="406" t="e">
        <f t="shared" ca="1" si="130"/>
        <v>#N/A</v>
      </c>
      <c r="W295" s="406" t="e">
        <f t="shared" ref="N295:W321" ca="1" si="134">TRIM(INDIRECT("'" &amp; "TNX RTF" &amp; "'!" &amp; ADDRESS($A$3+$C295,W$1)))</f>
        <v>#N/A</v>
      </c>
      <c r="X295" s="406" t="e">
        <f t="shared" ca="1" si="133"/>
        <v>#N/A</v>
      </c>
      <c r="Y295" s="406" t="e">
        <f t="shared" ca="1" si="133"/>
        <v>#N/A</v>
      </c>
      <c r="Z295" s="406" t="e">
        <f t="shared" ca="1" si="133"/>
        <v>#N/A</v>
      </c>
      <c r="AA295" s="406" t="e">
        <f t="shared" ca="1" si="133"/>
        <v>#N/A</v>
      </c>
      <c r="AB295" s="406" t="e">
        <f t="shared" ca="1" si="133"/>
        <v>#N/A</v>
      </c>
      <c r="AC295" s="406" t="e">
        <f t="shared" ca="1" si="133"/>
        <v>#N/A</v>
      </c>
      <c r="AD295" s="406" t="e">
        <f t="shared" ca="1" si="133"/>
        <v>#N/A</v>
      </c>
      <c r="AE295" s="406" t="e">
        <f t="shared" ca="1" si="133"/>
        <v>#N/A</v>
      </c>
      <c r="AF295" s="406" t="e">
        <f t="shared" ca="1" si="133"/>
        <v>#N/A</v>
      </c>
      <c r="AG295" s="406" t="e">
        <f t="shared" ca="1" si="133"/>
        <v>#N/A</v>
      </c>
      <c r="AH295" s="406" t="e">
        <f t="shared" ca="1" si="129"/>
        <v>#N/A</v>
      </c>
      <c r="AI295" s="406" t="e">
        <f t="shared" ca="1" si="129"/>
        <v>#N/A</v>
      </c>
      <c r="AJ295" s="406" t="e">
        <f t="shared" ca="1" si="129"/>
        <v>#N/A</v>
      </c>
      <c r="AK295" s="406" t="e">
        <f t="shared" ca="1" si="129"/>
        <v>#N/A</v>
      </c>
      <c r="AL295" s="406" t="e">
        <f t="shared" ca="1" si="129"/>
        <v>#N/A</v>
      </c>
      <c r="AM295" s="406" t="e">
        <f t="shared" ca="1" si="129"/>
        <v>#N/A</v>
      </c>
      <c r="AN295" s="406" t="e">
        <f t="shared" ca="1" si="129"/>
        <v>#N/A</v>
      </c>
      <c r="AO295" s="406" t="e">
        <f t="shared" ca="1" si="129"/>
        <v>#N/A</v>
      </c>
      <c r="AP295" s="406" t="e">
        <f t="shared" ref="AH295:AQ321" ca="1" si="135">TRIM(INDIRECT("'" &amp; "TNX RTF" &amp; "'!" &amp; ADDRESS($A$3+$C295,AP$1)))</f>
        <v>#N/A</v>
      </c>
      <c r="AQ295" s="406" t="e">
        <f t="shared" ca="1" si="135"/>
        <v>#N/A</v>
      </c>
      <c r="AR295" s="406" t="e">
        <f t="shared" ca="1" si="132"/>
        <v>#N/A</v>
      </c>
      <c r="AS295" s="406" t="e">
        <f t="shared" ca="1" si="132"/>
        <v>#N/A</v>
      </c>
      <c r="AT295" s="406" t="e">
        <f t="shared" ca="1" si="132"/>
        <v>#N/A</v>
      </c>
      <c r="AU295" s="406" t="e">
        <f t="shared" ca="1" si="132"/>
        <v>#N/A</v>
      </c>
      <c r="AV295" s="406" t="e">
        <f t="shared" ca="1" si="132"/>
        <v>#N/A</v>
      </c>
      <c r="AW295" s="406" t="e">
        <f t="shared" ca="1" si="132"/>
        <v>#N/A</v>
      </c>
      <c r="AX295" s="406" t="e">
        <f t="shared" ca="1" si="132"/>
        <v>#N/A</v>
      </c>
      <c r="AY295" s="406" t="e">
        <f t="shared" ca="1" si="132"/>
        <v>#N/A</v>
      </c>
      <c r="AZ295" s="406" t="e">
        <f t="shared" ca="1" si="132"/>
        <v>#N/A</v>
      </c>
      <c r="BA295" s="406" t="e">
        <f t="shared" ca="1" si="132"/>
        <v>#N/A</v>
      </c>
      <c r="BB295" s="408"/>
      <c r="BC295" s="408" t="str">
        <f t="shared" ca="1" si="125"/>
        <v/>
      </c>
      <c r="BD295" s="408" t="s">
        <v>1278</v>
      </c>
      <c r="BE295" s="408" t="s">
        <v>1278</v>
      </c>
    </row>
    <row r="296" spans="3:57" ht="15" customHeight="1" x14ac:dyDescent="0.25">
      <c r="C296" s="406">
        <f t="shared" si="127"/>
        <v>294</v>
      </c>
      <c r="D296" s="406" t="e">
        <f t="shared" ca="1" si="131"/>
        <v>#N/A</v>
      </c>
      <c r="E296" s="406" t="e">
        <f t="shared" ca="1" si="131"/>
        <v>#N/A</v>
      </c>
      <c r="F296" s="406" t="e">
        <f t="shared" ca="1" si="131"/>
        <v>#N/A</v>
      </c>
      <c r="G296" s="406" t="e">
        <f t="shared" ca="1" si="131"/>
        <v>#N/A</v>
      </c>
      <c r="H296" s="406" t="e">
        <f t="shared" ca="1" si="131"/>
        <v>#N/A</v>
      </c>
      <c r="I296" s="406" t="e">
        <f t="shared" ca="1" si="131"/>
        <v>#N/A</v>
      </c>
      <c r="J296" s="406" t="e">
        <f t="shared" ca="1" si="131"/>
        <v>#N/A</v>
      </c>
      <c r="K296" s="406" t="e">
        <f t="shared" ca="1" si="131"/>
        <v>#N/A</v>
      </c>
      <c r="L296" s="406" t="e">
        <f t="shared" ca="1" si="131"/>
        <v>#N/A</v>
      </c>
      <c r="M296" s="406" t="e">
        <f t="shared" ca="1" si="131"/>
        <v>#N/A</v>
      </c>
      <c r="N296" s="406" t="e">
        <f t="shared" ca="1" si="134"/>
        <v>#N/A</v>
      </c>
      <c r="O296" s="406" t="e">
        <f t="shared" ca="1" si="134"/>
        <v>#N/A</v>
      </c>
      <c r="P296" s="406" t="e">
        <f t="shared" ca="1" si="134"/>
        <v>#N/A</v>
      </c>
      <c r="Q296" s="406" t="e">
        <f t="shared" ca="1" si="134"/>
        <v>#N/A</v>
      </c>
      <c r="R296" s="406" t="e">
        <f t="shared" ca="1" si="134"/>
        <v>#N/A</v>
      </c>
      <c r="S296" s="406" t="e">
        <f t="shared" ca="1" si="134"/>
        <v>#N/A</v>
      </c>
      <c r="T296" s="406" t="e">
        <f t="shared" ca="1" si="134"/>
        <v>#N/A</v>
      </c>
      <c r="U296" s="406" t="e">
        <f t="shared" ca="1" si="134"/>
        <v>#N/A</v>
      </c>
      <c r="V296" s="406" t="e">
        <f t="shared" ca="1" si="134"/>
        <v>#N/A</v>
      </c>
      <c r="W296" s="406" t="e">
        <f t="shared" ca="1" si="134"/>
        <v>#N/A</v>
      </c>
      <c r="X296" s="406" t="e">
        <f t="shared" ca="1" si="133"/>
        <v>#N/A</v>
      </c>
      <c r="Y296" s="406" t="e">
        <f t="shared" ca="1" si="133"/>
        <v>#N/A</v>
      </c>
      <c r="Z296" s="406" t="e">
        <f t="shared" ca="1" si="133"/>
        <v>#N/A</v>
      </c>
      <c r="AA296" s="406" t="e">
        <f t="shared" ca="1" si="133"/>
        <v>#N/A</v>
      </c>
      <c r="AB296" s="406" t="e">
        <f t="shared" ca="1" si="133"/>
        <v>#N/A</v>
      </c>
      <c r="AC296" s="406" t="e">
        <f t="shared" ca="1" si="133"/>
        <v>#N/A</v>
      </c>
      <c r="AD296" s="406" t="e">
        <f t="shared" ca="1" si="133"/>
        <v>#N/A</v>
      </c>
      <c r="AE296" s="406" t="e">
        <f t="shared" ca="1" si="133"/>
        <v>#N/A</v>
      </c>
      <c r="AF296" s="406" t="e">
        <f t="shared" ca="1" si="133"/>
        <v>#N/A</v>
      </c>
      <c r="AG296" s="406" t="e">
        <f t="shared" ca="1" si="133"/>
        <v>#N/A</v>
      </c>
      <c r="AH296" s="406" t="e">
        <f t="shared" ca="1" si="135"/>
        <v>#N/A</v>
      </c>
      <c r="AI296" s="406" t="e">
        <f t="shared" ca="1" si="135"/>
        <v>#N/A</v>
      </c>
      <c r="AJ296" s="406" t="e">
        <f t="shared" ca="1" si="135"/>
        <v>#N/A</v>
      </c>
      <c r="AK296" s="406" t="e">
        <f t="shared" ca="1" si="135"/>
        <v>#N/A</v>
      </c>
      <c r="AL296" s="406" t="e">
        <f t="shared" ca="1" si="135"/>
        <v>#N/A</v>
      </c>
      <c r="AM296" s="406" t="e">
        <f t="shared" ca="1" si="135"/>
        <v>#N/A</v>
      </c>
      <c r="AN296" s="406" t="e">
        <f t="shared" ca="1" si="135"/>
        <v>#N/A</v>
      </c>
      <c r="AO296" s="406" t="e">
        <f t="shared" ca="1" si="135"/>
        <v>#N/A</v>
      </c>
      <c r="AP296" s="406" t="e">
        <f t="shared" ca="1" si="135"/>
        <v>#N/A</v>
      </c>
      <c r="AQ296" s="406" t="e">
        <f t="shared" ca="1" si="135"/>
        <v>#N/A</v>
      </c>
      <c r="AR296" s="406" t="e">
        <f t="shared" ca="1" si="132"/>
        <v>#N/A</v>
      </c>
      <c r="AS296" s="406" t="e">
        <f t="shared" ca="1" si="132"/>
        <v>#N/A</v>
      </c>
      <c r="AT296" s="406" t="e">
        <f t="shared" ca="1" si="132"/>
        <v>#N/A</v>
      </c>
      <c r="AU296" s="406" t="e">
        <f t="shared" ca="1" si="132"/>
        <v>#N/A</v>
      </c>
      <c r="AV296" s="406" t="e">
        <f t="shared" ca="1" si="132"/>
        <v>#N/A</v>
      </c>
      <c r="AW296" s="406" t="e">
        <f t="shared" ca="1" si="132"/>
        <v>#N/A</v>
      </c>
      <c r="AX296" s="406" t="e">
        <f t="shared" ca="1" si="132"/>
        <v>#N/A</v>
      </c>
      <c r="AY296" s="406" t="e">
        <f t="shared" ca="1" si="132"/>
        <v>#N/A</v>
      </c>
      <c r="AZ296" s="406" t="e">
        <f t="shared" ca="1" si="132"/>
        <v>#N/A</v>
      </c>
      <c r="BA296" s="406" t="e">
        <f t="shared" ca="1" si="132"/>
        <v>#N/A</v>
      </c>
      <c r="BB296" s="408"/>
      <c r="BC296" s="408" t="str">
        <f t="shared" ca="1" si="125"/>
        <v/>
      </c>
      <c r="BD296" s="408" t="s">
        <v>1278</v>
      </c>
      <c r="BE296" s="408" t="s">
        <v>1278</v>
      </c>
    </row>
    <row r="297" spans="3:57" x14ac:dyDescent="0.25">
      <c r="C297" s="406">
        <f t="shared" si="127"/>
        <v>295</v>
      </c>
      <c r="D297" s="406" t="e">
        <f t="shared" ca="1" si="131"/>
        <v>#N/A</v>
      </c>
      <c r="E297" s="406" t="e">
        <f t="shared" ca="1" si="131"/>
        <v>#N/A</v>
      </c>
      <c r="F297" s="406" t="e">
        <f t="shared" ca="1" si="131"/>
        <v>#N/A</v>
      </c>
      <c r="G297" s="406" t="e">
        <f t="shared" ca="1" si="131"/>
        <v>#N/A</v>
      </c>
      <c r="H297" s="406" t="e">
        <f t="shared" ca="1" si="131"/>
        <v>#N/A</v>
      </c>
      <c r="I297" s="406" t="e">
        <f t="shared" ref="D297:M322" ca="1" si="136">TRIM(INDIRECT("'" &amp; "TNX RTF" &amp; "'!" &amp; ADDRESS($A$3+$C297,I$1)))</f>
        <v>#N/A</v>
      </c>
      <c r="J297" s="406" t="e">
        <f t="shared" ca="1" si="136"/>
        <v>#N/A</v>
      </c>
      <c r="K297" s="406" t="e">
        <f t="shared" ca="1" si="136"/>
        <v>#N/A</v>
      </c>
      <c r="L297" s="406" t="e">
        <f t="shared" ca="1" si="136"/>
        <v>#N/A</v>
      </c>
      <c r="M297" s="406" t="e">
        <f t="shared" ca="1" si="136"/>
        <v>#N/A</v>
      </c>
      <c r="N297" s="406" t="e">
        <f t="shared" ca="1" si="134"/>
        <v>#N/A</v>
      </c>
      <c r="O297" s="406" t="e">
        <f t="shared" ca="1" si="134"/>
        <v>#N/A</v>
      </c>
      <c r="P297" s="406" t="e">
        <f t="shared" ca="1" si="134"/>
        <v>#N/A</v>
      </c>
      <c r="Q297" s="406" t="e">
        <f t="shared" ca="1" si="134"/>
        <v>#N/A</v>
      </c>
      <c r="R297" s="406" t="e">
        <f t="shared" ca="1" si="134"/>
        <v>#N/A</v>
      </c>
      <c r="S297" s="406" t="e">
        <f t="shared" ca="1" si="134"/>
        <v>#N/A</v>
      </c>
      <c r="T297" s="406" t="e">
        <f t="shared" ca="1" si="134"/>
        <v>#N/A</v>
      </c>
      <c r="U297" s="406" t="e">
        <f t="shared" ca="1" si="134"/>
        <v>#N/A</v>
      </c>
      <c r="V297" s="406" t="e">
        <f t="shared" ca="1" si="134"/>
        <v>#N/A</v>
      </c>
      <c r="W297" s="406" t="e">
        <f t="shared" ca="1" si="134"/>
        <v>#N/A</v>
      </c>
      <c r="X297" s="406" t="e">
        <f t="shared" ca="1" si="133"/>
        <v>#N/A</v>
      </c>
      <c r="Y297" s="406" t="e">
        <f t="shared" ca="1" si="133"/>
        <v>#N/A</v>
      </c>
      <c r="Z297" s="406" t="e">
        <f t="shared" ca="1" si="133"/>
        <v>#N/A</v>
      </c>
      <c r="AA297" s="406" t="e">
        <f t="shared" ca="1" si="133"/>
        <v>#N/A</v>
      </c>
      <c r="AB297" s="406" t="e">
        <f t="shared" ca="1" si="133"/>
        <v>#N/A</v>
      </c>
      <c r="AC297" s="406" t="e">
        <f t="shared" ca="1" si="133"/>
        <v>#N/A</v>
      </c>
      <c r="AD297" s="406" t="e">
        <f t="shared" ca="1" si="133"/>
        <v>#N/A</v>
      </c>
      <c r="AE297" s="406" t="e">
        <f t="shared" ca="1" si="133"/>
        <v>#N/A</v>
      </c>
      <c r="AF297" s="406" t="e">
        <f t="shared" ca="1" si="133"/>
        <v>#N/A</v>
      </c>
      <c r="AG297" s="406" t="e">
        <f t="shared" ca="1" si="133"/>
        <v>#N/A</v>
      </c>
      <c r="AH297" s="406" t="e">
        <f t="shared" ca="1" si="135"/>
        <v>#N/A</v>
      </c>
      <c r="AI297" s="406" t="e">
        <f t="shared" ca="1" si="135"/>
        <v>#N/A</v>
      </c>
      <c r="AJ297" s="406" t="e">
        <f t="shared" ca="1" si="135"/>
        <v>#N/A</v>
      </c>
      <c r="AK297" s="406" t="e">
        <f t="shared" ca="1" si="135"/>
        <v>#N/A</v>
      </c>
      <c r="AL297" s="406" t="e">
        <f t="shared" ca="1" si="135"/>
        <v>#N/A</v>
      </c>
      <c r="AM297" s="406" t="e">
        <f t="shared" ca="1" si="135"/>
        <v>#N/A</v>
      </c>
      <c r="AN297" s="406" t="e">
        <f t="shared" ca="1" si="135"/>
        <v>#N/A</v>
      </c>
      <c r="AO297" s="406" t="e">
        <f t="shared" ca="1" si="135"/>
        <v>#N/A</v>
      </c>
      <c r="AP297" s="406" t="e">
        <f t="shared" ca="1" si="135"/>
        <v>#N/A</v>
      </c>
      <c r="AQ297" s="406" t="e">
        <f t="shared" ca="1" si="135"/>
        <v>#N/A</v>
      </c>
      <c r="AR297" s="406" t="e">
        <f t="shared" ca="1" si="132"/>
        <v>#N/A</v>
      </c>
      <c r="AS297" s="406" t="e">
        <f t="shared" ca="1" si="132"/>
        <v>#N/A</v>
      </c>
      <c r="AT297" s="406" t="e">
        <f t="shared" ca="1" si="132"/>
        <v>#N/A</v>
      </c>
      <c r="AU297" s="406" t="e">
        <f t="shared" ca="1" si="132"/>
        <v>#N/A</v>
      </c>
      <c r="AV297" s="406" t="e">
        <f t="shared" ca="1" si="132"/>
        <v>#N/A</v>
      </c>
      <c r="AW297" s="406" t="e">
        <f t="shared" ca="1" si="132"/>
        <v>#N/A</v>
      </c>
      <c r="AX297" s="406" t="e">
        <f t="shared" ca="1" si="132"/>
        <v>#N/A</v>
      </c>
      <c r="AY297" s="406" t="e">
        <f t="shared" ca="1" si="132"/>
        <v>#N/A</v>
      </c>
      <c r="AZ297" s="406" t="e">
        <f t="shared" ca="1" si="132"/>
        <v>#N/A</v>
      </c>
      <c r="BA297" s="406" t="e">
        <f t="shared" ca="1" si="132"/>
        <v>#N/A</v>
      </c>
      <c r="BB297" s="408"/>
      <c r="BC297" s="408" t="str">
        <f t="shared" ca="1" si="125"/>
        <v/>
      </c>
      <c r="BD297" s="408" t="s">
        <v>1278</v>
      </c>
      <c r="BE297" s="408" t="s">
        <v>1278</v>
      </c>
    </row>
    <row r="298" spans="3:57" x14ac:dyDescent="0.25">
      <c r="C298" s="406">
        <f t="shared" si="127"/>
        <v>296</v>
      </c>
      <c r="D298" s="406" t="e">
        <f t="shared" ca="1" si="136"/>
        <v>#N/A</v>
      </c>
      <c r="E298" s="406" t="e">
        <f t="shared" ca="1" si="136"/>
        <v>#N/A</v>
      </c>
      <c r="F298" s="406" t="e">
        <f t="shared" ca="1" si="136"/>
        <v>#N/A</v>
      </c>
      <c r="G298" s="406" t="e">
        <f t="shared" ca="1" si="136"/>
        <v>#N/A</v>
      </c>
      <c r="H298" s="406" t="e">
        <f t="shared" ca="1" si="136"/>
        <v>#N/A</v>
      </c>
      <c r="I298" s="406" t="e">
        <f t="shared" ca="1" si="136"/>
        <v>#N/A</v>
      </c>
      <c r="J298" s="406" t="e">
        <f t="shared" ca="1" si="136"/>
        <v>#N/A</v>
      </c>
      <c r="K298" s="406" t="e">
        <f t="shared" ca="1" si="136"/>
        <v>#N/A</v>
      </c>
      <c r="L298" s="406" t="e">
        <f t="shared" ca="1" si="136"/>
        <v>#N/A</v>
      </c>
      <c r="M298" s="406" t="e">
        <f t="shared" ca="1" si="136"/>
        <v>#N/A</v>
      </c>
      <c r="N298" s="406" t="e">
        <f t="shared" ca="1" si="134"/>
        <v>#N/A</v>
      </c>
      <c r="O298" s="406" t="e">
        <f t="shared" ca="1" si="134"/>
        <v>#N/A</v>
      </c>
      <c r="P298" s="406" t="e">
        <f t="shared" ca="1" si="134"/>
        <v>#N/A</v>
      </c>
      <c r="Q298" s="406" t="e">
        <f t="shared" ca="1" si="134"/>
        <v>#N/A</v>
      </c>
      <c r="R298" s="406" t="e">
        <f t="shared" ca="1" si="134"/>
        <v>#N/A</v>
      </c>
      <c r="S298" s="406" t="e">
        <f t="shared" ca="1" si="134"/>
        <v>#N/A</v>
      </c>
      <c r="T298" s="406" t="e">
        <f t="shared" ca="1" si="134"/>
        <v>#N/A</v>
      </c>
      <c r="U298" s="406" t="e">
        <f t="shared" ca="1" si="134"/>
        <v>#N/A</v>
      </c>
      <c r="V298" s="406" t="e">
        <f t="shared" ca="1" si="134"/>
        <v>#N/A</v>
      </c>
      <c r="W298" s="406" t="e">
        <f t="shared" ca="1" si="134"/>
        <v>#N/A</v>
      </c>
      <c r="X298" s="406" t="e">
        <f t="shared" ca="1" si="133"/>
        <v>#N/A</v>
      </c>
      <c r="Y298" s="406" t="e">
        <f t="shared" ca="1" si="133"/>
        <v>#N/A</v>
      </c>
      <c r="Z298" s="406" t="e">
        <f t="shared" ca="1" si="133"/>
        <v>#N/A</v>
      </c>
      <c r="AA298" s="406" t="e">
        <f t="shared" ca="1" si="133"/>
        <v>#N/A</v>
      </c>
      <c r="AB298" s="406" t="e">
        <f t="shared" ca="1" si="133"/>
        <v>#N/A</v>
      </c>
      <c r="AC298" s="406" t="e">
        <f t="shared" ca="1" si="133"/>
        <v>#N/A</v>
      </c>
      <c r="AD298" s="406" t="e">
        <f t="shared" ca="1" si="133"/>
        <v>#N/A</v>
      </c>
      <c r="AE298" s="406" t="e">
        <f t="shared" ca="1" si="133"/>
        <v>#N/A</v>
      </c>
      <c r="AF298" s="406" t="e">
        <f t="shared" ca="1" si="133"/>
        <v>#N/A</v>
      </c>
      <c r="AG298" s="406" t="e">
        <f t="shared" ca="1" si="133"/>
        <v>#N/A</v>
      </c>
      <c r="AH298" s="406" t="e">
        <f t="shared" ca="1" si="135"/>
        <v>#N/A</v>
      </c>
      <c r="AI298" s="406" t="e">
        <f t="shared" ca="1" si="135"/>
        <v>#N/A</v>
      </c>
      <c r="AJ298" s="406" t="e">
        <f t="shared" ca="1" si="135"/>
        <v>#N/A</v>
      </c>
      <c r="AK298" s="406" t="e">
        <f t="shared" ca="1" si="135"/>
        <v>#N/A</v>
      </c>
      <c r="AL298" s="406" t="e">
        <f t="shared" ca="1" si="135"/>
        <v>#N/A</v>
      </c>
      <c r="AM298" s="406" t="e">
        <f t="shared" ca="1" si="135"/>
        <v>#N/A</v>
      </c>
      <c r="AN298" s="406" t="e">
        <f t="shared" ca="1" si="135"/>
        <v>#N/A</v>
      </c>
      <c r="AO298" s="406" t="e">
        <f t="shared" ca="1" si="135"/>
        <v>#N/A</v>
      </c>
      <c r="AP298" s="406" t="e">
        <f t="shared" ca="1" si="135"/>
        <v>#N/A</v>
      </c>
      <c r="AQ298" s="406" t="e">
        <f t="shared" ca="1" si="135"/>
        <v>#N/A</v>
      </c>
      <c r="AR298" s="406" t="e">
        <f t="shared" ca="1" si="132"/>
        <v>#N/A</v>
      </c>
      <c r="AS298" s="406" t="e">
        <f t="shared" ca="1" si="132"/>
        <v>#N/A</v>
      </c>
      <c r="AT298" s="406" t="e">
        <f t="shared" ca="1" si="132"/>
        <v>#N/A</v>
      </c>
      <c r="AU298" s="406" t="e">
        <f t="shared" ca="1" si="132"/>
        <v>#N/A</v>
      </c>
      <c r="AV298" s="406" t="e">
        <f t="shared" ca="1" si="132"/>
        <v>#N/A</v>
      </c>
      <c r="AW298" s="406" t="e">
        <f t="shared" ca="1" si="132"/>
        <v>#N/A</v>
      </c>
      <c r="AX298" s="406" t="e">
        <f t="shared" ca="1" si="132"/>
        <v>#N/A</v>
      </c>
      <c r="AY298" s="406" t="e">
        <f t="shared" ca="1" si="132"/>
        <v>#N/A</v>
      </c>
      <c r="AZ298" s="406" t="e">
        <f t="shared" ca="1" si="132"/>
        <v>#N/A</v>
      </c>
      <c r="BA298" s="406" t="e">
        <f t="shared" ca="1" si="132"/>
        <v>#N/A</v>
      </c>
      <c r="BB298" s="408"/>
      <c r="BC298" s="408" t="str">
        <f t="shared" ca="1" si="125"/>
        <v/>
      </c>
      <c r="BD298" s="408" t="s">
        <v>1278</v>
      </c>
      <c r="BE298" s="408" t="s">
        <v>1278</v>
      </c>
    </row>
    <row r="299" spans="3:57" ht="15" customHeight="1" x14ac:dyDescent="0.25">
      <c r="C299" s="406">
        <f t="shared" si="127"/>
        <v>297</v>
      </c>
      <c r="D299" s="406" t="e">
        <f t="shared" ca="1" si="136"/>
        <v>#N/A</v>
      </c>
      <c r="E299" s="406" t="e">
        <f t="shared" ca="1" si="136"/>
        <v>#N/A</v>
      </c>
      <c r="F299" s="406" t="e">
        <f t="shared" ca="1" si="136"/>
        <v>#N/A</v>
      </c>
      <c r="G299" s="406" t="e">
        <f t="shared" ca="1" si="136"/>
        <v>#N/A</v>
      </c>
      <c r="H299" s="406" t="e">
        <f t="shared" ca="1" si="136"/>
        <v>#N/A</v>
      </c>
      <c r="I299" s="406" t="e">
        <f t="shared" ca="1" si="136"/>
        <v>#N/A</v>
      </c>
      <c r="J299" s="406" t="e">
        <f t="shared" ca="1" si="136"/>
        <v>#N/A</v>
      </c>
      <c r="K299" s="406" t="e">
        <f t="shared" ca="1" si="136"/>
        <v>#N/A</v>
      </c>
      <c r="L299" s="406" t="e">
        <f t="shared" ca="1" si="136"/>
        <v>#N/A</v>
      </c>
      <c r="M299" s="406" t="e">
        <f t="shared" ca="1" si="136"/>
        <v>#N/A</v>
      </c>
      <c r="N299" s="406" t="e">
        <f t="shared" ca="1" si="134"/>
        <v>#N/A</v>
      </c>
      <c r="O299" s="406" t="e">
        <f t="shared" ca="1" si="134"/>
        <v>#N/A</v>
      </c>
      <c r="P299" s="406" t="e">
        <f t="shared" ca="1" si="134"/>
        <v>#N/A</v>
      </c>
      <c r="Q299" s="406" t="e">
        <f t="shared" ca="1" si="134"/>
        <v>#N/A</v>
      </c>
      <c r="R299" s="406" t="e">
        <f t="shared" ca="1" si="134"/>
        <v>#N/A</v>
      </c>
      <c r="S299" s="406" t="e">
        <f t="shared" ca="1" si="134"/>
        <v>#N/A</v>
      </c>
      <c r="T299" s="406" t="e">
        <f t="shared" ca="1" si="134"/>
        <v>#N/A</v>
      </c>
      <c r="U299" s="406" t="e">
        <f t="shared" ca="1" si="134"/>
        <v>#N/A</v>
      </c>
      <c r="V299" s="406" t="e">
        <f t="shared" ca="1" si="134"/>
        <v>#N/A</v>
      </c>
      <c r="W299" s="406" t="e">
        <f t="shared" ca="1" si="134"/>
        <v>#N/A</v>
      </c>
      <c r="X299" s="406" t="e">
        <f t="shared" ca="1" si="133"/>
        <v>#N/A</v>
      </c>
      <c r="Y299" s="406" t="e">
        <f t="shared" ca="1" si="133"/>
        <v>#N/A</v>
      </c>
      <c r="Z299" s="406" t="e">
        <f t="shared" ca="1" si="133"/>
        <v>#N/A</v>
      </c>
      <c r="AA299" s="406" t="e">
        <f t="shared" ca="1" si="133"/>
        <v>#N/A</v>
      </c>
      <c r="AB299" s="406" t="e">
        <f t="shared" ca="1" si="133"/>
        <v>#N/A</v>
      </c>
      <c r="AC299" s="406" t="e">
        <f t="shared" ca="1" si="133"/>
        <v>#N/A</v>
      </c>
      <c r="AD299" s="406" t="e">
        <f t="shared" ca="1" si="133"/>
        <v>#N/A</v>
      </c>
      <c r="AE299" s="406" t="e">
        <f t="shared" ca="1" si="133"/>
        <v>#N/A</v>
      </c>
      <c r="AF299" s="406" t="e">
        <f t="shared" ca="1" si="133"/>
        <v>#N/A</v>
      </c>
      <c r="AG299" s="406" t="e">
        <f t="shared" ca="1" si="133"/>
        <v>#N/A</v>
      </c>
      <c r="AH299" s="406" t="e">
        <f t="shared" ca="1" si="135"/>
        <v>#N/A</v>
      </c>
      <c r="AI299" s="406" t="e">
        <f t="shared" ca="1" si="135"/>
        <v>#N/A</v>
      </c>
      <c r="AJ299" s="406" t="e">
        <f t="shared" ca="1" si="135"/>
        <v>#N/A</v>
      </c>
      <c r="AK299" s="406" t="e">
        <f t="shared" ca="1" si="135"/>
        <v>#N/A</v>
      </c>
      <c r="AL299" s="406" t="e">
        <f t="shared" ca="1" si="135"/>
        <v>#N/A</v>
      </c>
      <c r="AM299" s="406" t="e">
        <f t="shared" ca="1" si="135"/>
        <v>#N/A</v>
      </c>
      <c r="AN299" s="406" t="e">
        <f t="shared" ca="1" si="135"/>
        <v>#N/A</v>
      </c>
      <c r="AO299" s="406" t="e">
        <f t="shared" ca="1" si="135"/>
        <v>#N/A</v>
      </c>
      <c r="AP299" s="406" t="e">
        <f t="shared" ca="1" si="135"/>
        <v>#N/A</v>
      </c>
      <c r="AQ299" s="406" t="e">
        <f t="shared" ca="1" si="135"/>
        <v>#N/A</v>
      </c>
      <c r="AR299" s="406" t="e">
        <f t="shared" ca="1" si="132"/>
        <v>#N/A</v>
      </c>
      <c r="AS299" s="406" t="e">
        <f t="shared" ca="1" si="132"/>
        <v>#N/A</v>
      </c>
      <c r="AT299" s="406" t="e">
        <f t="shared" ca="1" si="132"/>
        <v>#N/A</v>
      </c>
      <c r="AU299" s="406" t="e">
        <f t="shared" ca="1" si="132"/>
        <v>#N/A</v>
      </c>
      <c r="AV299" s="406" t="e">
        <f t="shared" ca="1" si="132"/>
        <v>#N/A</v>
      </c>
      <c r="AW299" s="406" t="e">
        <f t="shared" ca="1" si="132"/>
        <v>#N/A</v>
      </c>
      <c r="AX299" s="406" t="e">
        <f t="shared" ca="1" si="132"/>
        <v>#N/A</v>
      </c>
      <c r="AY299" s="406" t="e">
        <f t="shared" ca="1" si="132"/>
        <v>#N/A</v>
      </c>
      <c r="AZ299" s="406" t="e">
        <f t="shared" ca="1" si="132"/>
        <v>#N/A</v>
      </c>
      <c r="BA299" s="406" t="e">
        <f t="shared" ca="1" si="132"/>
        <v>#N/A</v>
      </c>
      <c r="BB299" s="408"/>
      <c r="BC299" s="408" t="str">
        <f t="shared" ca="1" si="125"/>
        <v/>
      </c>
      <c r="BD299" s="408" t="s">
        <v>1278</v>
      </c>
      <c r="BE299" s="408" t="s">
        <v>1278</v>
      </c>
    </row>
    <row r="300" spans="3:57" x14ac:dyDescent="0.25">
      <c r="C300" s="406">
        <f t="shared" si="127"/>
        <v>298</v>
      </c>
      <c r="D300" s="406" t="e">
        <f t="shared" ca="1" si="136"/>
        <v>#N/A</v>
      </c>
      <c r="E300" s="406" t="e">
        <f t="shared" ca="1" si="136"/>
        <v>#N/A</v>
      </c>
      <c r="F300" s="406" t="e">
        <f t="shared" ca="1" si="136"/>
        <v>#N/A</v>
      </c>
      <c r="G300" s="406" t="e">
        <f t="shared" ca="1" si="136"/>
        <v>#N/A</v>
      </c>
      <c r="H300" s="406" t="e">
        <f t="shared" ca="1" si="136"/>
        <v>#N/A</v>
      </c>
      <c r="I300" s="406" t="e">
        <f t="shared" ca="1" si="136"/>
        <v>#N/A</v>
      </c>
      <c r="J300" s="406" t="e">
        <f t="shared" ca="1" si="136"/>
        <v>#N/A</v>
      </c>
      <c r="K300" s="406" t="e">
        <f t="shared" ca="1" si="136"/>
        <v>#N/A</v>
      </c>
      <c r="L300" s="406" t="e">
        <f t="shared" ca="1" si="136"/>
        <v>#N/A</v>
      </c>
      <c r="M300" s="406" t="e">
        <f t="shared" ca="1" si="136"/>
        <v>#N/A</v>
      </c>
      <c r="N300" s="406" t="e">
        <f t="shared" ca="1" si="134"/>
        <v>#N/A</v>
      </c>
      <c r="O300" s="406" t="e">
        <f t="shared" ca="1" si="134"/>
        <v>#N/A</v>
      </c>
      <c r="P300" s="406" t="e">
        <f t="shared" ca="1" si="134"/>
        <v>#N/A</v>
      </c>
      <c r="Q300" s="406" t="e">
        <f t="shared" ca="1" si="134"/>
        <v>#N/A</v>
      </c>
      <c r="R300" s="406" t="e">
        <f t="shared" ca="1" si="134"/>
        <v>#N/A</v>
      </c>
      <c r="S300" s="406" t="e">
        <f t="shared" ca="1" si="134"/>
        <v>#N/A</v>
      </c>
      <c r="T300" s="406" t="e">
        <f t="shared" ca="1" si="134"/>
        <v>#N/A</v>
      </c>
      <c r="U300" s="406" t="e">
        <f t="shared" ca="1" si="134"/>
        <v>#N/A</v>
      </c>
      <c r="V300" s="406" t="e">
        <f t="shared" ca="1" si="134"/>
        <v>#N/A</v>
      </c>
      <c r="W300" s="406" t="e">
        <f t="shared" ca="1" si="134"/>
        <v>#N/A</v>
      </c>
      <c r="X300" s="406" t="e">
        <f t="shared" ca="1" si="133"/>
        <v>#N/A</v>
      </c>
      <c r="Y300" s="406" t="e">
        <f t="shared" ca="1" si="133"/>
        <v>#N/A</v>
      </c>
      <c r="Z300" s="406" t="e">
        <f t="shared" ca="1" si="133"/>
        <v>#N/A</v>
      </c>
      <c r="AA300" s="406" t="e">
        <f t="shared" ca="1" si="133"/>
        <v>#N/A</v>
      </c>
      <c r="AB300" s="406" t="e">
        <f t="shared" ca="1" si="133"/>
        <v>#N/A</v>
      </c>
      <c r="AC300" s="406" t="e">
        <f t="shared" ca="1" si="133"/>
        <v>#N/A</v>
      </c>
      <c r="AD300" s="406" t="e">
        <f t="shared" ca="1" si="133"/>
        <v>#N/A</v>
      </c>
      <c r="AE300" s="406" t="e">
        <f t="shared" ca="1" si="133"/>
        <v>#N/A</v>
      </c>
      <c r="AF300" s="406" t="e">
        <f t="shared" ca="1" si="133"/>
        <v>#N/A</v>
      </c>
      <c r="AG300" s="406" t="e">
        <f t="shared" ca="1" si="133"/>
        <v>#N/A</v>
      </c>
      <c r="AH300" s="406" t="e">
        <f t="shared" ca="1" si="135"/>
        <v>#N/A</v>
      </c>
      <c r="AI300" s="406" t="e">
        <f t="shared" ca="1" si="135"/>
        <v>#N/A</v>
      </c>
      <c r="AJ300" s="406" t="e">
        <f t="shared" ca="1" si="135"/>
        <v>#N/A</v>
      </c>
      <c r="AK300" s="406" t="e">
        <f t="shared" ca="1" si="135"/>
        <v>#N/A</v>
      </c>
      <c r="AL300" s="406" t="e">
        <f t="shared" ca="1" si="135"/>
        <v>#N/A</v>
      </c>
      <c r="AM300" s="406" t="e">
        <f t="shared" ca="1" si="135"/>
        <v>#N/A</v>
      </c>
      <c r="AN300" s="406" t="e">
        <f t="shared" ca="1" si="135"/>
        <v>#N/A</v>
      </c>
      <c r="AO300" s="406" t="e">
        <f t="shared" ca="1" si="135"/>
        <v>#N/A</v>
      </c>
      <c r="AP300" s="406" t="e">
        <f t="shared" ca="1" si="135"/>
        <v>#N/A</v>
      </c>
      <c r="AQ300" s="406" t="e">
        <f t="shared" ca="1" si="135"/>
        <v>#N/A</v>
      </c>
      <c r="AR300" s="406" t="e">
        <f t="shared" ca="1" si="132"/>
        <v>#N/A</v>
      </c>
      <c r="AS300" s="406" t="e">
        <f t="shared" ca="1" si="132"/>
        <v>#N/A</v>
      </c>
      <c r="AT300" s="406" t="e">
        <f t="shared" ca="1" si="132"/>
        <v>#N/A</v>
      </c>
      <c r="AU300" s="406" t="e">
        <f t="shared" ca="1" si="132"/>
        <v>#N/A</v>
      </c>
      <c r="AV300" s="406" t="e">
        <f t="shared" ca="1" si="132"/>
        <v>#N/A</v>
      </c>
      <c r="AW300" s="406" t="e">
        <f t="shared" ca="1" si="132"/>
        <v>#N/A</v>
      </c>
      <c r="AX300" s="406" t="e">
        <f t="shared" ca="1" si="132"/>
        <v>#N/A</v>
      </c>
      <c r="AY300" s="406" t="e">
        <f t="shared" ca="1" si="132"/>
        <v>#N/A</v>
      </c>
      <c r="AZ300" s="406" t="e">
        <f t="shared" ca="1" si="132"/>
        <v>#N/A</v>
      </c>
      <c r="BA300" s="406" t="e">
        <f t="shared" ca="1" si="132"/>
        <v>#N/A</v>
      </c>
      <c r="BB300" s="408"/>
      <c r="BC300" s="408" t="str">
        <f t="shared" ca="1" si="125"/>
        <v/>
      </c>
      <c r="BD300" s="408" t="s">
        <v>1278</v>
      </c>
      <c r="BE300" s="408" t="s">
        <v>1278</v>
      </c>
    </row>
    <row r="301" spans="3:57" x14ac:dyDescent="0.25">
      <c r="C301" s="406">
        <f t="shared" si="127"/>
        <v>299</v>
      </c>
      <c r="D301" s="406" t="e">
        <f t="shared" ca="1" si="136"/>
        <v>#N/A</v>
      </c>
      <c r="E301" s="406" t="e">
        <f t="shared" ca="1" si="136"/>
        <v>#N/A</v>
      </c>
      <c r="F301" s="406" t="e">
        <f t="shared" ca="1" si="136"/>
        <v>#N/A</v>
      </c>
      <c r="G301" s="406" t="e">
        <f t="shared" ca="1" si="136"/>
        <v>#N/A</v>
      </c>
      <c r="H301" s="406" t="e">
        <f t="shared" ca="1" si="136"/>
        <v>#N/A</v>
      </c>
      <c r="I301" s="406" t="e">
        <f t="shared" ca="1" si="136"/>
        <v>#N/A</v>
      </c>
      <c r="J301" s="406" t="e">
        <f t="shared" ca="1" si="136"/>
        <v>#N/A</v>
      </c>
      <c r="K301" s="406" t="e">
        <f t="shared" ca="1" si="136"/>
        <v>#N/A</v>
      </c>
      <c r="L301" s="406" t="e">
        <f t="shared" ca="1" si="136"/>
        <v>#N/A</v>
      </c>
      <c r="M301" s="406" t="e">
        <f t="shared" ca="1" si="136"/>
        <v>#N/A</v>
      </c>
      <c r="N301" s="406" t="e">
        <f t="shared" ca="1" si="134"/>
        <v>#N/A</v>
      </c>
      <c r="O301" s="406" t="e">
        <f t="shared" ca="1" si="134"/>
        <v>#N/A</v>
      </c>
      <c r="P301" s="406" t="e">
        <f t="shared" ca="1" si="134"/>
        <v>#N/A</v>
      </c>
      <c r="Q301" s="406" t="e">
        <f t="shared" ca="1" si="134"/>
        <v>#N/A</v>
      </c>
      <c r="R301" s="406" t="e">
        <f t="shared" ca="1" si="134"/>
        <v>#N/A</v>
      </c>
      <c r="S301" s="406" t="e">
        <f t="shared" ca="1" si="134"/>
        <v>#N/A</v>
      </c>
      <c r="T301" s="406" t="e">
        <f t="shared" ca="1" si="134"/>
        <v>#N/A</v>
      </c>
      <c r="U301" s="406" t="e">
        <f t="shared" ca="1" si="134"/>
        <v>#N/A</v>
      </c>
      <c r="V301" s="406" t="e">
        <f t="shared" ca="1" si="134"/>
        <v>#N/A</v>
      </c>
      <c r="W301" s="406" t="e">
        <f t="shared" ca="1" si="134"/>
        <v>#N/A</v>
      </c>
      <c r="X301" s="406" t="e">
        <f t="shared" ca="1" si="133"/>
        <v>#N/A</v>
      </c>
      <c r="Y301" s="406" t="e">
        <f t="shared" ca="1" si="133"/>
        <v>#N/A</v>
      </c>
      <c r="Z301" s="406" t="e">
        <f t="shared" ca="1" si="133"/>
        <v>#N/A</v>
      </c>
      <c r="AA301" s="406" t="e">
        <f t="shared" ca="1" si="133"/>
        <v>#N/A</v>
      </c>
      <c r="AB301" s="406" t="e">
        <f t="shared" ca="1" si="133"/>
        <v>#N/A</v>
      </c>
      <c r="AC301" s="406" t="e">
        <f t="shared" ca="1" si="133"/>
        <v>#N/A</v>
      </c>
      <c r="AD301" s="406" t="e">
        <f t="shared" ca="1" si="133"/>
        <v>#N/A</v>
      </c>
      <c r="AE301" s="406" t="e">
        <f t="shared" ca="1" si="133"/>
        <v>#N/A</v>
      </c>
      <c r="AF301" s="406" t="e">
        <f t="shared" ca="1" si="133"/>
        <v>#N/A</v>
      </c>
      <c r="AG301" s="406" t="e">
        <f t="shared" ca="1" si="133"/>
        <v>#N/A</v>
      </c>
      <c r="AH301" s="406" t="e">
        <f t="shared" ca="1" si="135"/>
        <v>#N/A</v>
      </c>
      <c r="AI301" s="406" t="e">
        <f t="shared" ca="1" si="135"/>
        <v>#N/A</v>
      </c>
      <c r="AJ301" s="406" t="e">
        <f t="shared" ca="1" si="135"/>
        <v>#N/A</v>
      </c>
      <c r="AK301" s="406" t="e">
        <f t="shared" ca="1" si="135"/>
        <v>#N/A</v>
      </c>
      <c r="AL301" s="406" t="e">
        <f t="shared" ca="1" si="135"/>
        <v>#N/A</v>
      </c>
      <c r="AM301" s="406" t="e">
        <f t="shared" ca="1" si="135"/>
        <v>#N/A</v>
      </c>
      <c r="AN301" s="406" t="e">
        <f t="shared" ca="1" si="135"/>
        <v>#N/A</v>
      </c>
      <c r="AO301" s="406" t="e">
        <f t="shared" ca="1" si="135"/>
        <v>#N/A</v>
      </c>
      <c r="AP301" s="406" t="e">
        <f t="shared" ca="1" si="135"/>
        <v>#N/A</v>
      </c>
      <c r="AQ301" s="406" t="e">
        <f t="shared" ca="1" si="135"/>
        <v>#N/A</v>
      </c>
      <c r="AR301" s="406" t="e">
        <f t="shared" ca="1" si="132"/>
        <v>#N/A</v>
      </c>
      <c r="AS301" s="406" t="e">
        <f t="shared" ca="1" si="132"/>
        <v>#N/A</v>
      </c>
      <c r="AT301" s="406" t="e">
        <f t="shared" ca="1" si="132"/>
        <v>#N/A</v>
      </c>
      <c r="AU301" s="406" t="e">
        <f t="shared" ca="1" si="132"/>
        <v>#N/A</v>
      </c>
      <c r="AV301" s="406" t="e">
        <f t="shared" ca="1" si="132"/>
        <v>#N/A</v>
      </c>
      <c r="AW301" s="406" t="e">
        <f t="shared" ca="1" si="132"/>
        <v>#N/A</v>
      </c>
      <c r="AX301" s="406" t="e">
        <f t="shared" ca="1" si="132"/>
        <v>#N/A</v>
      </c>
      <c r="AY301" s="406" t="e">
        <f t="shared" ca="1" si="132"/>
        <v>#N/A</v>
      </c>
      <c r="AZ301" s="406" t="e">
        <f t="shared" ca="1" si="132"/>
        <v>#N/A</v>
      </c>
      <c r="BA301" s="406" t="e">
        <f t="shared" ca="1" si="132"/>
        <v>#N/A</v>
      </c>
      <c r="BB301" s="408"/>
      <c r="BC301" s="408" t="str">
        <f t="shared" ca="1" si="125"/>
        <v/>
      </c>
      <c r="BD301" s="408" t="s">
        <v>1278</v>
      </c>
      <c r="BE301" s="408" t="s">
        <v>1278</v>
      </c>
    </row>
    <row r="302" spans="3:57" ht="15" customHeight="1" x14ac:dyDescent="0.25">
      <c r="C302" s="406">
        <f t="shared" si="127"/>
        <v>300</v>
      </c>
      <c r="D302" s="406" t="e">
        <f t="shared" ca="1" si="136"/>
        <v>#N/A</v>
      </c>
      <c r="E302" s="406" t="e">
        <f t="shared" ca="1" si="136"/>
        <v>#N/A</v>
      </c>
      <c r="F302" s="406" t="e">
        <f t="shared" ca="1" si="136"/>
        <v>#N/A</v>
      </c>
      <c r="G302" s="406" t="e">
        <f t="shared" ca="1" si="136"/>
        <v>#N/A</v>
      </c>
      <c r="H302" s="406" t="e">
        <f t="shared" ca="1" si="136"/>
        <v>#N/A</v>
      </c>
      <c r="I302" s="406" t="e">
        <f t="shared" ca="1" si="136"/>
        <v>#N/A</v>
      </c>
      <c r="J302" s="406" t="e">
        <f t="shared" ca="1" si="136"/>
        <v>#N/A</v>
      </c>
      <c r="K302" s="406" t="e">
        <f t="shared" ca="1" si="136"/>
        <v>#N/A</v>
      </c>
      <c r="L302" s="406" t="e">
        <f t="shared" ca="1" si="136"/>
        <v>#N/A</v>
      </c>
      <c r="M302" s="406" t="e">
        <f t="shared" ca="1" si="136"/>
        <v>#N/A</v>
      </c>
      <c r="N302" s="406" t="e">
        <f t="shared" ca="1" si="134"/>
        <v>#N/A</v>
      </c>
      <c r="O302" s="406" t="e">
        <f t="shared" ca="1" si="134"/>
        <v>#N/A</v>
      </c>
      <c r="P302" s="406" t="e">
        <f t="shared" ca="1" si="134"/>
        <v>#N/A</v>
      </c>
      <c r="Q302" s="406" t="e">
        <f t="shared" ca="1" si="134"/>
        <v>#N/A</v>
      </c>
      <c r="R302" s="406" t="e">
        <f t="shared" ca="1" si="134"/>
        <v>#N/A</v>
      </c>
      <c r="S302" s="406" t="e">
        <f t="shared" ca="1" si="134"/>
        <v>#N/A</v>
      </c>
      <c r="T302" s="406" t="e">
        <f t="shared" ca="1" si="134"/>
        <v>#N/A</v>
      </c>
      <c r="U302" s="406" t="e">
        <f t="shared" ca="1" si="134"/>
        <v>#N/A</v>
      </c>
      <c r="V302" s="406" t="e">
        <f t="shared" ca="1" si="134"/>
        <v>#N/A</v>
      </c>
      <c r="W302" s="406" t="e">
        <f t="shared" ca="1" si="134"/>
        <v>#N/A</v>
      </c>
      <c r="X302" s="406" t="e">
        <f t="shared" ca="1" si="133"/>
        <v>#N/A</v>
      </c>
      <c r="Y302" s="406" t="e">
        <f t="shared" ca="1" si="133"/>
        <v>#N/A</v>
      </c>
      <c r="Z302" s="406" t="e">
        <f t="shared" ca="1" si="133"/>
        <v>#N/A</v>
      </c>
      <c r="AA302" s="406" t="e">
        <f t="shared" ca="1" si="133"/>
        <v>#N/A</v>
      </c>
      <c r="AB302" s="406" t="e">
        <f t="shared" ca="1" si="133"/>
        <v>#N/A</v>
      </c>
      <c r="AC302" s="406" t="e">
        <f t="shared" ca="1" si="133"/>
        <v>#N/A</v>
      </c>
      <c r="AD302" s="406" t="e">
        <f t="shared" ca="1" si="133"/>
        <v>#N/A</v>
      </c>
      <c r="AE302" s="406" t="e">
        <f t="shared" ca="1" si="133"/>
        <v>#N/A</v>
      </c>
      <c r="AF302" s="406" t="e">
        <f t="shared" ca="1" si="133"/>
        <v>#N/A</v>
      </c>
      <c r="AG302" s="406" t="e">
        <f t="shared" ca="1" si="133"/>
        <v>#N/A</v>
      </c>
      <c r="AH302" s="406" t="e">
        <f t="shared" ca="1" si="135"/>
        <v>#N/A</v>
      </c>
      <c r="AI302" s="406" t="e">
        <f t="shared" ca="1" si="135"/>
        <v>#N/A</v>
      </c>
      <c r="AJ302" s="406" t="e">
        <f t="shared" ca="1" si="135"/>
        <v>#N/A</v>
      </c>
      <c r="AK302" s="406" t="e">
        <f t="shared" ca="1" si="135"/>
        <v>#N/A</v>
      </c>
      <c r="AL302" s="406" t="e">
        <f t="shared" ca="1" si="135"/>
        <v>#N/A</v>
      </c>
      <c r="AM302" s="406" t="e">
        <f t="shared" ca="1" si="135"/>
        <v>#N/A</v>
      </c>
      <c r="AN302" s="406" t="e">
        <f t="shared" ca="1" si="135"/>
        <v>#N/A</v>
      </c>
      <c r="AO302" s="406" t="e">
        <f t="shared" ca="1" si="135"/>
        <v>#N/A</v>
      </c>
      <c r="AP302" s="406" t="e">
        <f t="shared" ca="1" si="135"/>
        <v>#N/A</v>
      </c>
      <c r="AQ302" s="406" t="e">
        <f t="shared" ca="1" si="135"/>
        <v>#N/A</v>
      </c>
      <c r="AR302" s="406" t="e">
        <f t="shared" ca="1" si="132"/>
        <v>#N/A</v>
      </c>
      <c r="AS302" s="406" t="e">
        <f t="shared" ca="1" si="132"/>
        <v>#N/A</v>
      </c>
      <c r="AT302" s="406" t="e">
        <f t="shared" ca="1" si="132"/>
        <v>#N/A</v>
      </c>
      <c r="AU302" s="406" t="e">
        <f t="shared" ca="1" si="132"/>
        <v>#N/A</v>
      </c>
      <c r="AV302" s="406" t="e">
        <f t="shared" ca="1" si="132"/>
        <v>#N/A</v>
      </c>
      <c r="AW302" s="406" t="e">
        <f t="shared" ca="1" si="132"/>
        <v>#N/A</v>
      </c>
      <c r="AX302" s="406" t="e">
        <f t="shared" ca="1" si="132"/>
        <v>#N/A</v>
      </c>
      <c r="AY302" s="406" t="e">
        <f t="shared" ca="1" si="132"/>
        <v>#N/A</v>
      </c>
      <c r="AZ302" s="406" t="e">
        <f t="shared" ca="1" si="132"/>
        <v>#N/A</v>
      </c>
      <c r="BA302" s="406" t="e">
        <f t="shared" ca="1" si="132"/>
        <v>#N/A</v>
      </c>
      <c r="BB302" s="408"/>
      <c r="BC302" s="408" t="str">
        <f t="shared" ca="1" si="125"/>
        <v/>
      </c>
      <c r="BD302" s="408" t="s">
        <v>1278</v>
      </c>
      <c r="BE302" s="408" t="s">
        <v>1278</v>
      </c>
    </row>
    <row r="303" spans="3:57" x14ac:dyDescent="0.25">
      <c r="C303" s="406">
        <f t="shared" si="127"/>
        <v>301</v>
      </c>
      <c r="D303" s="406" t="e">
        <f t="shared" ca="1" si="136"/>
        <v>#N/A</v>
      </c>
      <c r="E303" s="406" t="e">
        <f t="shared" ca="1" si="136"/>
        <v>#N/A</v>
      </c>
      <c r="F303" s="406" t="e">
        <f t="shared" ca="1" si="136"/>
        <v>#N/A</v>
      </c>
      <c r="G303" s="406" t="e">
        <f t="shared" ca="1" si="136"/>
        <v>#N/A</v>
      </c>
      <c r="H303" s="406" t="e">
        <f t="shared" ca="1" si="136"/>
        <v>#N/A</v>
      </c>
      <c r="I303" s="406" t="e">
        <f t="shared" ca="1" si="136"/>
        <v>#N/A</v>
      </c>
      <c r="J303" s="406" t="e">
        <f t="shared" ca="1" si="136"/>
        <v>#N/A</v>
      </c>
      <c r="K303" s="406" t="e">
        <f t="shared" ca="1" si="136"/>
        <v>#N/A</v>
      </c>
      <c r="L303" s="406" t="e">
        <f t="shared" ca="1" si="136"/>
        <v>#N/A</v>
      </c>
      <c r="M303" s="406" t="e">
        <f t="shared" ca="1" si="136"/>
        <v>#N/A</v>
      </c>
      <c r="N303" s="406" t="e">
        <f t="shared" ca="1" si="134"/>
        <v>#N/A</v>
      </c>
      <c r="O303" s="406" t="e">
        <f t="shared" ca="1" si="134"/>
        <v>#N/A</v>
      </c>
      <c r="P303" s="406" t="e">
        <f t="shared" ca="1" si="134"/>
        <v>#N/A</v>
      </c>
      <c r="Q303" s="406" t="e">
        <f t="shared" ca="1" si="134"/>
        <v>#N/A</v>
      </c>
      <c r="R303" s="406" t="e">
        <f t="shared" ca="1" si="134"/>
        <v>#N/A</v>
      </c>
      <c r="S303" s="406" t="e">
        <f t="shared" ca="1" si="134"/>
        <v>#N/A</v>
      </c>
      <c r="T303" s="406" t="e">
        <f t="shared" ca="1" si="134"/>
        <v>#N/A</v>
      </c>
      <c r="U303" s="406" t="e">
        <f t="shared" ca="1" si="134"/>
        <v>#N/A</v>
      </c>
      <c r="V303" s="406" t="e">
        <f t="shared" ca="1" si="134"/>
        <v>#N/A</v>
      </c>
      <c r="W303" s="406" t="e">
        <f t="shared" ca="1" si="134"/>
        <v>#N/A</v>
      </c>
      <c r="X303" s="406" t="e">
        <f t="shared" ca="1" si="133"/>
        <v>#N/A</v>
      </c>
      <c r="Y303" s="406" t="e">
        <f t="shared" ca="1" si="133"/>
        <v>#N/A</v>
      </c>
      <c r="Z303" s="406" t="e">
        <f t="shared" ca="1" si="133"/>
        <v>#N/A</v>
      </c>
      <c r="AA303" s="406" t="e">
        <f t="shared" ca="1" si="133"/>
        <v>#N/A</v>
      </c>
      <c r="AB303" s="406" t="e">
        <f t="shared" ca="1" si="133"/>
        <v>#N/A</v>
      </c>
      <c r="AC303" s="406" t="e">
        <f t="shared" ca="1" si="133"/>
        <v>#N/A</v>
      </c>
      <c r="AD303" s="406" t="e">
        <f t="shared" ca="1" si="133"/>
        <v>#N/A</v>
      </c>
      <c r="AE303" s="406" t="e">
        <f t="shared" ca="1" si="133"/>
        <v>#N/A</v>
      </c>
      <c r="AF303" s="406" t="e">
        <f t="shared" ca="1" si="133"/>
        <v>#N/A</v>
      </c>
      <c r="AG303" s="406" t="e">
        <f t="shared" ca="1" si="133"/>
        <v>#N/A</v>
      </c>
      <c r="AH303" s="406" t="e">
        <f t="shared" ca="1" si="135"/>
        <v>#N/A</v>
      </c>
      <c r="AI303" s="406" t="e">
        <f t="shared" ca="1" si="135"/>
        <v>#N/A</v>
      </c>
      <c r="AJ303" s="406" t="e">
        <f t="shared" ca="1" si="135"/>
        <v>#N/A</v>
      </c>
      <c r="AK303" s="406" t="e">
        <f t="shared" ca="1" si="135"/>
        <v>#N/A</v>
      </c>
      <c r="AL303" s="406" t="e">
        <f t="shared" ca="1" si="135"/>
        <v>#N/A</v>
      </c>
      <c r="AM303" s="406" t="e">
        <f t="shared" ca="1" si="135"/>
        <v>#N/A</v>
      </c>
      <c r="AN303" s="406" t="e">
        <f t="shared" ca="1" si="135"/>
        <v>#N/A</v>
      </c>
      <c r="AO303" s="406" t="e">
        <f t="shared" ca="1" si="135"/>
        <v>#N/A</v>
      </c>
      <c r="AP303" s="406" t="e">
        <f t="shared" ca="1" si="135"/>
        <v>#N/A</v>
      </c>
      <c r="AQ303" s="406" t="e">
        <f t="shared" ca="1" si="135"/>
        <v>#N/A</v>
      </c>
      <c r="AR303" s="406" t="e">
        <f t="shared" ca="1" si="132"/>
        <v>#N/A</v>
      </c>
      <c r="AS303" s="406" t="e">
        <f t="shared" ca="1" si="132"/>
        <v>#N/A</v>
      </c>
      <c r="AT303" s="406" t="e">
        <f t="shared" ca="1" si="132"/>
        <v>#N/A</v>
      </c>
      <c r="AU303" s="406" t="e">
        <f t="shared" ca="1" si="132"/>
        <v>#N/A</v>
      </c>
      <c r="AV303" s="406" t="e">
        <f t="shared" ca="1" si="132"/>
        <v>#N/A</v>
      </c>
      <c r="AW303" s="406" t="e">
        <f t="shared" ca="1" si="132"/>
        <v>#N/A</v>
      </c>
      <c r="AX303" s="406" t="e">
        <f t="shared" ca="1" si="132"/>
        <v>#N/A</v>
      </c>
      <c r="AY303" s="406" t="e">
        <f t="shared" ca="1" si="132"/>
        <v>#N/A</v>
      </c>
      <c r="AZ303" s="406" t="e">
        <f t="shared" ca="1" si="132"/>
        <v>#N/A</v>
      </c>
      <c r="BA303" s="406" t="e">
        <f t="shared" ca="1" si="132"/>
        <v>#N/A</v>
      </c>
      <c r="BB303" s="408"/>
      <c r="BC303" s="408" t="str">
        <f t="shared" ca="1" si="125"/>
        <v/>
      </c>
      <c r="BD303" s="408" t="s">
        <v>1278</v>
      </c>
      <c r="BE303" s="408" t="s">
        <v>1278</v>
      </c>
    </row>
    <row r="304" spans="3:57" x14ac:dyDescent="0.25">
      <c r="C304" s="406">
        <f t="shared" si="127"/>
        <v>302</v>
      </c>
      <c r="D304" s="406" t="e">
        <f t="shared" ca="1" si="136"/>
        <v>#N/A</v>
      </c>
      <c r="E304" s="406" t="e">
        <f t="shared" ca="1" si="136"/>
        <v>#N/A</v>
      </c>
      <c r="F304" s="406" t="e">
        <f t="shared" ca="1" si="136"/>
        <v>#N/A</v>
      </c>
      <c r="G304" s="406" t="e">
        <f t="shared" ca="1" si="136"/>
        <v>#N/A</v>
      </c>
      <c r="H304" s="406" t="e">
        <f t="shared" ca="1" si="136"/>
        <v>#N/A</v>
      </c>
      <c r="I304" s="406" t="e">
        <f t="shared" ca="1" si="136"/>
        <v>#N/A</v>
      </c>
      <c r="J304" s="406" t="e">
        <f t="shared" ca="1" si="136"/>
        <v>#N/A</v>
      </c>
      <c r="K304" s="406" t="e">
        <f t="shared" ca="1" si="136"/>
        <v>#N/A</v>
      </c>
      <c r="L304" s="406" t="e">
        <f t="shared" ca="1" si="136"/>
        <v>#N/A</v>
      </c>
      <c r="M304" s="406" t="e">
        <f t="shared" ca="1" si="136"/>
        <v>#N/A</v>
      </c>
      <c r="N304" s="406" t="e">
        <f t="shared" ca="1" si="134"/>
        <v>#N/A</v>
      </c>
      <c r="O304" s="406" t="e">
        <f t="shared" ca="1" si="134"/>
        <v>#N/A</v>
      </c>
      <c r="P304" s="406" t="e">
        <f t="shared" ca="1" si="134"/>
        <v>#N/A</v>
      </c>
      <c r="Q304" s="406" t="e">
        <f t="shared" ca="1" si="134"/>
        <v>#N/A</v>
      </c>
      <c r="R304" s="406" t="e">
        <f t="shared" ca="1" si="134"/>
        <v>#N/A</v>
      </c>
      <c r="S304" s="406" t="e">
        <f t="shared" ca="1" si="134"/>
        <v>#N/A</v>
      </c>
      <c r="T304" s="406" t="e">
        <f t="shared" ca="1" si="134"/>
        <v>#N/A</v>
      </c>
      <c r="U304" s="406" t="e">
        <f t="shared" ca="1" si="134"/>
        <v>#N/A</v>
      </c>
      <c r="V304" s="406" t="e">
        <f t="shared" ca="1" si="134"/>
        <v>#N/A</v>
      </c>
      <c r="W304" s="406" t="e">
        <f t="shared" ca="1" si="134"/>
        <v>#N/A</v>
      </c>
      <c r="X304" s="406" t="e">
        <f t="shared" ca="1" si="133"/>
        <v>#N/A</v>
      </c>
      <c r="Y304" s="406" t="e">
        <f t="shared" ca="1" si="133"/>
        <v>#N/A</v>
      </c>
      <c r="Z304" s="406" t="e">
        <f t="shared" ca="1" si="133"/>
        <v>#N/A</v>
      </c>
      <c r="AA304" s="406" t="e">
        <f t="shared" ca="1" si="133"/>
        <v>#N/A</v>
      </c>
      <c r="AB304" s="406" t="e">
        <f t="shared" ca="1" si="133"/>
        <v>#N/A</v>
      </c>
      <c r="AC304" s="406" t="e">
        <f t="shared" ca="1" si="133"/>
        <v>#N/A</v>
      </c>
      <c r="AD304" s="406" t="e">
        <f t="shared" ca="1" si="133"/>
        <v>#N/A</v>
      </c>
      <c r="AE304" s="406" t="e">
        <f t="shared" ca="1" si="133"/>
        <v>#N/A</v>
      </c>
      <c r="AF304" s="406" t="e">
        <f t="shared" ca="1" si="133"/>
        <v>#N/A</v>
      </c>
      <c r="AG304" s="406" t="e">
        <f t="shared" ca="1" si="133"/>
        <v>#N/A</v>
      </c>
      <c r="AH304" s="406" t="e">
        <f t="shared" ca="1" si="135"/>
        <v>#N/A</v>
      </c>
      <c r="AI304" s="406" t="e">
        <f t="shared" ca="1" si="135"/>
        <v>#N/A</v>
      </c>
      <c r="AJ304" s="406" t="e">
        <f t="shared" ca="1" si="135"/>
        <v>#N/A</v>
      </c>
      <c r="AK304" s="406" t="e">
        <f t="shared" ca="1" si="135"/>
        <v>#N/A</v>
      </c>
      <c r="AL304" s="406" t="e">
        <f t="shared" ca="1" si="135"/>
        <v>#N/A</v>
      </c>
      <c r="AM304" s="406" t="e">
        <f t="shared" ca="1" si="135"/>
        <v>#N/A</v>
      </c>
      <c r="AN304" s="406" t="e">
        <f t="shared" ca="1" si="135"/>
        <v>#N/A</v>
      </c>
      <c r="AO304" s="406" t="e">
        <f t="shared" ca="1" si="135"/>
        <v>#N/A</v>
      </c>
      <c r="AP304" s="406" t="e">
        <f t="shared" ca="1" si="135"/>
        <v>#N/A</v>
      </c>
      <c r="AQ304" s="406" t="e">
        <f t="shared" ca="1" si="135"/>
        <v>#N/A</v>
      </c>
      <c r="AR304" s="406" t="e">
        <f t="shared" ca="1" si="132"/>
        <v>#N/A</v>
      </c>
      <c r="AS304" s="406" t="e">
        <f t="shared" ca="1" si="132"/>
        <v>#N/A</v>
      </c>
      <c r="AT304" s="406" t="e">
        <f t="shared" ca="1" si="132"/>
        <v>#N/A</v>
      </c>
      <c r="AU304" s="406" t="e">
        <f t="shared" ca="1" si="132"/>
        <v>#N/A</v>
      </c>
      <c r="AV304" s="406" t="e">
        <f t="shared" ca="1" si="132"/>
        <v>#N/A</v>
      </c>
      <c r="AW304" s="406" t="e">
        <f t="shared" ca="1" si="132"/>
        <v>#N/A</v>
      </c>
      <c r="AX304" s="406" t="e">
        <f t="shared" ca="1" si="132"/>
        <v>#N/A</v>
      </c>
      <c r="AY304" s="406" t="e">
        <f t="shared" ca="1" si="132"/>
        <v>#N/A</v>
      </c>
      <c r="AZ304" s="406" t="e">
        <f t="shared" ca="1" si="132"/>
        <v>#N/A</v>
      </c>
      <c r="BA304" s="406" t="e">
        <f t="shared" ca="1" si="132"/>
        <v>#N/A</v>
      </c>
      <c r="BB304" s="408"/>
      <c r="BC304" s="408" t="str">
        <f t="shared" ca="1" si="125"/>
        <v/>
      </c>
      <c r="BD304" s="408" t="s">
        <v>1278</v>
      </c>
      <c r="BE304" s="408" t="s">
        <v>1278</v>
      </c>
    </row>
    <row r="305" spans="3:57" ht="15" customHeight="1" x14ac:dyDescent="0.25">
      <c r="C305" s="406">
        <f t="shared" si="127"/>
        <v>303</v>
      </c>
      <c r="D305" s="406" t="e">
        <f t="shared" ca="1" si="136"/>
        <v>#N/A</v>
      </c>
      <c r="E305" s="406" t="e">
        <f t="shared" ca="1" si="136"/>
        <v>#N/A</v>
      </c>
      <c r="F305" s="406" t="e">
        <f t="shared" ca="1" si="136"/>
        <v>#N/A</v>
      </c>
      <c r="G305" s="406" t="e">
        <f t="shared" ca="1" si="136"/>
        <v>#N/A</v>
      </c>
      <c r="H305" s="406" t="e">
        <f t="shared" ca="1" si="136"/>
        <v>#N/A</v>
      </c>
      <c r="I305" s="406" t="e">
        <f t="shared" ca="1" si="136"/>
        <v>#N/A</v>
      </c>
      <c r="J305" s="406" t="e">
        <f t="shared" ca="1" si="136"/>
        <v>#N/A</v>
      </c>
      <c r="K305" s="406" t="e">
        <f t="shared" ca="1" si="136"/>
        <v>#N/A</v>
      </c>
      <c r="L305" s="406" t="e">
        <f t="shared" ca="1" si="136"/>
        <v>#N/A</v>
      </c>
      <c r="M305" s="406" t="e">
        <f t="shared" ca="1" si="136"/>
        <v>#N/A</v>
      </c>
      <c r="N305" s="406" t="e">
        <f t="shared" ca="1" si="134"/>
        <v>#N/A</v>
      </c>
      <c r="O305" s="406" t="e">
        <f t="shared" ca="1" si="134"/>
        <v>#N/A</v>
      </c>
      <c r="P305" s="406" t="e">
        <f t="shared" ca="1" si="134"/>
        <v>#N/A</v>
      </c>
      <c r="Q305" s="406" t="e">
        <f t="shared" ca="1" si="134"/>
        <v>#N/A</v>
      </c>
      <c r="R305" s="406" t="e">
        <f t="shared" ca="1" si="134"/>
        <v>#N/A</v>
      </c>
      <c r="S305" s="406" t="e">
        <f t="shared" ca="1" si="134"/>
        <v>#N/A</v>
      </c>
      <c r="T305" s="406" t="e">
        <f t="shared" ca="1" si="134"/>
        <v>#N/A</v>
      </c>
      <c r="U305" s="406" t="e">
        <f t="shared" ca="1" si="134"/>
        <v>#N/A</v>
      </c>
      <c r="V305" s="406" t="e">
        <f t="shared" ca="1" si="134"/>
        <v>#N/A</v>
      </c>
      <c r="W305" s="406" t="e">
        <f t="shared" ca="1" si="134"/>
        <v>#N/A</v>
      </c>
      <c r="X305" s="406" t="e">
        <f t="shared" ca="1" si="133"/>
        <v>#N/A</v>
      </c>
      <c r="Y305" s="406" t="e">
        <f t="shared" ca="1" si="133"/>
        <v>#N/A</v>
      </c>
      <c r="Z305" s="406" t="e">
        <f t="shared" ca="1" si="133"/>
        <v>#N/A</v>
      </c>
      <c r="AA305" s="406" t="e">
        <f t="shared" ca="1" si="133"/>
        <v>#N/A</v>
      </c>
      <c r="AB305" s="406" t="e">
        <f t="shared" ca="1" si="133"/>
        <v>#N/A</v>
      </c>
      <c r="AC305" s="406" t="e">
        <f t="shared" ca="1" si="133"/>
        <v>#N/A</v>
      </c>
      <c r="AD305" s="406" t="e">
        <f t="shared" ca="1" si="133"/>
        <v>#N/A</v>
      </c>
      <c r="AE305" s="406" t="e">
        <f t="shared" ca="1" si="133"/>
        <v>#N/A</v>
      </c>
      <c r="AF305" s="406" t="e">
        <f t="shared" ca="1" si="133"/>
        <v>#N/A</v>
      </c>
      <c r="AG305" s="406" t="e">
        <f t="shared" ca="1" si="133"/>
        <v>#N/A</v>
      </c>
      <c r="AH305" s="406" t="e">
        <f t="shared" ca="1" si="135"/>
        <v>#N/A</v>
      </c>
      <c r="AI305" s="406" t="e">
        <f t="shared" ca="1" si="135"/>
        <v>#N/A</v>
      </c>
      <c r="AJ305" s="406" t="e">
        <f t="shared" ca="1" si="135"/>
        <v>#N/A</v>
      </c>
      <c r="AK305" s="406" t="e">
        <f t="shared" ca="1" si="135"/>
        <v>#N/A</v>
      </c>
      <c r="AL305" s="406" t="e">
        <f t="shared" ca="1" si="135"/>
        <v>#N/A</v>
      </c>
      <c r="AM305" s="406" t="e">
        <f t="shared" ca="1" si="135"/>
        <v>#N/A</v>
      </c>
      <c r="AN305" s="406" t="e">
        <f t="shared" ca="1" si="135"/>
        <v>#N/A</v>
      </c>
      <c r="AO305" s="406" t="e">
        <f t="shared" ca="1" si="135"/>
        <v>#N/A</v>
      </c>
      <c r="AP305" s="406" t="e">
        <f t="shared" ca="1" si="135"/>
        <v>#N/A</v>
      </c>
      <c r="AQ305" s="406" t="e">
        <f t="shared" ca="1" si="135"/>
        <v>#N/A</v>
      </c>
      <c r="AR305" s="406" t="e">
        <f t="shared" ca="1" si="132"/>
        <v>#N/A</v>
      </c>
      <c r="AS305" s="406" t="e">
        <f t="shared" ca="1" si="132"/>
        <v>#N/A</v>
      </c>
      <c r="AT305" s="406" t="e">
        <f t="shared" ca="1" si="132"/>
        <v>#N/A</v>
      </c>
      <c r="AU305" s="406" t="e">
        <f t="shared" ca="1" si="132"/>
        <v>#N/A</v>
      </c>
      <c r="AV305" s="406" t="e">
        <f t="shared" ca="1" si="132"/>
        <v>#N/A</v>
      </c>
      <c r="AW305" s="406" t="e">
        <f t="shared" ca="1" si="132"/>
        <v>#N/A</v>
      </c>
      <c r="AX305" s="406" t="e">
        <f t="shared" ca="1" si="132"/>
        <v>#N/A</v>
      </c>
      <c r="AY305" s="406" t="e">
        <f t="shared" ca="1" si="132"/>
        <v>#N/A</v>
      </c>
      <c r="AZ305" s="406" t="e">
        <f t="shared" ca="1" si="132"/>
        <v>#N/A</v>
      </c>
      <c r="BA305" s="406" t="e">
        <f t="shared" ca="1" si="132"/>
        <v>#N/A</v>
      </c>
      <c r="BB305" s="408"/>
      <c r="BC305" s="408" t="str">
        <f t="shared" ca="1" si="125"/>
        <v/>
      </c>
      <c r="BD305" s="408" t="s">
        <v>1278</v>
      </c>
      <c r="BE305" s="408" t="s">
        <v>1278</v>
      </c>
    </row>
    <row r="306" spans="3:57" x14ac:dyDescent="0.25">
      <c r="C306" s="406">
        <f t="shared" si="127"/>
        <v>304</v>
      </c>
      <c r="D306" s="406" t="e">
        <f t="shared" ca="1" si="136"/>
        <v>#N/A</v>
      </c>
      <c r="E306" s="406" t="e">
        <f t="shared" ca="1" si="136"/>
        <v>#N/A</v>
      </c>
      <c r="F306" s="406" t="e">
        <f t="shared" ca="1" si="136"/>
        <v>#N/A</v>
      </c>
      <c r="G306" s="406" t="e">
        <f t="shared" ca="1" si="136"/>
        <v>#N/A</v>
      </c>
      <c r="H306" s="406" t="e">
        <f t="shared" ca="1" si="136"/>
        <v>#N/A</v>
      </c>
      <c r="I306" s="406" t="e">
        <f t="shared" ca="1" si="136"/>
        <v>#N/A</v>
      </c>
      <c r="J306" s="406" t="e">
        <f t="shared" ca="1" si="136"/>
        <v>#N/A</v>
      </c>
      <c r="K306" s="406" t="e">
        <f t="shared" ca="1" si="136"/>
        <v>#N/A</v>
      </c>
      <c r="L306" s="406" t="e">
        <f t="shared" ca="1" si="136"/>
        <v>#N/A</v>
      </c>
      <c r="M306" s="406" t="e">
        <f t="shared" ca="1" si="136"/>
        <v>#N/A</v>
      </c>
      <c r="N306" s="406" t="e">
        <f t="shared" ca="1" si="134"/>
        <v>#N/A</v>
      </c>
      <c r="O306" s="406" t="e">
        <f t="shared" ca="1" si="134"/>
        <v>#N/A</v>
      </c>
      <c r="P306" s="406" t="e">
        <f t="shared" ca="1" si="134"/>
        <v>#N/A</v>
      </c>
      <c r="Q306" s="406" t="e">
        <f t="shared" ca="1" si="134"/>
        <v>#N/A</v>
      </c>
      <c r="R306" s="406" t="e">
        <f t="shared" ca="1" si="134"/>
        <v>#N/A</v>
      </c>
      <c r="S306" s="406" t="e">
        <f t="shared" ca="1" si="134"/>
        <v>#N/A</v>
      </c>
      <c r="T306" s="406" t="e">
        <f t="shared" ca="1" si="134"/>
        <v>#N/A</v>
      </c>
      <c r="U306" s="406" t="e">
        <f t="shared" ca="1" si="134"/>
        <v>#N/A</v>
      </c>
      <c r="V306" s="406" t="e">
        <f t="shared" ca="1" si="134"/>
        <v>#N/A</v>
      </c>
      <c r="W306" s="406" t="e">
        <f t="shared" ca="1" si="134"/>
        <v>#N/A</v>
      </c>
      <c r="X306" s="406" t="e">
        <f t="shared" ca="1" si="133"/>
        <v>#N/A</v>
      </c>
      <c r="Y306" s="406" t="e">
        <f t="shared" ca="1" si="133"/>
        <v>#N/A</v>
      </c>
      <c r="Z306" s="406" t="e">
        <f t="shared" ca="1" si="133"/>
        <v>#N/A</v>
      </c>
      <c r="AA306" s="406" t="e">
        <f t="shared" ca="1" si="133"/>
        <v>#N/A</v>
      </c>
      <c r="AB306" s="406" t="e">
        <f t="shared" ca="1" si="133"/>
        <v>#N/A</v>
      </c>
      <c r="AC306" s="406" t="e">
        <f t="shared" ca="1" si="133"/>
        <v>#N/A</v>
      </c>
      <c r="AD306" s="406" t="e">
        <f t="shared" ca="1" si="133"/>
        <v>#N/A</v>
      </c>
      <c r="AE306" s="406" t="e">
        <f t="shared" ca="1" si="133"/>
        <v>#N/A</v>
      </c>
      <c r="AF306" s="406" t="e">
        <f t="shared" ca="1" si="133"/>
        <v>#N/A</v>
      </c>
      <c r="AG306" s="406" t="e">
        <f t="shared" ca="1" si="133"/>
        <v>#N/A</v>
      </c>
      <c r="AH306" s="406" t="e">
        <f t="shared" ca="1" si="135"/>
        <v>#N/A</v>
      </c>
      <c r="AI306" s="406" t="e">
        <f t="shared" ca="1" si="135"/>
        <v>#N/A</v>
      </c>
      <c r="AJ306" s="406" t="e">
        <f t="shared" ca="1" si="135"/>
        <v>#N/A</v>
      </c>
      <c r="AK306" s="406" t="e">
        <f t="shared" ca="1" si="135"/>
        <v>#N/A</v>
      </c>
      <c r="AL306" s="406" t="e">
        <f t="shared" ca="1" si="135"/>
        <v>#N/A</v>
      </c>
      <c r="AM306" s="406" t="e">
        <f t="shared" ca="1" si="135"/>
        <v>#N/A</v>
      </c>
      <c r="AN306" s="406" t="e">
        <f t="shared" ca="1" si="135"/>
        <v>#N/A</v>
      </c>
      <c r="AO306" s="406" t="e">
        <f t="shared" ca="1" si="135"/>
        <v>#N/A</v>
      </c>
      <c r="AP306" s="406" t="e">
        <f t="shared" ca="1" si="135"/>
        <v>#N/A</v>
      </c>
      <c r="AQ306" s="406" t="e">
        <f t="shared" ca="1" si="135"/>
        <v>#N/A</v>
      </c>
      <c r="AR306" s="406" t="e">
        <f t="shared" ca="1" si="132"/>
        <v>#N/A</v>
      </c>
      <c r="AS306" s="406" t="e">
        <f t="shared" ca="1" si="132"/>
        <v>#N/A</v>
      </c>
      <c r="AT306" s="406" t="e">
        <f t="shared" ca="1" si="132"/>
        <v>#N/A</v>
      </c>
      <c r="AU306" s="406" t="e">
        <f t="shared" ca="1" si="132"/>
        <v>#N/A</v>
      </c>
      <c r="AV306" s="406" t="e">
        <f t="shared" ca="1" si="132"/>
        <v>#N/A</v>
      </c>
      <c r="AW306" s="406" t="e">
        <f t="shared" ca="1" si="132"/>
        <v>#N/A</v>
      </c>
      <c r="AX306" s="406" t="e">
        <f t="shared" ca="1" si="132"/>
        <v>#N/A</v>
      </c>
      <c r="AY306" s="406" t="e">
        <f t="shared" ca="1" si="132"/>
        <v>#N/A</v>
      </c>
      <c r="AZ306" s="406" t="e">
        <f t="shared" ca="1" si="132"/>
        <v>#N/A</v>
      </c>
      <c r="BA306" s="406" t="e">
        <f t="shared" ca="1" si="132"/>
        <v>#N/A</v>
      </c>
      <c r="BB306" s="408"/>
      <c r="BC306" s="408" t="str">
        <f t="shared" ca="1" si="125"/>
        <v/>
      </c>
      <c r="BD306" s="408" t="s">
        <v>1278</v>
      </c>
      <c r="BE306" s="408" t="s">
        <v>1278</v>
      </c>
    </row>
    <row r="307" spans="3:57" x14ac:dyDescent="0.25">
      <c r="C307" s="406">
        <f t="shared" si="127"/>
        <v>305</v>
      </c>
      <c r="D307" s="406" t="e">
        <f t="shared" ca="1" si="136"/>
        <v>#N/A</v>
      </c>
      <c r="E307" s="406" t="e">
        <f t="shared" ca="1" si="136"/>
        <v>#N/A</v>
      </c>
      <c r="F307" s="406" t="e">
        <f t="shared" ca="1" si="136"/>
        <v>#N/A</v>
      </c>
      <c r="G307" s="406" t="e">
        <f t="shared" ca="1" si="136"/>
        <v>#N/A</v>
      </c>
      <c r="H307" s="406" t="e">
        <f t="shared" ca="1" si="136"/>
        <v>#N/A</v>
      </c>
      <c r="I307" s="406" t="e">
        <f t="shared" ca="1" si="136"/>
        <v>#N/A</v>
      </c>
      <c r="J307" s="406" t="e">
        <f t="shared" ca="1" si="136"/>
        <v>#N/A</v>
      </c>
      <c r="K307" s="406" t="e">
        <f t="shared" ca="1" si="136"/>
        <v>#N/A</v>
      </c>
      <c r="L307" s="406" t="e">
        <f t="shared" ca="1" si="136"/>
        <v>#N/A</v>
      </c>
      <c r="M307" s="406" t="e">
        <f t="shared" ca="1" si="136"/>
        <v>#N/A</v>
      </c>
      <c r="N307" s="406" t="e">
        <f t="shared" ca="1" si="134"/>
        <v>#N/A</v>
      </c>
      <c r="O307" s="406" t="e">
        <f t="shared" ca="1" si="134"/>
        <v>#N/A</v>
      </c>
      <c r="P307" s="406" t="e">
        <f t="shared" ca="1" si="134"/>
        <v>#N/A</v>
      </c>
      <c r="Q307" s="406" t="e">
        <f t="shared" ca="1" si="134"/>
        <v>#N/A</v>
      </c>
      <c r="R307" s="406" t="e">
        <f t="shared" ca="1" si="134"/>
        <v>#N/A</v>
      </c>
      <c r="S307" s="406" t="e">
        <f t="shared" ca="1" si="134"/>
        <v>#N/A</v>
      </c>
      <c r="T307" s="406" t="e">
        <f t="shared" ca="1" si="134"/>
        <v>#N/A</v>
      </c>
      <c r="U307" s="406" t="e">
        <f t="shared" ca="1" si="134"/>
        <v>#N/A</v>
      </c>
      <c r="V307" s="406" t="e">
        <f t="shared" ca="1" si="134"/>
        <v>#N/A</v>
      </c>
      <c r="W307" s="406" t="e">
        <f t="shared" ca="1" si="134"/>
        <v>#N/A</v>
      </c>
      <c r="X307" s="406" t="e">
        <f t="shared" ca="1" si="133"/>
        <v>#N/A</v>
      </c>
      <c r="Y307" s="406" t="e">
        <f t="shared" ca="1" si="133"/>
        <v>#N/A</v>
      </c>
      <c r="Z307" s="406" t="e">
        <f t="shared" ca="1" si="133"/>
        <v>#N/A</v>
      </c>
      <c r="AA307" s="406" t="e">
        <f t="shared" ca="1" si="133"/>
        <v>#N/A</v>
      </c>
      <c r="AB307" s="406" t="e">
        <f t="shared" ca="1" si="133"/>
        <v>#N/A</v>
      </c>
      <c r="AC307" s="406" t="e">
        <f t="shared" ca="1" si="133"/>
        <v>#N/A</v>
      </c>
      <c r="AD307" s="406" t="e">
        <f t="shared" ca="1" si="133"/>
        <v>#N/A</v>
      </c>
      <c r="AE307" s="406" t="e">
        <f t="shared" ca="1" si="133"/>
        <v>#N/A</v>
      </c>
      <c r="AF307" s="406" t="e">
        <f t="shared" ca="1" si="133"/>
        <v>#N/A</v>
      </c>
      <c r="AG307" s="406" t="e">
        <f t="shared" ca="1" si="133"/>
        <v>#N/A</v>
      </c>
      <c r="AH307" s="406" t="e">
        <f t="shared" ca="1" si="135"/>
        <v>#N/A</v>
      </c>
      <c r="AI307" s="406" t="e">
        <f t="shared" ca="1" si="135"/>
        <v>#N/A</v>
      </c>
      <c r="AJ307" s="406" t="e">
        <f t="shared" ca="1" si="135"/>
        <v>#N/A</v>
      </c>
      <c r="AK307" s="406" t="e">
        <f t="shared" ca="1" si="135"/>
        <v>#N/A</v>
      </c>
      <c r="AL307" s="406" t="e">
        <f t="shared" ca="1" si="135"/>
        <v>#N/A</v>
      </c>
      <c r="AM307" s="406" t="e">
        <f t="shared" ca="1" si="135"/>
        <v>#N/A</v>
      </c>
      <c r="AN307" s="406" t="e">
        <f t="shared" ca="1" si="135"/>
        <v>#N/A</v>
      </c>
      <c r="AO307" s="406" t="e">
        <f t="shared" ca="1" si="135"/>
        <v>#N/A</v>
      </c>
      <c r="AP307" s="406" t="e">
        <f t="shared" ca="1" si="135"/>
        <v>#N/A</v>
      </c>
      <c r="AQ307" s="406" t="e">
        <f t="shared" ca="1" si="135"/>
        <v>#N/A</v>
      </c>
      <c r="AR307" s="406" t="e">
        <f t="shared" ca="1" si="132"/>
        <v>#N/A</v>
      </c>
      <c r="AS307" s="406" t="e">
        <f t="shared" ca="1" si="132"/>
        <v>#N/A</v>
      </c>
      <c r="AT307" s="406" t="e">
        <f t="shared" ca="1" si="132"/>
        <v>#N/A</v>
      </c>
      <c r="AU307" s="406" t="e">
        <f t="shared" ca="1" si="132"/>
        <v>#N/A</v>
      </c>
      <c r="AV307" s="406" t="e">
        <f t="shared" ca="1" si="132"/>
        <v>#N/A</v>
      </c>
      <c r="AW307" s="406" t="e">
        <f t="shared" ca="1" si="132"/>
        <v>#N/A</v>
      </c>
      <c r="AX307" s="406" t="e">
        <f t="shared" ca="1" si="132"/>
        <v>#N/A</v>
      </c>
      <c r="AY307" s="406" t="e">
        <f t="shared" ca="1" si="132"/>
        <v>#N/A</v>
      </c>
      <c r="AZ307" s="406" t="e">
        <f t="shared" ca="1" si="132"/>
        <v>#N/A</v>
      </c>
      <c r="BA307" s="406" t="e">
        <f t="shared" ca="1" si="132"/>
        <v>#N/A</v>
      </c>
      <c r="BB307" s="408"/>
      <c r="BC307" s="408" t="str">
        <f t="shared" ca="1" si="125"/>
        <v/>
      </c>
      <c r="BD307" s="408" t="s">
        <v>1278</v>
      </c>
      <c r="BE307" s="408" t="s">
        <v>1278</v>
      </c>
    </row>
    <row r="308" spans="3:57" ht="15" customHeight="1" x14ac:dyDescent="0.25">
      <c r="C308" s="406">
        <f t="shared" si="127"/>
        <v>306</v>
      </c>
      <c r="D308" s="406" t="e">
        <f t="shared" ca="1" si="136"/>
        <v>#N/A</v>
      </c>
      <c r="E308" s="406" t="e">
        <f t="shared" ca="1" si="136"/>
        <v>#N/A</v>
      </c>
      <c r="F308" s="406" t="e">
        <f t="shared" ca="1" si="136"/>
        <v>#N/A</v>
      </c>
      <c r="G308" s="406" t="e">
        <f t="shared" ca="1" si="136"/>
        <v>#N/A</v>
      </c>
      <c r="H308" s="406" t="e">
        <f t="shared" ca="1" si="136"/>
        <v>#N/A</v>
      </c>
      <c r="I308" s="406" t="e">
        <f t="shared" ca="1" si="136"/>
        <v>#N/A</v>
      </c>
      <c r="J308" s="406" t="e">
        <f t="shared" ca="1" si="136"/>
        <v>#N/A</v>
      </c>
      <c r="K308" s="406" t="e">
        <f t="shared" ca="1" si="136"/>
        <v>#N/A</v>
      </c>
      <c r="L308" s="406" t="e">
        <f t="shared" ca="1" si="136"/>
        <v>#N/A</v>
      </c>
      <c r="M308" s="406" t="e">
        <f t="shared" ca="1" si="136"/>
        <v>#N/A</v>
      </c>
      <c r="N308" s="406" t="e">
        <f t="shared" ca="1" si="134"/>
        <v>#N/A</v>
      </c>
      <c r="O308" s="406" t="e">
        <f t="shared" ca="1" si="134"/>
        <v>#N/A</v>
      </c>
      <c r="P308" s="406" t="e">
        <f t="shared" ca="1" si="134"/>
        <v>#N/A</v>
      </c>
      <c r="Q308" s="406" t="e">
        <f t="shared" ca="1" si="134"/>
        <v>#N/A</v>
      </c>
      <c r="R308" s="406" t="e">
        <f t="shared" ca="1" si="134"/>
        <v>#N/A</v>
      </c>
      <c r="S308" s="406" t="e">
        <f t="shared" ca="1" si="134"/>
        <v>#N/A</v>
      </c>
      <c r="T308" s="406" t="e">
        <f t="shared" ca="1" si="134"/>
        <v>#N/A</v>
      </c>
      <c r="U308" s="406" t="e">
        <f t="shared" ca="1" si="134"/>
        <v>#N/A</v>
      </c>
      <c r="V308" s="406" t="e">
        <f t="shared" ca="1" si="134"/>
        <v>#N/A</v>
      </c>
      <c r="W308" s="406" t="e">
        <f t="shared" ca="1" si="134"/>
        <v>#N/A</v>
      </c>
      <c r="X308" s="406" t="e">
        <f t="shared" ca="1" si="133"/>
        <v>#N/A</v>
      </c>
      <c r="Y308" s="406" t="e">
        <f t="shared" ca="1" si="133"/>
        <v>#N/A</v>
      </c>
      <c r="Z308" s="406" t="e">
        <f t="shared" ca="1" si="133"/>
        <v>#N/A</v>
      </c>
      <c r="AA308" s="406" t="e">
        <f t="shared" ca="1" si="133"/>
        <v>#N/A</v>
      </c>
      <c r="AB308" s="406" t="e">
        <f t="shared" ca="1" si="133"/>
        <v>#N/A</v>
      </c>
      <c r="AC308" s="406" t="e">
        <f t="shared" ca="1" si="133"/>
        <v>#N/A</v>
      </c>
      <c r="AD308" s="406" t="e">
        <f t="shared" ca="1" si="133"/>
        <v>#N/A</v>
      </c>
      <c r="AE308" s="406" t="e">
        <f t="shared" ca="1" si="133"/>
        <v>#N/A</v>
      </c>
      <c r="AF308" s="406" t="e">
        <f t="shared" ca="1" si="133"/>
        <v>#N/A</v>
      </c>
      <c r="AG308" s="406" t="e">
        <f t="shared" ca="1" si="133"/>
        <v>#N/A</v>
      </c>
      <c r="AH308" s="406" t="e">
        <f t="shared" ca="1" si="135"/>
        <v>#N/A</v>
      </c>
      <c r="AI308" s="406" t="e">
        <f t="shared" ca="1" si="135"/>
        <v>#N/A</v>
      </c>
      <c r="AJ308" s="406" t="e">
        <f t="shared" ca="1" si="135"/>
        <v>#N/A</v>
      </c>
      <c r="AK308" s="406" t="e">
        <f t="shared" ca="1" si="135"/>
        <v>#N/A</v>
      </c>
      <c r="AL308" s="406" t="e">
        <f t="shared" ca="1" si="135"/>
        <v>#N/A</v>
      </c>
      <c r="AM308" s="406" t="e">
        <f t="shared" ca="1" si="135"/>
        <v>#N/A</v>
      </c>
      <c r="AN308" s="406" t="e">
        <f t="shared" ca="1" si="135"/>
        <v>#N/A</v>
      </c>
      <c r="AO308" s="406" t="e">
        <f t="shared" ca="1" si="135"/>
        <v>#N/A</v>
      </c>
      <c r="AP308" s="406" t="e">
        <f t="shared" ca="1" si="135"/>
        <v>#N/A</v>
      </c>
      <c r="AQ308" s="406" t="e">
        <f t="shared" ca="1" si="135"/>
        <v>#N/A</v>
      </c>
      <c r="AR308" s="406" t="e">
        <f t="shared" ca="1" si="132"/>
        <v>#N/A</v>
      </c>
      <c r="AS308" s="406" t="e">
        <f t="shared" ca="1" si="132"/>
        <v>#N/A</v>
      </c>
      <c r="AT308" s="406" t="e">
        <f t="shared" ca="1" si="132"/>
        <v>#N/A</v>
      </c>
      <c r="AU308" s="406" t="e">
        <f t="shared" ca="1" si="132"/>
        <v>#N/A</v>
      </c>
      <c r="AV308" s="406" t="e">
        <f t="shared" ca="1" si="132"/>
        <v>#N/A</v>
      </c>
      <c r="AW308" s="406" t="e">
        <f t="shared" ca="1" si="132"/>
        <v>#N/A</v>
      </c>
      <c r="AX308" s="406" t="e">
        <f t="shared" ca="1" si="132"/>
        <v>#N/A</v>
      </c>
      <c r="AY308" s="406" t="e">
        <f t="shared" ca="1" si="132"/>
        <v>#N/A</v>
      </c>
      <c r="AZ308" s="406" t="e">
        <f t="shared" ca="1" si="132"/>
        <v>#N/A</v>
      </c>
      <c r="BA308" s="406" t="e">
        <f t="shared" ca="1" si="132"/>
        <v>#N/A</v>
      </c>
      <c r="BB308" s="408"/>
      <c r="BC308" s="408" t="str">
        <f t="shared" ca="1" si="125"/>
        <v/>
      </c>
      <c r="BD308" s="408" t="s">
        <v>1278</v>
      </c>
      <c r="BE308" s="408" t="s">
        <v>1278</v>
      </c>
    </row>
    <row r="309" spans="3:57" x14ac:dyDescent="0.25">
      <c r="C309" s="406">
        <f t="shared" si="127"/>
        <v>307</v>
      </c>
      <c r="D309" s="406" t="e">
        <f t="shared" ca="1" si="136"/>
        <v>#N/A</v>
      </c>
      <c r="E309" s="406" t="e">
        <f t="shared" ca="1" si="136"/>
        <v>#N/A</v>
      </c>
      <c r="F309" s="406" t="e">
        <f t="shared" ca="1" si="136"/>
        <v>#N/A</v>
      </c>
      <c r="G309" s="406" t="e">
        <f t="shared" ca="1" si="136"/>
        <v>#N/A</v>
      </c>
      <c r="H309" s="406" t="e">
        <f t="shared" ca="1" si="136"/>
        <v>#N/A</v>
      </c>
      <c r="I309" s="406" t="e">
        <f t="shared" ca="1" si="136"/>
        <v>#N/A</v>
      </c>
      <c r="J309" s="406" t="e">
        <f t="shared" ca="1" si="136"/>
        <v>#N/A</v>
      </c>
      <c r="K309" s="406" t="e">
        <f t="shared" ca="1" si="136"/>
        <v>#N/A</v>
      </c>
      <c r="L309" s="406" t="e">
        <f t="shared" ca="1" si="136"/>
        <v>#N/A</v>
      </c>
      <c r="M309" s="406" t="e">
        <f t="shared" ca="1" si="136"/>
        <v>#N/A</v>
      </c>
      <c r="N309" s="406" t="e">
        <f t="shared" ca="1" si="134"/>
        <v>#N/A</v>
      </c>
      <c r="O309" s="406" t="e">
        <f t="shared" ca="1" si="134"/>
        <v>#N/A</v>
      </c>
      <c r="P309" s="406" t="e">
        <f t="shared" ca="1" si="134"/>
        <v>#N/A</v>
      </c>
      <c r="Q309" s="406" t="e">
        <f t="shared" ca="1" si="134"/>
        <v>#N/A</v>
      </c>
      <c r="R309" s="406" t="e">
        <f t="shared" ca="1" si="134"/>
        <v>#N/A</v>
      </c>
      <c r="S309" s="406" t="e">
        <f t="shared" ca="1" si="134"/>
        <v>#N/A</v>
      </c>
      <c r="T309" s="406" t="e">
        <f t="shared" ca="1" si="134"/>
        <v>#N/A</v>
      </c>
      <c r="U309" s="406" t="e">
        <f t="shared" ca="1" si="134"/>
        <v>#N/A</v>
      </c>
      <c r="V309" s="406" t="e">
        <f t="shared" ca="1" si="134"/>
        <v>#N/A</v>
      </c>
      <c r="W309" s="406" t="e">
        <f t="shared" ca="1" si="134"/>
        <v>#N/A</v>
      </c>
      <c r="X309" s="406" t="e">
        <f t="shared" ca="1" si="133"/>
        <v>#N/A</v>
      </c>
      <c r="Y309" s="406" t="e">
        <f t="shared" ca="1" si="133"/>
        <v>#N/A</v>
      </c>
      <c r="Z309" s="406" t="e">
        <f t="shared" ca="1" si="133"/>
        <v>#N/A</v>
      </c>
      <c r="AA309" s="406" t="e">
        <f t="shared" ca="1" si="133"/>
        <v>#N/A</v>
      </c>
      <c r="AB309" s="406" t="e">
        <f t="shared" ca="1" si="133"/>
        <v>#N/A</v>
      </c>
      <c r="AC309" s="406" t="e">
        <f t="shared" ca="1" si="133"/>
        <v>#N/A</v>
      </c>
      <c r="AD309" s="406" t="e">
        <f t="shared" ca="1" si="133"/>
        <v>#N/A</v>
      </c>
      <c r="AE309" s="406" t="e">
        <f t="shared" ca="1" si="133"/>
        <v>#N/A</v>
      </c>
      <c r="AF309" s="406" t="e">
        <f t="shared" ca="1" si="133"/>
        <v>#N/A</v>
      </c>
      <c r="AG309" s="406" t="e">
        <f t="shared" ca="1" si="133"/>
        <v>#N/A</v>
      </c>
      <c r="AH309" s="406" t="e">
        <f t="shared" ca="1" si="135"/>
        <v>#N/A</v>
      </c>
      <c r="AI309" s="406" t="e">
        <f t="shared" ca="1" si="135"/>
        <v>#N/A</v>
      </c>
      <c r="AJ309" s="406" t="e">
        <f t="shared" ca="1" si="135"/>
        <v>#N/A</v>
      </c>
      <c r="AK309" s="406" t="e">
        <f t="shared" ca="1" si="135"/>
        <v>#N/A</v>
      </c>
      <c r="AL309" s="406" t="e">
        <f t="shared" ca="1" si="135"/>
        <v>#N/A</v>
      </c>
      <c r="AM309" s="406" t="e">
        <f t="shared" ca="1" si="135"/>
        <v>#N/A</v>
      </c>
      <c r="AN309" s="406" t="e">
        <f t="shared" ca="1" si="135"/>
        <v>#N/A</v>
      </c>
      <c r="AO309" s="406" t="e">
        <f t="shared" ca="1" si="135"/>
        <v>#N/A</v>
      </c>
      <c r="AP309" s="406" t="e">
        <f t="shared" ca="1" si="135"/>
        <v>#N/A</v>
      </c>
      <c r="AQ309" s="406" t="e">
        <f t="shared" ca="1" si="135"/>
        <v>#N/A</v>
      </c>
      <c r="AR309" s="406" t="e">
        <f t="shared" ca="1" si="132"/>
        <v>#N/A</v>
      </c>
      <c r="AS309" s="406" t="e">
        <f t="shared" ca="1" si="132"/>
        <v>#N/A</v>
      </c>
      <c r="AT309" s="406" t="e">
        <f t="shared" ca="1" si="132"/>
        <v>#N/A</v>
      </c>
      <c r="AU309" s="406" t="e">
        <f t="shared" ca="1" si="132"/>
        <v>#N/A</v>
      </c>
      <c r="AV309" s="406" t="e">
        <f t="shared" ca="1" si="132"/>
        <v>#N/A</v>
      </c>
      <c r="AW309" s="406" t="e">
        <f t="shared" ca="1" si="132"/>
        <v>#N/A</v>
      </c>
      <c r="AX309" s="406" t="e">
        <f t="shared" ca="1" si="132"/>
        <v>#N/A</v>
      </c>
      <c r="AY309" s="406" t="e">
        <f t="shared" ca="1" si="132"/>
        <v>#N/A</v>
      </c>
      <c r="AZ309" s="406" t="e">
        <f t="shared" ca="1" si="132"/>
        <v>#N/A</v>
      </c>
      <c r="BA309" s="406" t="e">
        <f t="shared" ca="1" si="132"/>
        <v>#N/A</v>
      </c>
      <c r="BB309" s="408"/>
      <c r="BC309" s="408" t="str">
        <f t="shared" ca="1" si="125"/>
        <v/>
      </c>
      <c r="BD309" s="408" t="s">
        <v>1278</v>
      </c>
      <c r="BE309" s="408" t="s">
        <v>1278</v>
      </c>
    </row>
    <row r="310" spans="3:57" x14ac:dyDescent="0.25">
      <c r="C310" s="406">
        <f t="shared" si="127"/>
        <v>308</v>
      </c>
      <c r="D310" s="406" t="e">
        <f t="shared" ca="1" si="136"/>
        <v>#N/A</v>
      </c>
      <c r="E310" s="406" t="e">
        <f t="shared" ca="1" si="136"/>
        <v>#N/A</v>
      </c>
      <c r="F310" s="406" t="e">
        <f t="shared" ca="1" si="136"/>
        <v>#N/A</v>
      </c>
      <c r="G310" s="406" t="e">
        <f t="shared" ca="1" si="136"/>
        <v>#N/A</v>
      </c>
      <c r="H310" s="406" t="e">
        <f t="shared" ca="1" si="136"/>
        <v>#N/A</v>
      </c>
      <c r="I310" s="406" t="e">
        <f t="shared" ca="1" si="136"/>
        <v>#N/A</v>
      </c>
      <c r="J310" s="406" t="e">
        <f t="shared" ca="1" si="136"/>
        <v>#N/A</v>
      </c>
      <c r="K310" s="406" t="e">
        <f t="shared" ca="1" si="136"/>
        <v>#N/A</v>
      </c>
      <c r="L310" s="406" t="e">
        <f t="shared" ca="1" si="136"/>
        <v>#N/A</v>
      </c>
      <c r="M310" s="406" t="e">
        <f t="shared" ca="1" si="136"/>
        <v>#N/A</v>
      </c>
      <c r="N310" s="406" t="e">
        <f t="shared" ca="1" si="134"/>
        <v>#N/A</v>
      </c>
      <c r="O310" s="406" t="e">
        <f t="shared" ca="1" si="134"/>
        <v>#N/A</v>
      </c>
      <c r="P310" s="406" t="e">
        <f t="shared" ca="1" si="134"/>
        <v>#N/A</v>
      </c>
      <c r="Q310" s="406" t="e">
        <f t="shared" ca="1" si="134"/>
        <v>#N/A</v>
      </c>
      <c r="R310" s="406" t="e">
        <f t="shared" ca="1" si="134"/>
        <v>#N/A</v>
      </c>
      <c r="S310" s="406" t="e">
        <f t="shared" ca="1" si="134"/>
        <v>#N/A</v>
      </c>
      <c r="T310" s="406" t="e">
        <f t="shared" ca="1" si="134"/>
        <v>#N/A</v>
      </c>
      <c r="U310" s="406" t="e">
        <f t="shared" ca="1" si="134"/>
        <v>#N/A</v>
      </c>
      <c r="V310" s="406" t="e">
        <f t="shared" ca="1" si="134"/>
        <v>#N/A</v>
      </c>
      <c r="W310" s="406" t="e">
        <f t="shared" ca="1" si="134"/>
        <v>#N/A</v>
      </c>
      <c r="X310" s="406" t="e">
        <f t="shared" ca="1" si="133"/>
        <v>#N/A</v>
      </c>
      <c r="Y310" s="406" t="e">
        <f t="shared" ca="1" si="133"/>
        <v>#N/A</v>
      </c>
      <c r="Z310" s="406" t="e">
        <f t="shared" ca="1" si="133"/>
        <v>#N/A</v>
      </c>
      <c r="AA310" s="406" t="e">
        <f t="shared" ca="1" si="133"/>
        <v>#N/A</v>
      </c>
      <c r="AB310" s="406" t="e">
        <f t="shared" ca="1" si="133"/>
        <v>#N/A</v>
      </c>
      <c r="AC310" s="406" t="e">
        <f t="shared" ca="1" si="133"/>
        <v>#N/A</v>
      </c>
      <c r="AD310" s="406" t="e">
        <f t="shared" ca="1" si="133"/>
        <v>#N/A</v>
      </c>
      <c r="AE310" s="406" t="e">
        <f t="shared" ca="1" si="133"/>
        <v>#N/A</v>
      </c>
      <c r="AF310" s="406" t="e">
        <f t="shared" ca="1" si="133"/>
        <v>#N/A</v>
      </c>
      <c r="AG310" s="406" t="e">
        <f t="shared" ca="1" si="133"/>
        <v>#N/A</v>
      </c>
      <c r="AH310" s="406" t="e">
        <f t="shared" ca="1" si="135"/>
        <v>#N/A</v>
      </c>
      <c r="AI310" s="406" t="e">
        <f t="shared" ca="1" si="135"/>
        <v>#N/A</v>
      </c>
      <c r="AJ310" s="406" t="e">
        <f t="shared" ca="1" si="135"/>
        <v>#N/A</v>
      </c>
      <c r="AK310" s="406" t="e">
        <f t="shared" ca="1" si="135"/>
        <v>#N/A</v>
      </c>
      <c r="AL310" s="406" t="e">
        <f t="shared" ca="1" si="135"/>
        <v>#N/A</v>
      </c>
      <c r="AM310" s="406" t="e">
        <f t="shared" ca="1" si="135"/>
        <v>#N/A</v>
      </c>
      <c r="AN310" s="406" t="e">
        <f t="shared" ca="1" si="135"/>
        <v>#N/A</v>
      </c>
      <c r="AO310" s="406" t="e">
        <f t="shared" ca="1" si="135"/>
        <v>#N/A</v>
      </c>
      <c r="AP310" s="406" t="e">
        <f t="shared" ca="1" si="135"/>
        <v>#N/A</v>
      </c>
      <c r="AQ310" s="406" t="e">
        <f t="shared" ca="1" si="135"/>
        <v>#N/A</v>
      </c>
      <c r="AR310" s="406" t="e">
        <f t="shared" ca="1" si="132"/>
        <v>#N/A</v>
      </c>
      <c r="AS310" s="406" t="e">
        <f t="shared" ca="1" si="132"/>
        <v>#N/A</v>
      </c>
      <c r="AT310" s="406" t="e">
        <f t="shared" ca="1" si="132"/>
        <v>#N/A</v>
      </c>
      <c r="AU310" s="406" t="e">
        <f t="shared" ca="1" si="132"/>
        <v>#N/A</v>
      </c>
      <c r="AV310" s="406" t="e">
        <f t="shared" ca="1" si="132"/>
        <v>#N/A</v>
      </c>
      <c r="AW310" s="406" t="e">
        <f t="shared" ca="1" si="132"/>
        <v>#N/A</v>
      </c>
      <c r="AX310" s="406" t="e">
        <f t="shared" ca="1" si="132"/>
        <v>#N/A</v>
      </c>
      <c r="AY310" s="406" t="e">
        <f t="shared" ca="1" si="132"/>
        <v>#N/A</v>
      </c>
      <c r="AZ310" s="406" t="e">
        <f t="shared" ref="AR310:BA336" ca="1" si="137">TRIM(INDIRECT("'" &amp; "TNX RTF" &amp; "'!" &amp; ADDRESS($A$3+$C310,AZ$1)))</f>
        <v>#N/A</v>
      </c>
      <c r="BA310" s="406" t="e">
        <f t="shared" ca="1" si="137"/>
        <v>#N/A</v>
      </c>
      <c r="BB310" s="408"/>
      <c r="BC310" s="408" t="str">
        <f t="shared" ca="1" si="125"/>
        <v/>
      </c>
      <c r="BD310" s="408" t="s">
        <v>1278</v>
      </c>
      <c r="BE310" s="408" t="s">
        <v>1278</v>
      </c>
    </row>
    <row r="311" spans="3:57" ht="15" customHeight="1" x14ac:dyDescent="0.25">
      <c r="C311" s="406">
        <f t="shared" si="127"/>
        <v>309</v>
      </c>
      <c r="D311" s="406" t="e">
        <f t="shared" ca="1" si="136"/>
        <v>#N/A</v>
      </c>
      <c r="E311" s="406" t="e">
        <f t="shared" ca="1" si="136"/>
        <v>#N/A</v>
      </c>
      <c r="F311" s="406" t="e">
        <f t="shared" ca="1" si="136"/>
        <v>#N/A</v>
      </c>
      <c r="G311" s="406" t="e">
        <f t="shared" ca="1" si="136"/>
        <v>#N/A</v>
      </c>
      <c r="H311" s="406" t="e">
        <f t="shared" ca="1" si="136"/>
        <v>#N/A</v>
      </c>
      <c r="I311" s="406" t="e">
        <f t="shared" ca="1" si="136"/>
        <v>#N/A</v>
      </c>
      <c r="J311" s="406" t="e">
        <f t="shared" ca="1" si="136"/>
        <v>#N/A</v>
      </c>
      <c r="K311" s="406" t="e">
        <f t="shared" ca="1" si="136"/>
        <v>#N/A</v>
      </c>
      <c r="L311" s="406" t="e">
        <f t="shared" ca="1" si="136"/>
        <v>#N/A</v>
      </c>
      <c r="M311" s="406" t="e">
        <f t="shared" ca="1" si="136"/>
        <v>#N/A</v>
      </c>
      <c r="N311" s="406" t="e">
        <f t="shared" ca="1" si="134"/>
        <v>#N/A</v>
      </c>
      <c r="O311" s="406" t="e">
        <f t="shared" ca="1" si="134"/>
        <v>#N/A</v>
      </c>
      <c r="P311" s="406" t="e">
        <f t="shared" ca="1" si="134"/>
        <v>#N/A</v>
      </c>
      <c r="Q311" s="406" t="e">
        <f t="shared" ca="1" si="134"/>
        <v>#N/A</v>
      </c>
      <c r="R311" s="406" t="e">
        <f t="shared" ca="1" si="134"/>
        <v>#N/A</v>
      </c>
      <c r="S311" s="406" t="e">
        <f t="shared" ca="1" si="134"/>
        <v>#N/A</v>
      </c>
      <c r="T311" s="406" t="e">
        <f t="shared" ca="1" si="134"/>
        <v>#N/A</v>
      </c>
      <c r="U311" s="406" t="e">
        <f t="shared" ca="1" si="134"/>
        <v>#N/A</v>
      </c>
      <c r="V311" s="406" t="e">
        <f t="shared" ca="1" si="134"/>
        <v>#N/A</v>
      </c>
      <c r="W311" s="406" t="e">
        <f t="shared" ca="1" si="134"/>
        <v>#N/A</v>
      </c>
      <c r="X311" s="406" t="e">
        <f t="shared" ca="1" si="133"/>
        <v>#N/A</v>
      </c>
      <c r="Y311" s="406" t="e">
        <f t="shared" ca="1" si="133"/>
        <v>#N/A</v>
      </c>
      <c r="Z311" s="406" t="e">
        <f t="shared" ca="1" si="133"/>
        <v>#N/A</v>
      </c>
      <c r="AA311" s="406" t="e">
        <f t="shared" ca="1" si="133"/>
        <v>#N/A</v>
      </c>
      <c r="AB311" s="406" t="e">
        <f t="shared" ca="1" si="133"/>
        <v>#N/A</v>
      </c>
      <c r="AC311" s="406" t="e">
        <f t="shared" ca="1" si="133"/>
        <v>#N/A</v>
      </c>
      <c r="AD311" s="406" t="e">
        <f t="shared" ca="1" si="133"/>
        <v>#N/A</v>
      </c>
      <c r="AE311" s="406" t="e">
        <f t="shared" ca="1" si="133"/>
        <v>#N/A</v>
      </c>
      <c r="AF311" s="406" t="e">
        <f t="shared" ca="1" si="133"/>
        <v>#N/A</v>
      </c>
      <c r="AG311" s="406" t="e">
        <f t="shared" ca="1" si="133"/>
        <v>#N/A</v>
      </c>
      <c r="AH311" s="406" t="e">
        <f t="shared" ca="1" si="135"/>
        <v>#N/A</v>
      </c>
      <c r="AI311" s="406" t="e">
        <f t="shared" ca="1" si="135"/>
        <v>#N/A</v>
      </c>
      <c r="AJ311" s="406" t="e">
        <f t="shared" ca="1" si="135"/>
        <v>#N/A</v>
      </c>
      <c r="AK311" s="406" t="e">
        <f t="shared" ca="1" si="135"/>
        <v>#N/A</v>
      </c>
      <c r="AL311" s="406" t="e">
        <f t="shared" ca="1" si="135"/>
        <v>#N/A</v>
      </c>
      <c r="AM311" s="406" t="e">
        <f t="shared" ca="1" si="135"/>
        <v>#N/A</v>
      </c>
      <c r="AN311" s="406" t="e">
        <f t="shared" ca="1" si="135"/>
        <v>#N/A</v>
      </c>
      <c r="AO311" s="406" t="e">
        <f t="shared" ca="1" si="135"/>
        <v>#N/A</v>
      </c>
      <c r="AP311" s="406" t="e">
        <f t="shared" ca="1" si="135"/>
        <v>#N/A</v>
      </c>
      <c r="AQ311" s="406" t="e">
        <f t="shared" ca="1" si="135"/>
        <v>#N/A</v>
      </c>
      <c r="AR311" s="406" t="e">
        <f t="shared" ca="1" si="137"/>
        <v>#N/A</v>
      </c>
      <c r="AS311" s="406" t="e">
        <f t="shared" ca="1" si="137"/>
        <v>#N/A</v>
      </c>
      <c r="AT311" s="406" t="e">
        <f t="shared" ca="1" si="137"/>
        <v>#N/A</v>
      </c>
      <c r="AU311" s="406" t="e">
        <f t="shared" ca="1" si="137"/>
        <v>#N/A</v>
      </c>
      <c r="AV311" s="406" t="e">
        <f t="shared" ca="1" si="137"/>
        <v>#N/A</v>
      </c>
      <c r="AW311" s="406" t="e">
        <f t="shared" ca="1" si="137"/>
        <v>#N/A</v>
      </c>
      <c r="AX311" s="406" t="e">
        <f t="shared" ca="1" si="137"/>
        <v>#N/A</v>
      </c>
      <c r="AY311" s="406" t="e">
        <f t="shared" ca="1" si="137"/>
        <v>#N/A</v>
      </c>
      <c r="AZ311" s="406" t="e">
        <f t="shared" ca="1" si="137"/>
        <v>#N/A</v>
      </c>
      <c r="BA311" s="406" t="e">
        <f t="shared" ca="1" si="137"/>
        <v>#N/A</v>
      </c>
      <c r="BB311" s="408"/>
      <c r="BC311" s="408" t="str">
        <f t="shared" ca="1" si="125"/>
        <v/>
      </c>
      <c r="BD311" s="408" t="s">
        <v>1278</v>
      </c>
      <c r="BE311" s="408" t="s">
        <v>1278</v>
      </c>
    </row>
    <row r="312" spans="3:57" x14ac:dyDescent="0.25">
      <c r="C312" s="406">
        <f t="shared" si="127"/>
        <v>310</v>
      </c>
      <c r="D312" s="406" t="e">
        <f t="shared" ca="1" si="136"/>
        <v>#N/A</v>
      </c>
      <c r="E312" s="406" t="e">
        <f t="shared" ca="1" si="136"/>
        <v>#N/A</v>
      </c>
      <c r="F312" s="406" t="e">
        <f t="shared" ca="1" si="136"/>
        <v>#N/A</v>
      </c>
      <c r="G312" s="406" t="e">
        <f t="shared" ca="1" si="136"/>
        <v>#N/A</v>
      </c>
      <c r="H312" s="406" t="e">
        <f t="shared" ca="1" si="136"/>
        <v>#N/A</v>
      </c>
      <c r="I312" s="406" t="e">
        <f t="shared" ca="1" si="136"/>
        <v>#N/A</v>
      </c>
      <c r="J312" s="406" t="e">
        <f t="shared" ca="1" si="136"/>
        <v>#N/A</v>
      </c>
      <c r="K312" s="406" t="e">
        <f t="shared" ca="1" si="136"/>
        <v>#N/A</v>
      </c>
      <c r="L312" s="406" t="e">
        <f t="shared" ca="1" si="136"/>
        <v>#N/A</v>
      </c>
      <c r="M312" s="406" t="e">
        <f t="shared" ca="1" si="136"/>
        <v>#N/A</v>
      </c>
      <c r="N312" s="406" t="e">
        <f t="shared" ca="1" si="134"/>
        <v>#N/A</v>
      </c>
      <c r="O312" s="406" t="e">
        <f t="shared" ca="1" si="134"/>
        <v>#N/A</v>
      </c>
      <c r="P312" s="406" t="e">
        <f t="shared" ca="1" si="134"/>
        <v>#N/A</v>
      </c>
      <c r="Q312" s="406" t="e">
        <f t="shared" ca="1" si="134"/>
        <v>#N/A</v>
      </c>
      <c r="R312" s="406" t="e">
        <f t="shared" ca="1" si="134"/>
        <v>#N/A</v>
      </c>
      <c r="S312" s="406" t="e">
        <f t="shared" ca="1" si="134"/>
        <v>#N/A</v>
      </c>
      <c r="T312" s="406" t="e">
        <f t="shared" ca="1" si="134"/>
        <v>#N/A</v>
      </c>
      <c r="U312" s="406" t="e">
        <f t="shared" ca="1" si="134"/>
        <v>#N/A</v>
      </c>
      <c r="V312" s="406" t="e">
        <f t="shared" ca="1" si="134"/>
        <v>#N/A</v>
      </c>
      <c r="W312" s="406" t="e">
        <f t="shared" ca="1" si="134"/>
        <v>#N/A</v>
      </c>
      <c r="X312" s="406" t="e">
        <f t="shared" ca="1" si="133"/>
        <v>#N/A</v>
      </c>
      <c r="Y312" s="406" t="e">
        <f t="shared" ca="1" si="133"/>
        <v>#N/A</v>
      </c>
      <c r="Z312" s="406" t="e">
        <f t="shared" ca="1" si="133"/>
        <v>#N/A</v>
      </c>
      <c r="AA312" s="406" t="e">
        <f t="shared" ca="1" si="133"/>
        <v>#N/A</v>
      </c>
      <c r="AB312" s="406" t="e">
        <f t="shared" ca="1" si="133"/>
        <v>#N/A</v>
      </c>
      <c r="AC312" s="406" t="e">
        <f t="shared" ca="1" si="133"/>
        <v>#N/A</v>
      </c>
      <c r="AD312" s="406" t="e">
        <f t="shared" ca="1" si="133"/>
        <v>#N/A</v>
      </c>
      <c r="AE312" s="406" t="e">
        <f t="shared" ca="1" si="133"/>
        <v>#N/A</v>
      </c>
      <c r="AF312" s="406" t="e">
        <f t="shared" ca="1" si="133"/>
        <v>#N/A</v>
      </c>
      <c r="AG312" s="406" t="e">
        <f t="shared" ca="1" si="133"/>
        <v>#N/A</v>
      </c>
      <c r="AH312" s="406" t="e">
        <f t="shared" ca="1" si="135"/>
        <v>#N/A</v>
      </c>
      <c r="AI312" s="406" t="e">
        <f t="shared" ca="1" si="135"/>
        <v>#N/A</v>
      </c>
      <c r="AJ312" s="406" t="e">
        <f t="shared" ca="1" si="135"/>
        <v>#N/A</v>
      </c>
      <c r="AK312" s="406" t="e">
        <f t="shared" ca="1" si="135"/>
        <v>#N/A</v>
      </c>
      <c r="AL312" s="406" t="e">
        <f t="shared" ca="1" si="135"/>
        <v>#N/A</v>
      </c>
      <c r="AM312" s="406" t="e">
        <f t="shared" ca="1" si="135"/>
        <v>#N/A</v>
      </c>
      <c r="AN312" s="406" t="e">
        <f t="shared" ca="1" si="135"/>
        <v>#N/A</v>
      </c>
      <c r="AO312" s="406" t="e">
        <f t="shared" ca="1" si="135"/>
        <v>#N/A</v>
      </c>
      <c r="AP312" s="406" t="e">
        <f t="shared" ca="1" si="135"/>
        <v>#N/A</v>
      </c>
      <c r="AQ312" s="406" t="e">
        <f t="shared" ca="1" si="135"/>
        <v>#N/A</v>
      </c>
      <c r="AR312" s="406" t="e">
        <f t="shared" ca="1" si="137"/>
        <v>#N/A</v>
      </c>
      <c r="AS312" s="406" t="e">
        <f t="shared" ca="1" si="137"/>
        <v>#N/A</v>
      </c>
      <c r="AT312" s="406" t="e">
        <f t="shared" ca="1" si="137"/>
        <v>#N/A</v>
      </c>
      <c r="AU312" s="406" t="e">
        <f t="shared" ca="1" si="137"/>
        <v>#N/A</v>
      </c>
      <c r="AV312" s="406" t="e">
        <f t="shared" ca="1" si="137"/>
        <v>#N/A</v>
      </c>
      <c r="AW312" s="406" t="e">
        <f t="shared" ca="1" si="137"/>
        <v>#N/A</v>
      </c>
      <c r="AX312" s="406" t="e">
        <f t="shared" ca="1" si="137"/>
        <v>#N/A</v>
      </c>
      <c r="AY312" s="406" t="e">
        <f t="shared" ca="1" si="137"/>
        <v>#N/A</v>
      </c>
      <c r="AZ312" s="406" t="e">
        <f t="shared" ca="1" si="137"/>
        <v>#N/A</v>
      </c>
      <c r="BA312" s="406" t="e">
        <f t="shared" ca="1" si="137"/>
        <v>#N/A</v>
      </c>
      <c r="BB312" s="408"/>
      <c r="BC312" s="408" t="str">
        <f t="shared" ca="1" si="125"/>
        <v/>
      </c>
      <c r="BD312" s="408" t="s">
        <v>1278</v>
      </c>
      <c r="BE312" s="408" t="s">
        <v>1278</v>
      </c>
    </row>
    <row r="313" spans="3:57" x14ac:dyDescent="0.25">
      <c r="C313" s="406">
        <f t="shared" si="127"/>
        <v>311</v>
      </c>
      <c r="D313" s="406" t="e">
        <f t="shared" ca="1" si="136"/>
        <v>#N/A</v>
      </c>
      <c r="E313" s="406" t="e">
        <f t="shared" ca="1" si="136"/>
        <v>#N/A</v>
      </c>
      <c r="F313" s="406" t="e">
        <f t="shared" ca="1" si="136"/>
        <v>#N/A</v>
      </c>
      <c r="G313" s="406" t="e">
        <f t="shared" ca="1" si="136"/>
        <v>#N/A</v>
      </c>
      <c r="H313" s="406" t="e">
        <f t="shared" ca="1" si="136"/>
        <v>#N/A</v>
      </c>
      <c r="I313" s="406" t="e">
        <f t="shared" ca="1" si="136"/>
        <v>#N/A</v>
      </c>
      <c r="J313" s="406" t="e">
        <f t="shared" ca="1" si="136"/>
        <v>#N/A</v>
      </c>
      <c r="K313" s="406" t="e">
        <f t="shared" ca="1" si="136"/>
        <v>#N/A</v>
      </c>
      <c r="L313" s="406" t="e">
        <f t="shared" ca="1" si="136"/>
        <v>#N/A</v>
      </c>
      <c r="M313" s="406" t="e">
        <f t="shared" ca="1" si="136"/>
        <v>#N/A</v>
      </c>
      <c r="N313" s="406" t="e">
        <f t="shared" ca="1" si="134"/>
        <v>#N/A</v>
      </c>
      <c r="O313" s="406" t="e">
        <f t="shared" ca="1" si="134"/>
        <v>#N/A</v>
      </c>
      <c r="P313" s="406" t="e">
        <f t="shared" ca="1" si="134"/>
        <v>#N/A</v>
      </c>
      <c r="Q313" s="406" t="e">
        <f t="shared" ca="1" si="134"/>
        <v>#N/A</v>
      </c>
      <c r="R313" s="406" t="e">
        <f t="shared" ca="1" si="134"/>
        <v>#N/A</v>
      </c>
      <c r="S313" s="406" t="e">
        <f t="shared" ca="1" si="134"/>
        <v>#N/A</v>
      </c>
      <c r="T313" s="406" t="e">
        <f t="shared" ca="1" si="134"/>
        <v>#N/A</v>
      </c>
      <c r="U313" s="406" t="e">
        <f t="shared" ca="1" si="134"/>
        <v>#N/A</v>
      </c>
      <c r="V313" s="406" t="e">
        <f t="shared" ca="1" si="134"/>
        <v>#N/A</v>
      </c>
      <c r="W313" s="406" t="e">
        <f t="shared" ca="1" si="134"/>
        <v>#N/A</v>
      </c>
      <c r="X313" s="406" t="e">
        <f t="shared" ca="1" si="133"/>
        <v>#N/A</v>
      </c>
      <c r="Y313" s="406" t="e">
        <f t="shared" ca="1" si="133"/>
        <v>#N/A</v>
      </c>
      <c r="Z313" s="406" t="e">
        <f t="shared" ca="1" si="133"/>
        <v>#N/A</v>
      </c>
      <c r="AA313" s="406" t="e">
        <f t="shared" ca="1" si="133"/>
        <v>#N/A</v>
      </c>
      <c r="AB313" s="406" t="e">
        <f t="shared" ca="1" si="133"/>
        <v>#N/A</v>
      </c>
      <c r="AC313" s="406" t="e">
        <f t="shared" ca="1" si="133"/>
        <v>#N/A</v>
      </c>
      <c r="AD313" s="406" t="e">
        <f t="shared" ca="1" si="133"/>
        <v>#N/A</v>
      </c>
      <c r="AE313" s="406" t="e">
        <f t="shared" ca="1" si="133"/>
        <v>#N/A</v>
      </c>
      <c r="AF313" s="406" t="e">
        <f t="shared" ca="1" si="133"/>
        <v>#N/A</v>
      </c>
      <c r="AG313" s="406" t="e">
        <f t="shared" ca="1" si="133"/>
        <v>#N/A</v>
      </c>
      <c r="AH313" s="406" t="e">
        <f t="shared" ca="1" si="135"/>
        <v>#N/A</v>
      </c>
      <c r="AI313" s="406" t="e">
        <f t="shared" ca="1" si="135"/>
        <v>#N/A</v>
      </c>
      <c r="AJ313" s="406" t="e">
        <f t="shared" ca="1" si="135"/>
        <v>#N/A</v>
      </c>
      <c r="AK313" s="406" t="e">
        <f t="shared" ca="1" si="135"/>
        <v>#N/A</v>
      </c>
      <c r="AL313" s="406" t="e">
        <f t="shared" ca="1" si="135"/>
        <v>#N/A</v>
      </c>
      <c r="AM313" s="406" t="e">
        <f t="shared" ca="1" si="135"/>
        <v>#N/A</v>
      </c>
      <c r="AN313" s="406" t="e">
        <f t="shared" ca="1" si="135"/>
        <v>#N/A</v>
      </c>
      <c r="AO313" s="406" t="e">
        <f t="shared" ca="1" si="135"/>
        <v>#N/A</v>
      </c>
      <c r="AP313" s="406" t="e">
        <f t="shared" ca="1" si="135"/>
        <v>#N/A</v>
      </c>
      <c r="AQ313" s="406" t="e">
        <f t="shared" ca="1" si="135"/>
        <v>#N/A</v>
      </c>
      <c r="AR313" s="406" t="e">
        <f t="shared" ca="1" si="137"/>
        <v>#N/A</v>
      </c>
      <c r="AS313" s="406" t="e">
        <f t="shared" ca="1" si="137"/>
        <v>#N/A</v>
      </c>
      <c r="AT313" s="406" t="e">
        <f t="shared" ca="1" si="137"/>
        <v>#N/A</v>
      </c>
      <c r="AU313" s="406" t="e">
        <f t="shared" ca="1" si="137"/>
        <v>#N/A</v>
      </c>
      <c r="AV313" s="406" t="e">
        <f t="shared" ca="1" si="137"/>
        <v>#N/A</v>
      </c>
      <c r="AW313" s="406" t="e">
        <f t="shared" ca="1" si="137"/>
        <v>#N/A</v>
      </c>
      <c r="AX313" s="406" t="e">
        <f t="shared" ca="1" si="137"/>
        <v>#N/A</v>
      </c>
      <c r="AY313" s="406" t="e">
        <f t="shared" ca="1" si="137"/>
        <v>#N/A</v>
      </c>
      <c r="AZ313" s="406" t="e">
        <f t="shared" ca="1" si="137"/>
        <v>#N/A</v>
      </c>
      <c r="BA313" s="406" t="e">
        <f t="shared" ca="1" si="137"/>
        <v>#N/A</v>
      </c>
      <c r="BB313" s="408"/>
      <c r="BC313" s="408" t="str">
        <f t="shared" ca="1" si="125"/>
        <v/>
      </c>
      <c r="BD313" s="408" t="s">
        <v>1278</v>
      </c>
      <c r="BE313" s="408" t="s">
        <v>1278</v>
      </c>
    </row>
    <row r="314" spans="3:57" ht="15" customHeight="1" x14ac:dyDescent="0.25">
      <c r="C314" s="406">
        <f t="shared" si="127"/>
        <v>312</v>
      </c>
      <c r="D314" s="406" t="e">
        <f t="shared" ca="1" si="136"/>
        <v>#N/A</v>
      </c>
      <c r="E314" s="406" t="e">
        <f t="shared" ca="1" si="136"/>
        <v>#N/A</v>
      </c>
      <c r="F314" s="406" t="e">
        <f t="shared" ca="1" si="136"/>
        <v>#N/A</v>
      </c>
      <c r="G314" s="406" t="e">
        <f t="shared" ca="1" si="136"/>
        <v>#N/A</v>
      </c>
      <c r="H314" s="406" t="e">
        <f t="shared" ca="1" si="136"/>
        <v>#N/A</v>
      </c>
      <c r="I314" s="406" t="e">
        <f t="shared" ca="1" si="136"/>
        <v>#N/A</v>
      </c>
      <c r="J314" s="406" t="e">
        <f t="shared" ca="1" si="136"/>
        <v>#N/A</v>
      </c>
      <c r="K314" s="406" t="e">
        <f t="shared" ca="1" si="136"/>
        <v>#N/A</v>
      </c>
      <c r="L314" s="406" t="e">
        <f t="shared" ca="1" si="136"/>
        <v>#N/A</v>
      </c>
      <c r="M314" s="406" t="e">
        <f t="shared" ca="1" si="136"/>
        <v>#N/A</v>
      </c>
      <c r="N314" s="406" t="e">
        <f t="shared" ca="1" si="134"/>
        <v>#N/A</v>
      </c>
      <c r="O314" s="406" t="e">
        <f t="shared" ca="1" si="134"/>
        <v>#N/A</v>
      </c>
      <c r="P314" s="406" t="e">
        <f t="shared" ca="1" si="134"/>
        <v>#N/A</v>
      </c>
      <c r="Q314" s="406" t="e">
        <f t="shared" ca="1" si="134"/>
        <v>#N/A</v>
      </c>
      <c r="R314" s="406" t="e">
        <f t="shared" ca="1" si="134"/>
        <v>#N/A</v>
      </c>
      <c r="S314" s="406" t="e">
        <f t="shared" ca="1" si="134"/>
        <v>#N/A</v>
      </c>
      <c r="T314" s="406" t="e">
        <f t="shared" ca="1" si="134"/>
        <v>#N/A</v>
      </c>
      <c r="U314" s="406" t="e">
        <f t="shared" ca="1" si="134"/>
        <v>#N/A</v>
      </c>
      <c r="V314" s="406" t="e">
        <f t="shared" ca="1" si="134"/>
        <v>#N/A</v>
      </c>
      <c r="W314" s="406" t="e">
        <f t="shared" ca="1" si="134"/>
        <v>#N/A</v>
      </c>
      <c r="X314" s="406" t="e">
        <f t="shared" ca="1" si="133"/>
        <v>#N/A</v>
      </c>
      <c r="Y314" s="406" t="e">
        <f t="shared" ca="1" si="133"/>
        <v>#N/A</v>
      </c>
      <c r="Z314" s="406" t="e">
        <f t="shared" ca="1" si="133"/>
        <v>#N/A</v>
      </c>
      <c r="AA314" s="406" t="e">
        <f t="shared" ca="1" si="133"/>
        <v>#N/A</v>
      </c>
      <c r="AB314" s="406" t="e">
        <f t="shared" ca="1" si="133"/>
        <v>#N/A</v>
      </c>
      <c r="AC314" s="406" t="e">
        <f t="shared" ca="1" si="133"/>
        <v>#N/A</v>
      </c>
      <c r="AD314" s="406" t="e">
        <f t="shared" ref="X314:AG340" ca="1" si="138">TRIM(INDIRECT("'" &amp; "TNX RTF" &amp; "'!" &amp; ADDRESS($A$3+$C314,AD$1)))</f>
        <v>#N/A</v>
      </c>
      <c r="AE314" s="406" t="e">
        <f t="shared" ca="1" si="138"/>
        <v>#N/A</v>
      </c>
      <c r="AF314" s="406" t="e">
        <f t="shared" ca="1" si="138"/>
        <v>#N/A</v>
      </c>
      <c r="AG314" s="406" t="e">
        <f t="shared" ca="1" si="138"/>
        <v>#N/A</v>
      </c>
      <c r="AH314" s="406" t="e">
        <f t="shared" ca="1" si="135"/>
        <v>#N/A</v>
      </c>
      <c r="AI314" s="406" t="e">
        <f t="shared" ca="1" si="135"/>
        <v>#N/A</v>
      </c>
      <c r="AJ314" s="406" t="e">
        <f t="shared" ca="1" si="135"/>
        <v>#N/A</v>
      </c>
      <c r="AK314" s="406" t="e">
        <f t="shared" ca="1" si="135"/>
        <v>#N/A</v>
      </c>
      <c r="AL314" s="406" t="e">
        <f t="shared" ca="1" si="135"/>
        <v>#N/A</v>
      </c>
      <c r="AM314" s="406" t="e">
        <f t="shared" ca="1" si="135"/>
        <v>#N/A</v>
      </c>
      <c r="AN314" s="406" t="e">
        <f t="shared" ca="1" si="135"/>
        <v>#N/A</v>
      </c>
      <c r="AO314" s="406" t="e">
        <f t="shared" ca="1" si="135"/>
        <v>#N/A</v>
      </c>
      <c r="AP314" s="406" t="e">
        <f t="shared" ca="1" si="135"/>
        <v>#N/A</v>
      </c>
      <c r="AQ314" s="406" t="e">
        <f t="shared" ca="1" si="135"/>
        <v>#N/A</v>
      </c>
      <c r="AR314" s="406" t="e">
        <f t="shared" ca="1" si="137"/>
        <v>#N/A</v>
      </c>
      <c r="AS314" s="406" t="e">
        <f t="shared" ca="1" si="137"/>
        <v>#N/A</v>
      </c>
      <c r="AT314" s="406" t="e">
        <f t="shared" ca="1" si="137"/>
        <v>#N/A</v>
      </c>
      <c r="AU314" s="406" t="e">
        <f t="shared" ca="1" si="137"/>
        <v>#N/A</v>
      </c>
      <c r="AV314" s="406" t="e">
        <f t="shared" ca="1" si="137"/>
        <v>#N/A</v>
      </c>
      <c r="AW314" s="406" t="e">
        <f t="shared" ca="1" si="137"/>
        <v>#N/A</v>
      </c>
      <c r="AX314" s="406" t="e">
        <f t="shared" ca="1" si="137"/>
        <v>#N/A</v>
      </c>
      <c r="AY314" s="406" t="e">
        <f t="shared" ca="1" si="137"/>
        <v>#N/A</v>
      </c>
      <c r="AZ314" s="406" t="e">
        <f t="shared" ca="1" si="137"/>
        <v>#N/A</v>
      </c>
      <c r="BA314" s="406" t="e">
        <f t="shared" ca="1" si="137"/>
        <v>#N/A</v>
      </c>
      <c r="BB314" s="408"/>
      <c r="BC314" s="408" t="str">
        <f t="shared" ca="1" si="125"/>
        <v/>
      </c>
      <c r="BD314" s="408" t="s">
        <v>1278</v>
      </c>
      <c r="BE314" s="408" t="s">
        <v>1278</v>
      </c>
    </row>
    <row r="315" spans="3:57" x14ac:dyDescent="0.25">
      <c r="C315" s="406">
        <f t="shared" si="127"/>
        <v>313</v>
      </c>
      <c r="D315" s="406" t="e">
        <f t="shared" ca="1" si="136"/>
        <v>#N/A</v>
      </c>
      <c r="E315" s="406" t="e">
        <f t="shared" ca="1" si="136"/>
        <v>#N/A</v>
      </c>
      <c r="F315" s="406" t="e">
        <f t="shared" ca="1" si="136"/>
        <v>#N/A</v>
      </c>
      <c r="G315" s="406" t="e">
        <f t="shared" ca="1" si="136"/>
        <v>#N/A</v>
      </c>
      <c r="H315" s="406" t="e">
        <f t="shared" ca="1" si="136"/>
        <v>#N/A</v>
      </c>
      <c r="I315" s="406" t="e">
        <f t="shared" ca="1" si="136"/>
        <v>#N/A</v>
      </c>
      <c r="J315" s="406" t="e">
        <f t="shared" ca="1" si="136"/>
        <v>#N/A</v>
      </c>
      <c r="K315" s="406" t="e">
        <f t="shared" ca="1" si="136"/>
        <v>#N/A</v>
      </c>
      <c r="L315" s="406" t="e">
        <f t="shared" ca="1" si="136"/>
        <v>#N/A</v>
      </c>
      <c r="M315" s="406" t="e">
        <f t="shared" ca="1" si="136"/>
        <v>#N/A</v>
      </c>
      <c r="N315" s="406" t="e">
        <f t="shared" ca="1" si="134"/>
        <v>#N/A</v>
      </c>
      <c r="O315" s="406" t="e">
        <f t="shared" ca="1" si="134"/>
        <v>#N/A</v>
      </c>
      <c r="P315" s="406" t="e">
        <f t="shared" ca="1" si="134"/>
        <v>#N/A</v>
      </c>
      <c r="Q315" s="406" t="e">
        <f t="shared" ca="1" si="134"/>
        <v>#N/A</v>
      </c>
      <c r="R315" s="406" t="e">
        <f t="shared" ca="1" si="134"/>
        <v>#N/A</v>
      </c>
      <c r="S315" s="406" t="e">
        <f t="shared" ca="1" si="134"/>
        <v>#N/A</v>
      </c>
      <c r="T315" s="406" t="e">
        <f t="shared" ca="1" si="134"/>
        <v>#N/A</v>
      </c>
      <c r="U315" s="406" t="e">
        <f t="shared" ca="1" si="134"/>
        <v>#N/A</v>
      </c>
      <c r="V315" s="406" t="e">
        <f t="shared" ca="1" si="134"/>
        <v>#N/A</v>
      </c>
      <c r="W315" s="406" t="e">
        <f t="shared" ca="1" si="134"/>
        <v>#N/A</v>
      </c>
      <c r="X315" s="406" t="e">
        <f t="shared" ca="1" si="138"/>
        <v>#N/A</v>
      </c>
      <c r="Y315" s="406" t="e">
        <f t="shared" ca="1" si="138"/>
        <v>#N/A</v>
      </c>
      <c r="Z315" s="406" t="e">
        <f t="shared" ca="1" si="138"/>
        <v>#N/A</v>
      </c>
      <c r="AA315" s="406" t="e">
        <f t="shared" ca="1" si="138"/>
        <v>#N/A</v>
      </c>
      <c r="AB315" s="406" t="e">
        <f t="shared" ca="1" si="138"/>
        <v>#N/A</v>
      </c>
      <c r="AC315" s="406" t="e">
        <f t="shared" ca="1" si="138"/>
        <v>#N/A</v>
      </c>
      <c r="AD315" s="406" t="e">
        <f t="shared" ca="1" si="138"/>
        <v>#N/A</v>
      </c>
      <c r="AE315" s="406" t="e">
        <f t="shared" ca="1" si="138"/>
        <v>#N/A</v>
      </c>
      <c r="AF315" s="406" t="e">
        <f t="shared" ca="1" si="138"/>
        <v>#N/A</v>
      </c>
      <c r="AG315" s="406" t="e">
        <f t="shared" ca="1" si="138"/>
        <v>#N/A</v>
      </c>
      <c r="AH315" s="406" t="e">
        <f t="shared" ca="1" si="135"/>
        <v>#N/A</v>
      </c>
      <c r="AI315" s="406" t="e">
        <f t="shared" ca="1" si="135"/>
        <v>#N/A</v>
      </c>
      <c r="AJ315" s="406" t="e">
        <f t="shared" ca="1" si="135"/>
        <v>#N/A</v>
      </c>
      <c r="AK315" s="406" t="e">
        <f t="shared" ca="1" si="135"/>
        <v>#N/A</v>
      </c>
      <c r="AL315" s="406" t="e">
        <f t="shared" ca="1" si="135"/>
        <v>#N/A</v>
      </c>
      <c r="AM315" s="406" t="e">
        <f t="shared" ca="1" si="135"/>
        <v>#N/A</v>
      </c>
      <c r="AN315" s="406" t="e">
        <f t="shared" ca="1" si="135"/>
        <v>#N/A</v>
      </c>
      <c r="AO315" s="406" t="e">
        <f t="shared" ca="1" si="135"/>
        <v>#N/A</v>
      </c>
      <c r="AP315" s="406" t="e">
        <f t="shared" ca="1" si="135"/>
        <v>#N/A</v>
      </c>
      <c r="AQ315" s="406" t="e">
        <f t="shared" ca="1" si="135"/>
        <v>#N/A</v>
      </c>
      <c r="AR315" s="406" t="e">
        <f t="shared" ca="1" si="137"/>
        <v>#N/A</v>
      </c>
      <c r="AS315" s="406" t="e">
        <f t="shared" ca="1" si="137"/>
        <v>#N/A</v>
      </c>
      <c r="AT315" s="406" t="e">
        <f t="shared" ca="1" si="137"/>
        <v>#N/A</v>
      </c>
      <c r="AU315" s="406" t="e">
        <f t="shared" ca="1" si="137"/>
        <v>#N/A</v>
      </c>
      <c r="AV315" s="406" t="e">
        <f t="shared" ca="1" si="137"/>
        <v>#N/A</v>
      </c>
      <c r="AW315" s="406" t="e">
        <f t="shared" ca="1" si="137"/>
        <v>#N/A</v>
      </c>
      <c r="AX315" s="406" t="e">
        <f t="shared" ca="1" si="137"/>
        <v>#N/A</v>
      </c>
      <c r="AY315" s="406" t="e">
        <f t="shared" ca="1" si="137"/>
        <v>#N/A</v>
      </c>
      <c r="AZ315" s="406" t="e">
        <f t="shared" ca="1" si="137"/>
        <v>#N/A</v>
      </c>
      <c r="BA315" s="406" t="e">
        <f t="shared" ca="1" si="137"/>
        <v>#N/A</v>
      </c>
      <c r="BB315" s="408"/>
      <c r="BC315" s="408" t="str">
        <f t="shared" ca="1" si="125"/>
        <v/>
      </c>
      <c r="BD315" s="408" t="s">
        <v>1278</v>
      </c>
      <c r="BE315" s="408" t="s">
        <v>1278</v>
      </c>
    </row>
    <row r="316" spans="3:57" x14ac:dyDescent="0.25">
      <c r="C316" s="406">
        <f t="shared" si="127"/>
        <v>314</v>
      </c>
      <c r="D316" s="406" t="e">
        <f t="shared" ca="1" si="136"/>
        <v>#N/A</v>
      </c>
      <c r="E316" s="406" t="e">
        <f t="shared" ca="1" si="136"/>
        <v>#N/A</v>
      </c>
      <c r="F316" s="406" t="e">
        <f t="shared" ca="1" si="136"/>
        <v>#N/A</v>
      </c>
      <c r="G316" s="406" t="e">
        <f t="shared" ca="1" si="136"/>
        <v>#N/A</v>
      </c>
      <c r="H316" s="406" t="e">
        <f t="shared" ca="1" si="136"/>
        <v>#N/A</v>
      </c>
      <c r="I316" s="406" t="e">
        <f t="shared" ca="1" si="136"/>
        <v>#N/A</v>
      </c>
      <c r="J316" s="406" t="e">
        <f t="shared" ca="1" si="136"/>
        <v>#N/A</v>
      </c>
      <c r="K316" s="406" t="e">
        <f t="shared" ca="1" si="136"/>
        <v>#N/A</v>
      </c>
      <c r="L316" s="406" t="e">
        <f t="shared" ca="1" si="136"/>
        <v>#N/A</v>
      </c>
      <c r="M316" s="406" t="e">
        <f t="shared" ca="1" si="136"/>
        <v>#N/A</v>
      </c>
      <c r="N316" s="406" t="e">
        <f t="shared" ca="1" si="134"/>
        <v>#N/A</v>
      </c>
      <c r="O316" s="406" t="e">
        <f t="shared" ca="1" si="134"/>
        <v>#N/A</v>
      </c>
      <c r="P316" s="406" t="e">
        <f t="shared" ca="1" si="134"/>
        <v>#N/A</v>
      </c>
      <c r="Q316" s="406" t="e">
        <f t="shared" ca="1" si="134"/>
        <v>#N/A</v>
      </c>
      <c r="R316" s="406" t="e">
        <f t="shared" ca="1" si="134"/>
        <v>#N/A</v>
      </c>
      <c r="S316" s="406" t="e">
        <f t="shared" ca="1" si="134"/>
        <v>#N/A</v>
      </c>
      <c r="T316" s="406" t="e">
        <f t="shared" ca="1" si="134"/>
        <v>#N/A</v>
      </c>
      <c r="U316" s="406" t="e">
        <f t="shared" ca="1" si="134"/>
        <v>#N/A</v>
      </c>
      <c r="V316" s="406" t="e">
        <f t="shared" ca="1" si="134"/>
        <v>#N/A</v>
      </c>
      <c r="W316" s="406" t="e">
        <f t="shared" ca="1" si="134"/>
        <v>#N/A</v>
      </c>
      <c r="X316" s="406" t="e">
        <f t="shared" ca="1" si="138"/>
        <v>#N/A</v>
      </c>
      <c r="Y316" s="406" t="e">
        <f t="shared" ca="1" si="138"/>
        <v>#N/A</v>
      </c>
      <c r="Z316" s="406" t="e">
        <f t="shared" ca="1" si="138"/>
        <v>#N/A</v>
      </c>
      <c r="AA316" s="406" t="e">
        <f t="shared" ca="1" si="138"/>
        <v>#N/A</v>
      </c>
      <c r="AB316" s="406" t="e">
        <f t="shared" ca="1" si="138"/>
        <v>#N/A</v>
      </c>
      <c r="AC316" s="406" t="e">
        <f t="shared" ca="1" si="138"/>
        <v>#N/A</v>
      </c>
      <c r="AD316" s="406" t="e">
        <f t="shared" ca="1" si="138"/>
        <v>#N/A</v>
      </c>
      <c r="AE316" s="406" t="e">
        <f t="shared" ca="1" si="138"/>
        <v>#N/A</v>
      </c>
      <c r="AF316" s="406" t="e">
        <f t="shared" ca="1" si="138"/>
        <v>#N/A</v>
      </c>
      <c r="AG316" s="406" t="e">
        <f t="shared" ca="1" si="138"/>
        <v>#N/A</v>
      </c>
      <c r="AH316" s="406" t="e">
        <f t="shared" ca="1" si="135"/>
        <v>#N/A</v>
      </c>
      <c r="AI316" s="406" t="e">
        <f t="shared" ca="1" si="135"/>
        <v>#N/A</v>
      </c>
      <c r="AJ316" s="406" t="e">
        <f t="shared" ca="1" si="135"/>
        <v>#N/A</v>
      </c>
      <c r="AK316" s="406" t="e">
        <f t="shared" ca="1" si="135"/>
        <v>#N/A</v>
      </c>
      <c r="AL316" s="406" t="e">
        <f t="shared" ca="1" si="135"/>
        <v>#N/A</v>
      </c>
      <c r="AM316" s="406" t="e">
        <f t="shared" ca="1" si="135"/>
        <v>#N/A</v>
      </c>
      <c r="AN316" s="406" t="e">
        <f t="shared" ca="1" si="135"/>
        <v>#N/A</v>
      </c>
      <c r="AO316" s="406" t="e">
        <f t="shared" ca="1" si="135"/>
        <v>#N/A</v>
      </c>
      <c r="AP316" s="406" t="e">
        <f t="shared" ca="1" si="135"/>
        <v>#N/A</v>
      </c>
      <c r="AQ316" s="406" t="e">
        <f t="shared" ca="1" si="135"/>
        <v>#N/A</v>
      </c>
      <c r="AR316" s="406" t="e">
        <f t="shared" ca="1" si="137"/>
        <v>#N/A</v>
      </c>
      <c r="AS316" s="406" t="e">
        <f t="shared" ca="1" si="137"/>
        <v>#N/A</v>
      </c>
      <c r="AT316" s="406" t="e">
        <f t="shared" ca="1" si="137"/>
        <v>#N/A</v>
      </c>
      <c r="AU316" s="406" t="e">
        <f t="shared" ca="1" si="137"/>
        <v>#N/A</v>
      </c>
      <c r="AV316" s="406" t="e">
        <f t="shared" ca="1" si="137"/>
        <v>#N/A</v>
      </c>
      <c r="AW316" s="406" t="e">
        <f t="shared" ca="1" si="137"/>
        <v>#N/A</v>
      </c>
      <c r="AX316" s="406" t="e">
        <f t="shared" ca="1" si="137"/>
        <v>#N/A</v>
      </c>
      <c r="AY316" s="406" t="e">
        <f t="shared" ca="1" si="137"/>
        <v>#N/A</v>
      </c>
      <c r="AZ316" s="406" t="e">
        <f t="shared" ca="1" si="137"/>
        <v>#N/A</v>
      </c>
      <c r="BA316" s="406" t="e">
        <f t="shared" ca="1" si="137"/>
        <v>#N/A</v>
      </c>
      <c r="BB316" s="408"/>
      <c r="BC316" s="408" t="str">
        <f t="shared" ca="1" si="125"/>
        <v/>
      </c>
      <c r="BD316" s="408" t="s">
        <v>1278</v>
      </c>
      <c r="BE316" s="408" t="s">
        <v>1278</v>
      </c>
    </row>
    <row r="317" spans="3:57" ht="15" customHeight="1" x14ac:dyDescent="0.25">
      <c r="C317" s="406">
        <f t="shared" si="127"/>
        <v>315</v>
      </c>
      <c r="D317" s="406" t="e">
        <f t="shared" ca="1" si="136"/>
        <v>#N/A</v>
      </c>
      <c r="E317" s="406" t="e">
        <f t="shared" ca="1" si="136"/>
        <v>#N/A</v>
      </c>
      <c r="F317" s="406" t="e">
        <f t="shared" ca="1" si="136"/>
        <v>#N/A</v>
      </c>
      <c r="G317" s="406" t="e">
        <f t="shared" ca="1" si="136"/>
        <v>#N/A</v>
      </c>
      <c r="H317" s="406" t="e">
        <f t="shared" ca="1" si="136"/>
        <v>#N/A</v>
      </c>
      <c r="I317" s="406" t="e">
        <f t="shared" ca="1" si="136"/>
        <v>#N/A</v>
      </c>
      <c r="J317" s="406" t="e">
        <f t="shared" ca="1" si="136"/>
        <v>#N/A</v>
      </c>
      <c r="K317" s="406" t="e">
        <f t="shared" ca="1" si="136"/>
        <v>#N/A</v>
      </c>
      <c r="L317" s="406" t="e">
        <f t="shared" ca="1" si="136"/>
        <v>#N/A</v>
      </c>
      <c r="M317" s="406" t="e">
        <f t="shared" ca="1" si="136"/>
        <v>#N/A</v>
      </c>
      <c r="N317" s="406" t="e">
        <f t="shared" ca="1" si="134"/>
        <v>#N/A</v>
      </c>
      <c r="O317" s="406" t="e">
        <f t="shared" ca="1" si="134"/>
        <v>#N/A</v>
      </c>
      <c r="P317" s="406" t="e">
        <f t="shared" ca="1" si="134"/>
        <v>#N/A</v>
      </c>
      <c r="Q317" s="406" t="e">
        <f t="shared" ca="1" si="134"/>
        <v>#N/A</v>
      </c>
      <c r="R317" s="406" t="e">
        <f t="shared" ca="1" si="134"/>
        <v>#N/A</v>
      </c>
      <c r="S317" s="406" t="e">
        <f t="shared" ca="1" si="134"/>
        <v>#N/A</v>
      </c>
      <c r="T317" s="406" t="e">
        <f t="shared" ca="1" si="134"/>
        <v>#N/A</v>
      </c>
      <c r="U317" s="406" t="e">
        <f t="shared" ca="1" si="134"/>
        <v>#N/A</v>
      </c>
      <c r="V317" s="406" t="e">
        <f t="shared" ca="1" si="134"/>
        <v>#N/A</v>
      </c>
      <c r="W317" s="406" t="e">
        <f t="shared" ca="1" si="134"/>
        <v>#N/A</v>
      </c>
      <c r="X317" s="406" t="e">
        <f t="shared" ca="1" si="138"/>
        <v>#N/A</v>
      </c>
      <c r="Y317" s="406" t="e">
        <f t="shared" ca="1" si="138"/>
        <v>#N/A</v>
      </c>
      <c r="Z317" s="406" t="e">
        <f t="shared" ca="1" si="138"/>
        <v>#N/A</v>
      </c>
      <c r="AA317" s="406" t="e">
        <f t="shared" ca="1" si="138"/>
        <v>#N/A</v>
      </c>
      <c r="AB317" s="406" t="e">
        <f t="shared" ca="1" si="138"/>
        <v>#N/A</v>
      </c>
      <c r="AC317" s="406" t="e">
        <f t="shared" ca="1" si="138"/>
        <v>#N/A</v>
      </c>
      <c r="AD317" s="406" t="e">
        <f t="shared" ca="1" si="138"/>
        <v>#N/A</v>
      </c>
      <c r="AE317" s="406" t="e">
        <f t="shared" ca="1" si="138"/>
        <v>#N/A</v>
      </c>
      <c r="AF317" s="406" t="e">
        <f t="shared" ca="1" si="138"/>
        <v>#N/A</v>
      </c>
      <c r="AG317" s="406" t="e">
        <f t="shared" ca="1" si="138"/>
        <v>#N/A</v>
      </c>
      <c r="AH317" s="406" t="e">
        <f t="shared" ca="1" si="135"/>
        <v>#N/A</v>
      </c>
      <c r="AI317" s="406" t="e">
        <f t="shared" ca="1" si="135"/>
        <v>#N/A</v>
      </c>
      <c r="AJ317" s="406" t="e">
        <f t="shared" ca="1" si="135"/>
        <v>#N/A</v>
      </c>
      <c r="AK317" s="406" t="e">
        <f t="shared" ca="1" si="135"/>
        <v>#N/A</v>
      </c>
      <c r="AL317" s="406" t="e">
        <f t="shared" ca="1" si="135"/>
        <v>#N/A</v>
      </c>
      <c r="AM317" s="406" t="e">
        <f t="shared" ca="1" si="135"/>
        <v>#N/A</v>
      </c>
      <c r="AN317" s="406" t="e">
        <f t="shared" ca="1" si="135"/>
        <v>#N/A</v>
      </c>
      <c r="AO317" s="406" t="e">
        <f t="shared" ca="1" si="135"/>
        <v>#N/A</v>
      </c>
      <c r="AP317" s="406" t="e">
        <f t="shared" ca="1" si="135"/>
        <v>#N/A</v>
      </c>
      <c r="AQ317" s="406" t="e">
        <f t="shared" ca="1" si="135"/>
        <v>#N/A</v>
      </c>
      <c r="AR317" s="406" t="e">
        <f t="shared" ca="1" si="137"/>
        <v>#N/A</v>
      </c>
      <c r="AS317" s="406" t="e">
        <f t="shared" ca="1" si="137"/>
        <v>#N/A</v>
      </c>
      <c r="AT317" s="406" t="e">
        <f t="shared" ca="1" si="137"/>
        <v>#N/A</v>
      </c>
      <c r="AU317" s="406" t="e">
        <f t="shared" ca="1" si="137"/>
        <v>#N/A</v>
      </c>
      <c r="AV317" s="406" t="e">
        <f t="shared" ca="1" si="137"/>
        <v>#N/A</v>
      </c>
      <c r="AW317" s="406" t="e">
        <f t="shared" ca="1" si="137"/>
        <v>#N/A</v>
      </c>
      <c r="AX317" s="406" t="e">
        <f t="shared" ca="1" si="137"/>
        <v>#N/A</v>
      </c>
      <c r="AY317" s="406" t="e">
        <f t="shared" ca="1" si="137"/>
        <v>#N/A</v>
      </c>
      <c r="AZ317" s="406" t="e">
        <f t="shared" ca="1" si="137"/>
        <v>#N/A</v>
      </c>
      <c r="BA317" s="406" t="e">
        <f t="shared" ca="1" si="137"/>
        <v>#N/A</v>
      </c>
      <c r="BB317" s="408"/>
      <c r="BC317" s="408" t="str">
        <f t="shared" ca="1" si="125"/>
        <v/>
      </c>
      <c r="BD317" s="408" t="s">
        <v>1278</v>
      </c>
      <c r="BE317" s="408" t="s">
        <v>1278</v>
      </c>
    </row>
    <row r="318" spans="3:57" x14ac:dyDescent="0.25">
      <c r="C318" s="406">
        <f t="shared" si="127"/>
        <v>316</v>
      </c>
      <c r="D318" s="406" t="e">
        <f t="shared" ca="1" si="136"/>
        <v>#N/A</v>
      </c>
      <c r="E318" s="406" t="e">
        <f t="shared" ca="1" si="136"/>
        <v>#N/A</v>
      </c>
      <c r="F318" s="406" t="e">
        <f t="shared" ca="1" si="136"/>
        <v>#N/A</v>
      </c>
      <c r="G318" s="406" t="e">
        <f t="shared" ca="1" si="136"/>
        <v>#N/A</v>
      </c>
      <c r="H318" s="406" t="e">
        <f t="shared" ca="1" si="136"/>
        <v>#N/A</v>
      </c>
      <c r="I318" s="406" t="e">
        <f t="shared" ca="1" si="136"/>
        <v>#N/A</v>
      </c>
      <c r="J318" s="406" t="e">
        <f t="shared" ca="1" si="136"/>
        <v>#N/A</v>
      </c>
      <c r="K318" s="406" t="e">
        <f t="shared" ca="1" si="136"/>
        <v>#N/A</v>
      </c>
      <c r="L318" s="406" t="e">
        <f t="shared" ca="1" si="136"/>
        <v>#N/A</v>
      </c>
      <c r="M318" s="406" t="e">
        <f t="shared" ca="1" si="136"/>
        <v>#N/A</v>
      </c>
      <c r="N318" s="406" t="e">
        <f t="shared" ca="1" si="134"/>
        <v>#N/A</v>
      </c>
      <c r="O318" s="406" t="e">
        <f t="shared" ca="1" si="134"/>
        <v>#N/A</v>
      </c>
      <c r="P318" s="406" t="e">
        <f t="shared" ca="1" si="134"/>
        <v>#N/A</v>
      </c>
      <c r="Q318" s="406" t="e">
        <f t="shared" ca="1" si="134"/>
        <v>#N/A</v>
      </c>
      <c r="R318" s="406" t="e">
        <f t="shared" ca="1" si="134"/>
        <v>#N/A</v>
      </c>
      <c r="S318" s="406" t="e">
        <f t="shared" ca="1" si="134"/>
        <v>#N/A</v>
      </c>
      <c r="T318" s="406" t="e">
        <f t="shared" ca="1" si="134"/>
        <v>#N/A</v>
      </c>
      <c r="U318" s="406" t="e">
        <f t="shared" ca="1" si="134"/>
        <v>#N/A</v>
      </c>
      <c r="V318" s="406" t="e">
        <f t="shared" ca="1" si="134"/>
        <v>#N/A</v>
      </c>
      <c r="W318" s="406" t="e">
        <f t="shared" ca="1" si="134"/>
        <v>#N/A</v>
      </c>
      <c r="X318" s="406" t="e">
        <f t="shared" ca="1" si="138"/>
        <v>#N/A</v>
      </c>
      <c r="Y318" s="406" t="e">
        <f t="shared" ca="1" si="138"/>
        <v>#N/A</v>
      </c>
      <c r="Z318" s="406" t="e">
        <f t="shared" ca="1" si="138"/>
        <v>#N/A</v>
      </c>
      <c r="AA318" s="406" t="e">
        <f t="shared" ca="1" si="138"/>
        <v>#N/A</v>
      </c>
      <c r="AB318" s="406" t="e">
        <f t="shared" ca="1" si="138"/>
        <v>#N/A</v>
      </c>
      <c r="AC318" s="406" t="e">
        <f t="shared" ca="1" si="138"/>
        <v>#N/A</v>
      </c>
      <c r="AD318" s="406" t="e">
        <f t="shared" ca="1" si="138"/>
        <v>#N/A</v>
      </c>
      <c r="AE318" s="406" t="e">
        <f t="shared" ca="1" si="138"/>
        <v>#N/A</v>
      </c>
      <c r="AF318" s="406" t="e">
        <f t="shared" ca="1" si="138"/>
        <v>#N/A</v>
      </c>
      <c r="AG318" s="406" t="e">
        <f t="shared" ca="1" si="138"/>
        <v>#N/A</v>
      </c>
      <c r="AH318" s="406" t="e">
        <f t="shared" ca="1" si="135"/>
        <v>#N/A</v>
      </c>
      <c r="AI318" s="406" t="e">
        <f t="shared" ca="1" si="135"/>
        <v>#N/A</v>
      </c>
      <c r="AJ318" s="406" t="e">
        <f t="shared" ca="1" si="135"/>
        <v>#N/A</v>
      </c>
      <c r="AK318" s="406" t="e">
        <f t="shared" ca="1" si="135"/>
        <v>#N/A</v>
      </c>
      <c r="AL318" s="406" t="e">
        <f t="shared" ca="1" si="135"/>
        <v>#N/A</v>
      </c>
      <c r="AM318" s="406" t="e">
        <f t="shared" ca="1" si="135"/>
        <v>#N/A</v>
      </c>
      <c r="AN318" s="406" t="e">
        <f t="shared" ca="1" si="135"/>
        <v>#N/A</v>
      </c>
      <c r="AO318" s="406" t="e">
        <f t="shared" ca="1" si="135"/>
        <v>#N/A</v>
      </c>
      <c r="AP318" s="406" t="e">
        <f t="shared" ca="1" si="135"/>
        <v>#N/A</v>
      </c>
      <c r="AQ318" s="406" t="e">
        <f t="shared" ca="1" si="135"/>
        <v>#N/A</v>
      </c>
      <c r="AR318" s="406" t="e">
        <f t="shared" ca="1" si="137"/>
        <v>#N/A</v>
      </c>
      <c r="AS318" s="406" t="e">
        <f t="shared" ca="1" si="137"/>
        <v>#N/A</v>
      </c>
      <c r="AT318" s="406" t="e">
        <f t="shared" ca="1" si="137"/>
        <v>#N/A</v>
      </c>
      <c r="AU318" s="406" t="e">
        <f t="shared" ca="1" si="137"/>
        <v>#N/A</v>
      </c>
      <c r="AV318" s="406" t="e">
        <f t="shared" ca="1" si="137"/>
        <v>#N/A</v>
      </c>
      <c r="AW318" s="406" t="e">
        <f t="shared" ca="1" si="137"/>
        <v>#N/A</v>
      </c>
      <c r="AX318" s="406" t="e">
        <f t="shared" ca="1" si="137"/>
        <v>#N/A</v>
      </c>
      <c r="AY318" s="406" t="e">
        <f t="shared" ca="1" si="137"/>
        <v>#N/A</v>
      </c>
      <c r="AZ318" s="406" t="e">
        <f t="shared" ca="1" si="137"/>
        <v>#N/A</v>
      </c>
      <c r="BA318" s="406" t="e">
        <f t="shared" ca="1" si="137"/>
        <v>#N/A</v>
      </c>
      <c r="BB318" s="408"/>
      <c r="BC318" s="408" t="str">
        <f t="shared" ca="1" si="125"/>
        <v/>
      </c>
      <c r="BD318" s="408" t="s">
        <v>1278</v>
      </c>
      <c r="BE318" s="408" t="s">
        <v>1278</v>
      </c>
    </row>
    <row r="319" spans="3:57" x14ac:dyDescent="0.25">
      <c r="C319" s="406">
        <f t="shared" si="127"/>
        <v>317</v>
      </c>
      <c r="D319" s="406" t="e">
        <f t="shared" ca="1" si="136"/>
        <v>#N/A</v>
      </c>
      <c r="E319" s="406" t="e">
        <f t="shared" ca="1" si="136"/>
        <v>#N/A</v>
      </c>
      <c r="F319" s="406" t="e">
        <f t="shared" ca="1" si="136"/>
        <v>#N/A</v>
      </c>
      <c r="G319" s="406" t="e">
        <f t="shared" ca="1" si="136"/>
        <v>#N/A</v>
      </c>
      <c r="H319" s="406" t="e">
        <f t="shared" ca="1" si="136"/>
        <v>#N/A</v>
      </c>
      <c r="I319" s="406" t="e">
        <f t="shared" ca="1" si="136"/>
        <v>#N/A</v>
      </c>
      <c r="J319" s="406" t="e">
        <f t="shared" ca="1" si="136"/>
        <v>#N/A</v>
      </c>
      <c r="K319" s="406" t="e">
        <f t="shared" ca="1" si="136"/>
        <v>#N/A</v>
      </c>
      <c r="L319" s="406" t="e">
        <f t="shared" ca="1" si="136"/>
        <v>#N/A</v>
      </c>
      <c r="M319" s="406" t="e">
        <f t="shared" ca="1" si="136"/>
        <v>#N/A</v>
      </c>
      <c r="N319" s="406" t="e">
        <f t="shared" ca="1" si="134"/>
        <v>#N/A</v>
      </c>
      <c r="O319" s="406" t="e">
        <f t="shared" ca="1" si="134"/>
        <v>#N/A</v>
      </c>
      <c r="P319" s="406" t="e">
        <f t="shared" ca="1" si="134"/>
        <v>#N/A</v>
      </c>
      <c r="Q319" s="406" t="e">
        <f t="shared" ca="1" si="134"/>
        <v>#N/A</v>
      </c>
      <c r="R319" s="406" t="e">
        <f t="shared" ca="1" si="134"/>
        <v>#N/A</v>
      </c>
      <c r="S319" s="406" t="e">
        <f t="shared" ca="1" si="134"/>
        <v>#N/A</v>
      </c>
      <c r="T319" s="406" t="e">
        <f t="shared" ca="1" si="134"/>
        <v>#N/A</v>
      </c>
      <c r="U319" s="406" t="e">
        <f t="shared" ca="1" si="134"/>
        <v>#N/A</v>
      </c>
      <c r="V319" s="406" t="e">
        <f t="shared" ca="1" si="134"/>
        <v>#N/A</v>
      </c>
      <c r="W319" s="406" t="e">
        <f t="shared" ca="1" si="134"/>
        <v>#N/A</v>
      </c>
      <c r="X319" s="406" t="e">
        <f t="shared" ca="1" si="138"/>
        <v>#N/A</v>
      </c>
      <c r="Y319" s="406" t="e">
        <f t="shared" ca="1" si="138"/>
        <v>#N/A</v>
      </c>
      <c r="Z319" s="406" t="e">
        <f t="shared" ca="1" si="138"/>
        <v>#N/A</v>
      </c>
      <c r="AA319" s="406" t="e">
        <f t="shared" ca="1" si="138"/>
        <v>#N/A</v>
      </c>
      <c r="AB319" s="406" t="e">
        <f t="shared" ca="1" si="138"/>
        <v>#N/A</v>
      </c>
      <c r="AC319" s="406" t="e">
        <f t="shared" ca="1" si="138"/>
        <v>#N/A</v>
      </c>
      <c r="AD319" s="406" t="e">
        <f t="shared" ca="1" si="138"/>
        <v>#N/A</v>
      </c>
      <c r="AE319" s="406" t="e">
        <f t="shared" ca="1" si="138"/>
        <v>#N/A</v>
      </c>
      <c r="AF319" s="406" t="e">
        <f t="shared" ca="1" si="138"/>
        <v>#N/A</v>
      </c>
      <c r="AG319" s="406" t="e">
        <f t="shared" ca="1" si="138"/>
        <v>#N/A</v>
      </c>
      <c r="AH319" s="406" t="e">
        <f t="shared" ca="1" si="135"/>
        <v>#N/A</v>
      </c>
      <c r="AI319" s="406" t="e">
        <f t="shared" ca="1" si="135"/>
        <v>#N/A</v>
      </c>
      <c r="AJ319" s="406" t="e">
        <f t="shared" ca="1" si="135"/>
        <v>#N/A</v>
      </c>
      <c r="AK319" s="406" t="e">
        <f t="shared" ca="1" si="135"/>
        <v>#N/A</v>
      </c>
      <c r="AL319" s="406" t="e">
        <f t="shared" ca="1" si="135"/>
        <v>#N/A</v>
      </c>
      <c r="AM319" s="406" t="e">
        <f t="shared" ca="1" si="135"/>
        <v>#N/A</v>
      </c>
      <c r="AN319" s="406" t="e">
        <f t="shared" ca="1" si="135"/>
        <v>#N/A</v>
      </c>
      <c r="AO319" s="406" t="e">
        <f t="shared" ca="1" si="135"/>
        <v>#N/A</v>
      </c>
      <c r="AP319" s="406" t="e">
        <f t="shared" ca="1" si="135"/>
        <v>#N/A</v>
      </c>
      <c r="AQ319" s="406" t="e">
        <f t="shared" ca="1" si="135"/>
        <v>#N/A</v>
      </c>
      <c r="AR319" s="406" t="e">
        <f t="shared" ca="1" si="137"/>
        <v>#N/A</v>
      </c>
      <c r="AS319" s="406" t="e">
        <f t="shared" ca="1" si="137"/>
        <v>#N/A</v>
      </c>
      <c r="AT319" s="406" t="e">
        <f t="shared" ca="1" si="137"/>
        <v>#N/A</v>
      </c>
      <c r="AU319" s="406" t="e">
        <f t="shared" ca="1" si="137"/>
        <v>#N/A</v>
      </c>
      <c r="AV319" s="406" t="e">
        <f t="shared" ca="1" si="137"/>
        <v>#N/A</v>
      </c>
      <c r="AW319" s="406" t="e">
        <f t="shared" ca="1" si="137"/>
        <v>#N/A</v>
      </c>
      <c r="AX319" s="406" t="e">
        <f t="shared" ca="1" si="137"/>
        <v>#N/A</v>
      </c>
      <c r="AY319" s="406" t="e">
        <f t="shared" ca="1" si="137"/>
        <v>#N/A</v>
      </c>
      <c r="AZ319" s="406" t="e">
        <f t="shared" ca="1" si="137"/>
        <v>#N/A</v>
      </c>
      <c r="BA319" s="406" t="e">
        <f t="shared" ca="1" si="137"/>
        <v>#N/A</v>
      </c>
      <c r="BB319" s="408"/>
      <c r="BC319" s="408" t="str">
        <f t="shared" ca="1" si="125"/>
        <v/>
      </c>
      <c r="BD319" s="408" t="s">
        <v>1278</v>
      </c>
      <c r="BE319" s="408" t="s">
        <v>1278</v>
      </c>
    </row>
    <row r="320" spans="3:57" x14ac:dyDescent="0.25">
      <c r="C320" s="406">
        <f t="shared" si="127"/>
        <v>318</v>
      </c>
      <c r="D320" s="406" t="e">
        <f t="shared" ca="1" si="136"/>
        <v>#N/A</v>
      </c>
      <c r="E320" s="406" t="e">
        <f t="shared" ca="1" si="136"/>
        <v>#N/A</v>
      </c>
      <c r="F320" s="406" t="e">
        <f t="shared" ca="1" si="136"/>
        <v>#N/A</v>
      </c>
      <c r="G320" s="406" t="e">
        <f t="shared" ca="1" si="136"/>
        <v>#N/A</v>
      </c>
      <c r="H320" s="406" t="e">
        <f t="shared" ca="1" si="136"/>
        <v>#N/A</v>
      </c>
      <c r="I320" s="406" t="e">
        <f t="shared" ca="1" si="136"/>
        <v>#N/A</v>
      </c>
      <c r="J320" s="406" t="e">
        <f t="shared" ca="1" si="136"/>
        <v>#N/A</v>
      </c>
      <c r="K320" s="406" t="e">
        <f t="shared" ca="1" si="136"/>
        <v>#N/A</v>
      </c>
      <c r="L320" s="406" t="e">
        <f t="shared" ca="1" si="136"/>
        <v>#N/A</v>
      </c>
      <c r="M320" s="406" t="e">
        <f t="shared" ca="1" si="136"/>
        <v>#N/A</v>
      </c>
      <c r="N320" s="406" t="e">
        <f t="shared" ca="1" si="134"/>
        <v>#N/A</v>
      </c>
      <c r="O320" s="406" t="e">
        <f t="shared" ca="1" si="134"/>
        <v>#N/A</v>
      </c>
      <c r="P320" s="406" t="e">
        <f t="shared" ca="1" si="134"/>
        <v>#N/A</v>
      </c>
      <c r="Q320" s="406" t="e">
        <f t="shared" ca="1" si="134"/>
        <v>#N/A</v>
      </c>
      <c r="R320" s="406" t="e">
        <f t="shared" ca="1" si="134"/>
        <v>#N/A</v>
      </c>
      <c r="S320" s="406" t="e">
        <f t="shared" ca="1" si="134"/>
        <v>#N/A</v>
      </c>
      <c r="T320" s="406" t="e">
        <f t="shared" ca="1" si="134"/>
        <v>#N/A</v>
      </c>
      <c r="U320" s="406" t="e">
        <f t="shared" ca="1" si="134"/>
        <v>#N/A</v>
      </c>
      <c r="V320" s="406" t="e">
        <f t="shared" ca="1" si="134"/>
        <v>#N/A</v>
      </c>
      <c r="W320" s="406" t="e">
        <f t="shared" ca="1" si="134"/>
        <v>#N/A</v>
      </c>
      <c r="X320" s="406" t="e">
        <f t="shared" ca="1" si="138"/>
        <v>#N/A</v>
      </c>
      <c r="Y320" s="406" t="e">
        <f t="shared" ca="1" si="138"/>
        <v>#N/A</v>
      </c>
      <c r="Z320" s="406" t="e">
        <f t="shared" ca="1" si="138"/>
        <v>#N/A</v>
      </c>
      <c r="AA320" s="406" t="e">
        <f t="shared" ca="1" si="138"/>
        <v>#N/A</v>
      </c>
      <c r="AB320" s="406" t="e">
        <f t="shared" ca="1" si="138"/>
        <v>#N/A</v>
      </c>
      <c r="AC320" s="406" t="e">
        <f t="shared" ca="1" si="138"/>
        <v>#N/A</v>
      </c>
      <c r="AD320" s="406" t="e">
        <f t="shared" ca="1" si="138"/>
        <v>#N/A</v>
      </c>
      <c r="AE320" s="406" t="e">
        <f t="shared" ca="1" si="138"/>
        <v>#N/A</v>
      </c>
      <c r="AF320" s="406" t="e">
        <f t="shared" ca="1" si="138"/>
        <v>#N/A</v>
      </c>
      <c r="AG320" s="406" t="e">
        <f t="shared" ca="1" si="138"/>
        <v>#N/A</v>
      </c>
      <c r="AH320" s="406" t="e">
        <f t="shared" ca="1" si="135"/>
        <v>#N/A</v>
      </c>
      <c r="AI320" s="406" t="e">
        <f t="shared" ca="1" si="135"/>
        <v>#N/A</v>
      </c>
      <c r="AJ320" s="406" t="e">
        <f t="shared" ca="1" si="135"/>
        <v>#N/A</v>
      </c>
      <c r="AK320" s="406" t="e">
        <f t="shared" ca="1" si="135"/>
        <v>#N/A</v>
      </c>
      <c r="AL320" s="406" t="e">
        <f t="shared" ca="1" si="135"/>
        <v>#N/A</v>
      </c>
      <c r="AM320" s="406" t="e">
        <f t="shared" ca="1" si="135"/>
        <v>#N/A</v>
      </c>
      <c r="AN320" s="406" t="e">
        <f t="shared" ca="1" si="135"/>
        <v>#N/A</v>
      </c>
      <c r="AO320" s="406" t="e">
        <f t="shared" ca="1" si="135"/>
        <v>#N/A</v>
      </c>
      <c r="AP320" s="406" t="e">
        <f t="shared" ca="1" si="135"/>
        <v>#N/A</v>
      </c>
      <c r="AQ320" s="406" t="e">
        <f t="shared" ca="1" si="135"/>
        <v>#N/A</v>
      </c>
      <c r="AR320" s="406" t="e">
        <f t="shared" ca="1" si="137"/>
        <v>#N/A</v>
      </c>
      <c r="AS320" s="406" t="e">
        <f t="shared" ca="1" si="137"/>
        <v>#N/A</v>
      </c>
      <c r="AT320" s="406" t="e">
        <f t="shared" ca="1" si="137"/>
        <v>#N/A</v>
      </c>
      <c r="AU320" s="406" t="e">
        <f t="shared" ca="1" si="137"/>
        <v>#N/A</v>
      </c>
      <c r="AV320" s="406" t="e">
        <f t="shared" ca="1" si="137"/>
        <v>#N/A</v>
      </c>
      <c r="AW320" s="406" t="e">
        <f t="shared" ca="1" si="137"/>
        <v>#N/A</v>
      </c>
      <c r="AX320" s="406" t="e">
        <f t="shared" ca="1" si="137"/>
        <v>#N/A</v>
      </c>
      <c r="AY320" s="406" t="e">
        <f t="shared" ca="1" si="137"/>
        <v>#N/A</v>
      </c>
      <c r="AZ320" s="406" t="e">
        <f t="shared" ca="1" si="137"/>
        <v>#N/A</v>
      </c>
      <c r="BA320" s="406" t="e">
        <f t="shared" ca="1" si="137"/>
        <v>#N/A</v>
      </c>
      <c r="BB320" s="408"/>
      <c r="BC320" s="408" t="str">
        <f t="shared" ca="1" si="125"/>
        <v/>
      </c>
      <c r="BD320" s="408" t="s">
        <v>1278</v>
      </c>
      <c r="BE320" s="408" t="s">
        <v>1278</v>
      </c>
    </row>
    <row r="321" spans="3:57" x14ac:dyDescent="0.25">
      <c r="C321" s="406">
        <f t="shared" si="127"/>
        <v>319</v>
      </c>
      <c r="D321" s="406" t="e">
        <f t="shared" ca="1" si="136"/>
        <v>#N/A</v>
      </c>
      <c r="E321" s="406" t="e">
        <f t="shared" ca="1" si="136"/>
        <v>#N/A</v>
      </c>
      <c r="F321" s="406" t="e">
        <f t="shared" ca="1" si="136"/>
        <v>#N/A</v>
      </c>
      <c r="G321" s="406" t="e">
        <f t="shared" ca="1" si="136"/>
        <v>#N/A</v>
      </c>
      <c r="H321" s="406" t="e">
        <f t="shared" ca="1" si="136"/>
        <v>#N/A</v>
      </c>
      <c r="I321" s="406" t="e">
        <f t="shared" ca="1" si="136"/>
        <v>#N/A</v>
      </c>
      <c r="J321" s="406" t="e">
        <f t="shared" ca="1" si="136"/>
        <v>#N/A</v>
      </c>
      <c r="K321" s="406" t="e">
        <f t="shared" ca="1" si="136"/>
        <v>#N/A</v>
      </c>
      <c r="L321" s="406" t="e">
        <f t="shared" ca="1" si="136"/>
        <v>#N/A</v>
      </c>
      <c r="M321" s="406" t="e">
        <f t="shared" ca="1" si="136"/>
        <v>#N/A</v>
      </c>
      <c r="N321" s="406" t="e">
        <f t="shared" ca="1" si="134"/>
        <v>#N/A</v>
      </c>
      <c r="O321" s="406" t="e">
        <f t="shared" ca="1" si="134"/>
        <v>#N/A</v>
      </c>
      <c r="P321" s="406" t="e">
        <f t="shared" ca="1" si="134"/>
        <v>#N/A</v>
      </c>
      <c r="Q321" s="406" t="e">
        <f t="shared" ca="1" si="134"/>
        <v>#N/A</v>
      </c>
      <c r="R321" s="406" t="e">
        <f t="shared" ref="N321:W346" ca="1" si="139">TRIM(INDIRECT("'" &amp; "TNX RTF" &amp; "'!" &amp; ADDRESS($A$3+$C321,R$1)))</f>
        <v>#N/A</v>
      </c>
      <c r="S321" s="406" t="e">
        <f t="shared" ca="1" si="139"/>
        <v>#N/A</v>
      </c>
      <c r="T321" s="406" t="e">
        <f t="shared" ca="1" si="139"/>
        <v>#N/A</v>
      </c>
      <c r="U321" s="406" t="e">
        <f t="shared" ca="1" si="139"/>
        <v>#N/A</v>
      </c>
      <c r="V321" s="406" t="e">
        <f t="shared" ca="1" si="139"/>
        <v>#N/A</v>
      </c>
      <c r="W321" s="406" t="e">
        <f t="shared" ca="1" si="139"/>
        <v>#N/A</v>
      </c>
      <c r="X321" s="406" t="e">
        <f t="shared" ca="1" si="138"/>
        <v>#N/A</v>
      </c>
      <c r="Y321" s="406" t="e">
        <f t="shared" ca="1" si="138"/>
        <v>#N/A</v>
      </c>
      <c r="Z321" s="406" t="e">
        <f t="shared" ca="1" si="138"/>
        <v>#N/A</v>
      </c>
      <c r="AA321" s="406" t="e">
        <f t="shared" ca="1" si="138"/>
        <v>#N/A</v>
      </c>
      <c r="AB321" s="406" t="e">
        <f t="shared" ca="1" si="138"/>
        <v>#N/A</v>
      </c>
      <c r="AC321" s="406" t="e">
        <f t="shared" ca="1" si="138"/>
        <v>#N/A</v>
      </c>
      <c r="AD321" s="406" t="e">
        <f t="shared" ca="1" si="138"/>
        <v>#N/A</v>
      </c>
      <c r="AE321" s="406" t="e">
        <f t="shared" ca="1" si="138"/>
        <v>#N/A</v>
      </c>
      <c r="AF321" s="406" t="e">
        <f t="shared" ca="1" si="138"/>
        <v>#N/A</v>
      </c>
      <c r="AG321" s="406" t="e">
        <f t="shared" ca="1" si="138"/>
        <v>#N/A</v>
      </c>
      <c r="AH321" s="406" t="e">
        <f t="shared" ca="1" si="135"/>
        <v>#N/A</v>
      </c>
      <c r="AI321" s="406" t="e">
        <f t="shared" ca="1" si="135"/>
        <v>#N/A</v>
      </c>
      <c r="AJ321" s="406" t="e">
        <f t="shared" ca="1" si="135"/>
        <v>#N/A</v>
      </c>
      <c r="AK321" s="406" t="e">
        <f t="shared" ref="AH321:AQ346" ca="1" si="140">TRIM(INDIRECT("'" &amp; "TNX RTF" &amp; "'!" &amp; ADDRESS($A$3+$C321,AK$1)))</f>
        <v>#N/A</v>
      </c>
      <c r="AL321" s="406" t="e">
        <f t="shared" ca="1" si="140"/>
        <v>#N/A</v>
      </c>
      <c r="AM321" s="406" t="e">
        <f t="shared" ca="1" si="140"/>
        <v>#N/A</v>
      </c>
      <c r="AN321" s="406" t="e">
        <f t="shared" ca="1" si="140"/>
        <v>#N/A</v>
      </c>
      <c r="AO321" s="406" t="e">
        <f t="shared" ca="1" si="140"/>
        <v>#N/A</v>
      </c>
      <c r="AP321" s="406" t="e">
        <f t="shared" ca="1" si="140"/>
        <v>#N/A</v>
      </c>
      <c r="AQ321" s="406" t="e">
        <f t="shared" ca="1" si="140"/>
        <v>#N/A</v>
      </c>
      <c r="AR321" s="406" t="e">
        <f t="shared" ca="1" si="137"/>
        <v>#N/A</v>
      </c>
      <c r="AS321" s="406" t="e">
        <f t="shared" ca="1" si="137"/>
        <v>#N/A</v>
      </c>
      <c r="AT321" s="406" t="e">
        <f t="shared" ca="1" si="137"/>
        <v>#N/A</v>
      </c>
      <c r="AU321" s="406" t="e">
        <f t="shared" ca="1" si="137"/>
        <v>#N/A</v>
      </c>
      <c r="AV321" s="406" t="e">
        <f t="shared" ca="1" si="137"/>
        <v>#N/A</v>
      </c>
      <c r="AW321" s="406" t="e">
        <f t="shared" ca="1" si="137"/>
        <v>#N/A</v>
      </c>
      <c r="AX321" s="406" t="e">
        <f t="shared" ca="1" si="137"/>
        <v>#N/A</v>
      </c>
      <c r="AY321" s="406" t="e">
        <f t="shared" ca="1" si="137"/>
        <v>#N/A</v>
      </c>
      <c r="AZ321" s="406" t="e">
        <f t="shared" ca="1" si="137"/>
        <v>#N/A</v>
      </c>
      <c r="BA321" s="406" t="e">
        <f t="shared" ca="1" si="137"/>
        <v>#N/A</v>
      </c>
      <c r="BB321" s="408"/>
      <c r="BC321" s="408" t="str">
        <f t="shared" ca="1" si="125"/>
        <v/>
      </c>
      <c r="BD321" s="408" t="s">
        <v>1278</v>
      </c>
      <c r="BE321" s="408" t="s">
        <v>1278</v>
      </c>
    </row>
    <row r="322" spans="3:57" x14ac:dyDescent="0.25">
      <c r="C322" s="406">
        <f t="shared" si="127"/>
        <v>320</v>
      </c>
      <c r="D322" s="406" t="e">
        <f t="shared" ca="1" si="136"/>
        <v>#N/A</v>
      </c>
      <c r="E322" s="406" t="e">
        <f t="shared" ca="1" si="136"/>
        <v>#N/A</v>
      </c>
      <c r="F322" s="406" t="e">
        <f t="shared" ca="1" si="136"/>
        <v>#N/A</v>
      </c>
      <c r="G322" s="406" t="e">
        <f t="shared" ca="1" si="136"/>
        <v>#N/A</v>
      </c>
      <c r="H322" s="406" t="e">
        <f t="shared" ca="1" si="136"/>
        <v>#N/A</v>
      </c>
      <c r="I322" s="406" t="e">
        <f t="shared" ca="1" si="136"/>
        <v>#N/A</v>
      </c>
      <c r="J322" s="406" t="e">
        <f t="shared" ca="1" si="136"/>
        <v>#N/A</v>
      </c>
      <c r="K322" s="406" t="e">
        <f t="shared" ca="1" si="136"/>
        <v>#N/A</v>
      </c>
      <c r="L322" s="406" t="e">
        <f t="shared" ca="1" si="136"/>
        <v>#N/A</v>
      </c>
      <c r="M322" s="406" t="e">
        <f t="shared" ca="1" si="136"/>
        <v>#N/A</v>
      </c>
      <c r="N322" s="406" t="e">
        <f t="shared" ca="1" si="139"/>
        <v>#N/A</v>
      </c>
      <c r="O322" s="406" t="e">
        <f t="shared" ca="1" si="139"/>
        <v>#N/A</v>
      </c>
      <c r="P322" s="406" t="e">
        <f t="shared" ca="1" si="139"/>
        <v>#N/A</v>
      </c>
      <c r="Q322" s="406" t="e">
        <f t="shared" ca="1" si="139"/>
        <v>#N/A</v>
      </c>
      <c r="R322" s="406" t="e">
        <f t="shared" ca="1" si="139"/>
        <v>#N/A</v>
      </c>
      <c r="S322" s="406" t="e">
        <f t="shared" ca="1" si="139"/>
        <v>#N/A</v>
      </c>
      <c r="T322" s="406" t="e">
        <f t="shared" ca="1" si="139"/>
        <v>#N/A</v>
      </c>
      <c r="U322" s="406" t="e">
        <f t="shared" ca="1" si="139"/>
        <v>#N/A</v>
      </c>
      <c r="V322" s="406" t="e">
        <f t="shared" ca="1" si="139"/>
        <v>#N/A</v>
      </c>
      <c r="W322" s="406" t="e">
        <f t="shared" ca="1" si="139"/>
        <v>#N/A</v>
      </c>
      <c r="X322" s="406" t="e">
        <f t="shared" ca="1" si="138"/>
        <v>#N/A</v>
      </c>
      <c r="Y322" s="406" t="e">
        <f t="shared" ca="1" si="138"/>
        <v>#N/A</v>
      </c>
      <c r="Z322" s="406" t="e">
        <f t="shared" ca="1" si="138"/>
        <v>#N/A</v>
      </c>
      <c r="AA322" s="406" t="e">
        <f t="shared" ca="1" si="138"/>
        <v>#N/A</v>
      </c>
      <c r="AB322" s="406" t="e">
        <f t="shared" ca="1" si="138"/>
        <v>#N/A</v>
      </c>
      <c r="AC322" s="406" t="e">
        <f t="shared" ca="1" si="138"/>
        <v>#N/A</v>
      </c>
      <c r="AD322" s="406" t="e">
        <f t="shared" ca="1" si="138"/>
        <v>#N/A</v>
      </c>
      <c r="AE322" s="406" t="e">
        <f t="shared" ca="1" si="138"/>
        <v>#N/A</v>
      </c>
      <c r="AF322" s="406" t="e">
        <f t="shared" ca="1" si="138"/>
        <v>#N/A</v>
      </c>
      <c r="AG322" s="406" t="e">
        <f t="shared" ca="1" si="138"/>
        <v>#N/A</v>
      </c>
      <c r="AH322" s="406" t="e">
        <f t="shared" ca="1" si="140"/>
        <v>#N/A</v>
      </c>
      <c r="AI322" s="406" t="e">
        <f t="shared" ca="1" si="140"/>
        <v>#N/A</v>
      </c>
      <c r="AJ322" s="406" t="e">
        <f t="shared" ca="1" si="140"/>
        <v>#N/A</v>
      </c>
      <c r="AK322" s="406" t="e">
        <f t="shared" ca="1" si="140"/>
        <v>#N/A</v>
      </c>
      <c r="AL322" s="406" t="e">
        <f t="shared" ca="1" si="140"/>
        <v>#N/A</v>
      </c>
      <c r="AM322" s="406" t="e">
        <f t="shared" ca="1" si="140"/>
        <v>#N/A</v>
      </c>
      <c r="AN322" s="406" t="e">
        <f t="shared" ca="1" si="140"/>
        <v>#N/A</v>
      </c>
      <c r="AO322" s="406" t="e">
        <f t="shared" ca="1" si="140"/>
        <v>#N/A</v>
      </c>
      <c r="AP322" s="406" t="e">
        <f t="shared" ca="1" si="140"/>
        <v>#N/A</v>
      </c>
      <c r="AQ322" s="406" t="e">
        <f t="shared" ca="1" si="140"/>
        <v>#N/A</v>
      </c>
      <c r="AR322" s="406" t="e">
        <f t="shared" ca="1" si="137"/>
        <v>#N/A</v>
      </c>
      <c r="AS322" s="406" t="e">
        <f t="shared" ca="1" si="137"/>
        <v>#N/A</v>
      </c>
      <c r="AT322" s="406" t="e">
        <f t="shared" ca="1" si="137"/>
        <v>#N/A</v>
      </c>
      <c r="AU322" s="406" t="e">
        <f t="shared" ca="1" si="137"/>
        <v>#N/A</v>
      </c>
      <c r="AV322" s="406" t="e">
        <f t="shared" ca="1" si="137"/>
        <v>#N/A</v>
      </c>
      <c r="AW322" s="406" t="e">
        <f t="shared" ca="1" si="137"/>
        <v>#N/A</v>
      </c>
      <c r="AX322" s="406" t="e">
        <f t="shared" ca="1" si="137"/>
        <v>#N/A</v>
      </c>
      <c r="AY322" s="406" t="e">
        <f t="shared" ca="1" si="137"/>
        <v>#N/A</v>
      </c>
      <c r="AZ322" s="406" t="e">
        <f t="shared" ca="1" si="137"/>
        <v>#N/A</v>
      </c>
      <c r="BA322" s="406" t="e">
        <f t="shared" ca="1" si="137"/>
        <v>#N/A</v>
      </c>
      <c r="BB322" s="408"/>
      <c r="BC322" s="408" t="str">
        <f t="shared" ref="BC322:BC385" ca="1" si="141">IFERROR(ABS(INDEX($D$2:$BA$502,MATCH($BB322,$D$2:$D$502,0),MATCH(BC$1,INDIRECT(CONCATENATE("D" &amp; $A$6 &amp; ":BA" &amp; $A$6)),0)))*(IF(RTF_unit="K",1,IF(RTF_unit="lb",1/1000,IF(RTF_unit="T",1/2,1)))),"")</f>
        <v/>
      </c>
      <c r="BD322" s="408" t="s">
        <v>1278</v>
      </c>
      <c r="BE322" s="408" t="s">
        <v>1278</v>
      </c>
    </row>
    <row r="323" spans="3:57" x14ac:dyDescent="0.25">
      <c r="C323" s="406">
        <f t="shared" si="127"/>
        <v>321</v>
      </c>
      <c r="D323" s="406" t="e">
        <f t="shared" ref="D323:M348" ca="1" si="142">TRIM(INDIRECT("'" &amp; "TNX RTF" &amp; "'!" &amp; ADDRESS($A$3+$C323,D$1)))</f>
        <v>#N/A</v>
      </c>
      <c r="E323" s="406" t="e">
        <f t="shared" ca="1" si="142"/>
        <v>#N/A</v>
      </c>
      <c r="F323" s="406" t="e">
        <f t="shared" ca="1" si="142"/>
        <v>#N/A</v>
      </c>
      <c r="G323" s="406" t="e">
        <f t="shared" ca="1" si="142"/>
        <v>#N/A</v>
      </c>
      <c r="H323" s="406" t="e">
        <f t="shared" ca="1" si="142"/>
        <v>#N/A</v>
      </c>
      <c r="I323" s="406" t="e">
        <f t="shared" ca="1" si="142"/>
        <v>#N/A</v>
      </c>
      <c r="J323" s="406" t="e">
        <f t="shared" ca="1" si="142"/>
        <v>#N/A</v>
      </c>
      <c r="K323" s="406" t="e">
        <f t="shared" ca="1" si="142"/>
        <v>#N/A</v>
      </c>
      <c r="L323" s="406" t="e">
        <f t="shared" ca="1" si="142"/>
        <v>#N/A</v>
      </c>
      <c r="M323" s="406" t="e">
        <f t="shared" ca="1" si="142"/>
        <v>#N/A</v>
      </c>
      <c r="N323" s="406" t="e">
        <f t="shared" ca="1" si="139"/>
        <v>#N/A</v>
      </c>
      <c r="O323" s="406" t="e">
        <f t="shared" ca="1" si="139"/>
        <v>#N/A</v>
      </c>
      <c r="P323" s="406" t="e">
        <f t="shared" ca="1" si="139"/>
        <v>#N/A</v>
      </c>
      <c r="Q323" s="406" t="e">
        <f t="shared" ca="1" si="139"/>
        <v>#N/A</v>
      </c>
      <c r="R323" s="406" t="e">
        <f t="shared" ca="1" si="139"/>
        <v>#N/A</v>
      </c>
      <c r="S323" s="406" t="e">
        <f t="shared" ca="1" si="139"/>
        <v>#N/A</v>
      </c>
      <c r="T323" s="406" t="e">
        <f t="shared" ca="1" si="139"/>
        <v>#N/A</v>
      </c>
      <c r="U323" s="406" t="e">
        <f t="shared" ca="1" si="139"/>
        <v>#N/A</v>
      </c>
      <c r="V323" s="406" t="e">
        <f t="shared" ca="1" si="139"/>
        <v>#N/A</v>
      </c>
      <c r="W323" s="406" t="e">
        <f t="shared" ca="1" si="139"/>
        <v>#N/A</v>
      </c>
      <c r="X323" s="406" t="e">
        <f t="shared" ca="1" si="138"/>
        <v>#N/A</v>
      </c>
      <c r="Y323" s="406" t="e">
        <f t="shared" ca="1" si="138"/>
        <v>#N/A</v>
      </c>
      <c r="Z323" s="406" t="e">
        <f t="shared" ca="1" si="138"/>
        <v>#N/A</v>
      </c>
      <c r="AA323" s="406" t="e">
        <f t="shared" ca="1" si="138"/>
        <v>#N/A</v>
      </c>
      <c r="AB323" s="406" t="e">
        <f t="shared" ca="1" si="138"/>
        <v>#N/A</v>
      </c>
      <c r="AC323" s="406" t="e">
        <f t="shared" ca="1" si="138"/>
        <v>#N/A</v>
      </c>
      <c r="AD323" s="406" t="e">
        <f t="shared" ca="1" si="138"/>
        <v>#N/A</v>
      </c>
      <c r="AE323" s="406" t="e">
        <f t="shared" ca="1" si="138"/>
        <v>#N/A</v>
      </c>
      <c r="AF323" s="406" t="e">
        <f t="shared" ca="1" si="138"/>
        <v>#N/A</v>
      </c>
      <c r="AG323" s="406" t="e">
        <f t="shared" ca="1" si="138"/>
        <v>#N/A</v>
      </c>
      <c r="AH323" s="406" t="e">
        <f t="shared" ca="1" si="140"/>
        <v>#N/A</v>
      </c>
      <c r="AI323" s="406" t="e">
        <f t="shared" ca="1" si="140"/>
        <v>#N/A</v>
      </c>
      <c r="AJ323" s="406" t="e">
        <f t="shared" ca="1" si="140"/>
        <v>#N/A</v>
      </c>
      <c r="AK323" s="406" t="e">
        <f t="shared" ca="1" si="140"/>
        <v>#N/A</v>
      </c>
      <c r="AL323" s="406" t="e">
        <f t="shared" ca="1" si="140"/>
        <v>#N/A</v>
      </c>
      <c r="AM323" s="406" t="e">
        <f t="shared" ca="1" si="140"/>
        <v>#N/A</v>
      </c>
      <c r="AN323" s="406" t="e">
        <f t="shared" ca="1" si="140"/>
        <v>#N/A</v>
      </c>
      <c r="AO323" s="406" t="e">
        <f t="shared" ca="1" si="140"/>
        <v>#N/A</v>
      </c>
      <c r="AP323" s="406" t="e">
        <f t="shared" ca="1" si="140"/>
        <v>#N/A</v>
      </c>
      <c r="AQ323" s="406" t="e">
        <f t="shared" ca="1" si="140"/>
        <v>#N/A</v>
      </c>
      <c r="AR323" s="406" t="e">
        <f t="shared" ca="1" si="137"/>
        <v>#N/A</v>
      </c>
      <c r="AS323" s="406" t="e">
        <f t="shared" ca="1" si="137"/>
        <v>#N/A</v>
      </c>
      <c r="AT323" s="406" t="e">
        <f t="shared" ca="1" si="137"/>
        <v>#N/A</v>
      </c>
      <c r="AU323" s="406" t="e">
        <f t="shared" ca="1" si="137"/>
        <v>#N/A</v>
      </c>
      <c r="AV323" s="406" t="e">
        <f t="shared" ca="1" si="137"/>
        <v>#N/A</v>
      </c>
      <c r="AW323" s="406" t="e">
        <f t="shared" ca="1" si="137"/>
        <v>#N/A</v>
      </c>
      <c r="AX323" s="406" t="e">
        <f t="shared" ca="1" si="137"/>
        <v>#N/A</v>
      </c>
      <c r="AY323" s="406" t="e">
        <f t="shared" ca="1" si="137"/>
        <v>#N/A</v>
      </c>
      <c r="AZ323" s="406" t="e">
        <f t="shared" ca="1" si="137"/>
        <v>#N/A</v>
      </c>
      <c r="BA323" s="406" t="e">
        <f t="shared" ca="1" si="137"/>
        <v>#N/A</v>
      </c>
      <c r="BB323" s="408"/>
      <c r="BC323" s="408" t="str">
        <f t="shared" ca="1" si="141"/>
        <v/>
      </c>
      <c r="BD323" s="408" t="s">
        <v>1278</v>
      </c>
      <c r="BE323" s="408" t="s">
        <v>1278</v>
      </c>
    </row>
    <row r="324" spans="3:57" x14ac:dyDescent="0.25">
      <c r="C324" s="406">
        <f t="shared" ref="C324:C387" si="143">C323+1</f>
        <v>322</v>
      </c>
      <c r="D324" s="406" t="e">
        <f t="shared" ca="1" si="142"/>
        <v>#N/A</v>
      </c>
      <c r="E324" s="406" t="e">
        <f t="shared" ca="1" si="142"/>
        <v>#N/A</v>
      </c>
      <c r="F324" s="406" t="e">
        <f t="shared" ca="1" si="142"/>
        <v>#N/A</v>
      </c>
      <c r="G324" s="406" t="e">
        <f t="shared" ca="1" si="142"/>
        <v>#N/A</v>
      </c>
      <c r="H324" s="406" t="e">
        <f t="shared" ca="1" si="142"/>
        <v>#N/A</v>
      </c>
      <c r="I324" s="406" t="e">
        <f t="shared" ca="1" si="142"/>
        <v>#N/A</v>
      </c>
      <c r="J324" s="406" t="e">
        <f t="shared" ca="1" si="142"/>
        <v>#N/A</v>
      </c>
      <c r="K324" s="406" t="e">
        <f t="shared" ca="1" si="142"/>
        <v>#N/A</v>
      </c>
      <c r="L324" s="406" t="e">
        <f t="shared" ca="1" si="142"/>
        <v>#N/A</v>
      </c>
      <c r="M324" s="406" t="e">
        <f t="shared" ca="1" si="142"/>
        <v>#N/A</v>
      </c>
      <c r="N324" s="406" t="e">
        <f t="shared" ca="1" si="139"/>
        <v>#N/A</v>
      </c>
      <c r="O324" s="406" t="e">
        <f t="shared" ca="1" si="139"/>
        <v>#N/A</v>
      </c>
      <c r="P324" s="406" t="e">
        <f t="shared" ca="1" si="139"/>
        <v>#N/A</v>
      </c>
      <c r="Q324" s="406" t="e">
        <f t="shared" ca="1" si="139"/>
        <v>#N/A</v>
      </c>
      <c r="R324" s="406" t="e">
        <f t="shared" ca="1" si="139"/>
        <v>#N/A</v>
      </c>
      <c r="S324" s="406" t="e">
        <f t="shared" ca="1" si="139"/>
        <v>#N/A</v>
      </c>
      <c r="T324" s="406" t="e">
        <f t="shared" ca="1" si="139"/>
        <v>#N/A</v>
      </c>
      <c r="U324" s="406" t="e">
        <f t="shared" ca="1" si="139"/>
        <v>#N/A</v>
      </c>
      <c r="V324" s="406" t="e">
        <f t="shared" ca="1" si="139"/>
        <v>#N/A</v>
      </c>
      <c r="W324" s="406" t="e">
        <f t="shared" ca="1" si="139"/>
        <v>#N/A</v>
      </c>
      <c r="X324" s="406" t="e">
        <f t="shared" ca="1" si="138"/>
        <v>#N/A</v>
      </c>
      <c r="Y324" s="406" t="e">
        <f t="shared" ca="1" si="138"/>
        <v>#N/A</v>
      </c>
      <c r="Z324" s="406" t="e">
        <f t="shared" ca="1" si="138"/>
        <v>#N/A</v>
      </c>
      <c r="AA324" s="406" t="e">
        <f t="shared" ca="1" si="138"/>
        <v>#N/A</v>
      </c>
      <c r="AB324" s="406" t="e">
        <f t="shared" ca="1" si="138"/>
        <v>#N/A</v>
      </c>
      <c r="AC324" s="406" t="e">
        <f t="shared" ca="1" si="138"/>
        <v>#N/A</v>
      </c>
      <c r="AD324" s="406" t="e">
        <f t="shared" ca="1" si="138"/>
        <v>#N/A</v>
      </c>
      <c r="AE324" s="406" t="e">
        <f t="shared" ca="1" si="138"/>
        <v>#N/A</v>
      </c>
      <c r="AF324" s="406" t="e">
        <f t="shared" ca="1" si="138"/>
        <v>#N/A</v>
      </c>
      <c r="AG324" s="406" t="e">
        <f t="shared" ca="1" si="138"/>
        <v>#N/A</v>
      </c>
      <c r="AH324" s="406" t="e">
        <f t="shared" ca="1" si="140"/>
        <v>#N/A</v>
      </c>
      <c r="AI324" s="406" t="e">
        <f t="shared" ca="1" si="140"/>
        <v>#N/A</v>
      </c>
      <c r="AJ324" s="406" t="e">
        <f t="shared" ca="1" si="140"/>
        <v>#N/A</v>
      </c>
      <c r="AK324" s="406" t="e">
        <f t="shared" ca="1" si="140"/>
        <v>#N/A</v>
      </c>
      <c r="AL324" s="406" t="e">
        <f t="shared" ca="1" si="140"/>
        <v>#N/A</v>
      </c>
      <c r="AM324" s="406" t="e">
        <f t="shared" ca="1" si="140"/>
        <v>#N/A</v>
      </c>
      <c r="AN324" s="406" t="e">
        <f t="shared" ca="1" si="140"/>
        <v>#N/A</v>
      </c>
      <c r="AO324" s="406" t="e">
        <f t="shared" ca="1" si="140"/>
        <v>#N/A</v>
      </c>
      <c r="AP324" s="406" t="e">
        <f t="shared" ca="1" si="140"/>
        <v>#N/A</v>
      </c>
      <c r="AQ324" s="406" t="e">
        <f t="shared" ca="1" si="140"/>
        <v>#N/A</v>
      </c>
      <c r="AR324" s="406" t="e">
        <f t="shared" ca="1" si="137"/>
        <v>#N/A</v>
      </c>
      <c r="AS324" s="406" t="e">
        <f t="shared" ca="1" si="137"/>
        <v>#N/A</v>
      </c>
      <c r="AT324" s="406" t="e">
        <f t="shared" ca="1" si="137"/>
        <v>#N/A</v>
      </c>
      <c r="AU324" s="406" t="e">
        <f t="shared" ca="1" si="137"/>
        <v>#N/A</v>
      </c>
      <c r="AV324" s="406" t="e">
        <f t="shared" ca="1" si="137"/>
        <v>#N/A</v>
      </c>
      <c r="AW324" s="406" t="e">
        <f t="shared" ca="1" si="137"/>
        <v>#N/A</v>
      </c>
      <c r="AX324" s="406" t="e">
        <f t="shared" ca="1" si="137"/>
        <v>#N/A</v>
      </c>
      <c r="AY324" s="406" t="e">
        <f t="shared" ca="1" si="137"/>
        <v>#N/A</v>
      </c>
      <c r="AZ324" s="406" t="e">
        <f t="shared" ca="1" si="137"/>
        <v>#N/A</v>
      </c>
      <c r="BA324" s="406" t="e">
        <f t="shared" ca="1" si="137"/>
        <v>#N/A</v>
      </c>
      <c r="BB324" s="408"/>
      <c r="BC324" s="408" t="str">
        <f t="shared" ca="1" si="141"/>
        <v/>
      </c>
      <c r="BD324" s="408" t="s">
        <v>1278</v>
      </c>
      <c r="BE324" s="408" t="s">
        <v>1278</v>
      </c>
    </row>
    <row r="325" spans="3:57" x14ac:dyDescent="0.25">
      <c r="C325" s="406">
        <f t="shared" si="143"/>
        <v>323</v>
      </c>
      <c r="D325" s="406" t="e">
        <f t="shared" ca="1" si="142"/>
        <v>#N/A</v>
      </c>
      <c r="E325" s="406" t="e">
        <f t="shared" ca="1" si="142"/>
        <v>#N/A</v>
      </c>
      <c r="F325" s="406" t="e">
        <f t="shared" ca="1" si="142"/>
        <v>#N/A</v>
      </c>
      <c r="G325" s="406" t="e">
        <f t="shared" ca="1" si="142"/>
        <v>#N/A</v>
      </c>
      <c r="H325" s="406" t="e">
        <f t="shared" ca="1" si="142"/>
        <v>#N/A</v>
      </c>
      <c r="I325" s="406" t="e">
        <f t="shared" ca="1" si="142"/>
        <v>#N/A</v>
      </c>
      <c r="J325" s="406" t="e">
        <f t="shared" ca="1" si="142"/>
        <v>#N/A</v>
      </c>
      <c r="K325" s="406" t="e">
        <f t="shared" ca="1" si="142"/>
        <v>#N/A</v>
      </c>
      <c r="L325" s="406" t="e">
        <f t="shared" ca="1" si="142"/>
        <v>#N/A</v>
      </c>
      <c r="M325" s="406" t="e">
        <f t="shared" ca="1" si="142"/>
        <v>#N/A</v>
      </c>
      <c r="N325" s="406" t="e">
        <f t="shared" ca="1" si="139"/>
        <v>#N/A</v>
      </c>
      <c r="O325" s="406" t="e">
        <f t="shared" ca="1" si="139"/>
        <v>#N/A</v>
      </c>
      <c r="P325" s="406" t="e">
        <f t="shared" ca="1" si="139"/>
        <v>#N/A</v>
      </c>
      <c r="Q325" s="406" t="e">
        <f t="shared" ca="1" si="139"/>
        <v>#N/A</v>
      </c>
      <c r="R325" s="406" t="e">
        <f t="shared" ca="1" si="139"/>
        <v>#N/A</v>
      </c>
      <c r="S325" s="406" t="e">
        <f t="shared" ca="1" si="139"/>
        <v>#N/A</v>
      </c>
      <c r="T325" s="406" t="e">
        <f t="shared" ca="1" si="139"/>
        <v>#N/A</v>
      </c>
      <c r="U325" s="406" t="e">
        <f t="shared" ca="1" si="139"/>
        <v>#N/A</v>
      </c>
      <c r="V325" s="406" t="e">
        <f t="shared" ca="1" si="139"/>
        <v>#N/A</v>
      </c>
      <c r="W325" s="406" t="e">
        <f t="shared" ca="1" si="139"/>
        <v>#N/A</v>
      </c>
      <c r="X325" s="406" t="e">
        <f t="shared" ca="1" si="138"/>
        <v>#N/A</v>
      </c>
      <c r="Y325" s="406" t="e">
        <f t="shared" ca="1" si="138"/>
        <v>#N/A</v>
      </c>
      <c r="Z325" s="406" t="e">
        <f t="shared" ca="1" si="138"/>
        <v>#N/A</v>
      </c>
      <c r="AA325" s="406" t="e">
        <f t="shared" ca="1" si="138"/>
        <v>#N/A</v>
      </c>
      <c r="AB325" s="406" t="e">
        <f t="shared" ca="1" si="138"/>
        <v>#N/A</v>
      </c>
      <c r="AC325" s="406" t="e">
        <f t="shared" ca="1" si="138"/>
        <v>#N/A</v>
      </c>
      <c r="AD325" s="406" t="e">
        <f t="shared" ca="1" si="138"/>
        <v>#N/A</v>
      </c>
      <c r="AE325" s="406" t="e">
        <f t="shared" ca="1" si="138"/>
        <v>#N/A</v>
      </c>
      <c r="AF325" s="406" t="e">
        <f t="shared" ca="1" si="138"/>
        <v>#N/A</v>
      </c>
      <c r="AG325" s="406" t="e">
        <f t="shared" ca="1" si="138"/>
        <v>#N/A</v>
      </c>
      <c r="AH325" s="406" t="e">
        <f t="shared" ca="1" si="140"/>
        <v>#N/A</v>
      </c>
      <c r="AI325" s="406" t="e">
        <f t="shared" ca="1" si="140"/>
        <v>#N/A</v>
      </c>
      <c r="AJ325" s="406" t="e">
        <f t="shared" ca="1" si="140"/>
        <v>#N/A</v>
      </c>
      <c r="AK325" s="406" t="e">
        <f t="shared" ca="1" si="140"/>
        <v>#N/A</v>
      </c>
      <c r="AL325" s="406" t="e">
        <f t="shared" ca="1" si="140"/>
        <v>#N/A</v>
      </c>
      <c r="AM325" s="406" t="e">
        <f t="shared" ca="1" si="140"/>
        <v>#N/A</v>
      </c>
      <c r="AN325" s="406" t="e">
        <f t="shared" ca="1" si="140"/>
        <v>#N/A</v>
      </c>
      <c r="AO325" s="406" t="e">
        <f t="shared" ca="1" si="140"/>
        <v>#N/A</v>
      </c>
      <c r="AP325" s="406" t="e">
        <f t="shared" ca="1" si="140"/>
        <v>#N/A</v>
      </c>
      <c r="AQ325" s="406" t="e">
        <f t="shared" ca="1" si="140"/>
        <v>#N/A</v>
      </c>
      <c r="AR325" s="406" t="e">
        <f t="shared" ca="1" si="137"/>
        <v>#N/A</v>
      </c>
      <c r="AS325" s="406" t="e">
        <f t="shared" ca="1" si="137"/>
        <v>#N/A</v>
      </c>
      <c r="AT325" s="406" t="e">
        <f t="shared" ca="1" si="137"/>
        <v>#N/A</v>
      </c>
      <c r="AU325" s="406" t="e">
        <f t="shared" ca="1" si="137"/>
        <v>#N/A</v>
      </c>
      <c r="AV325" s="406" t="e">
        <f t="shared" ca="1" si="137"/>
        <v>#N/A</v>
      </c>
      <c r="AW325" s="406" t="e">
        <f t="shared" ca="1" si="137"/>
        <v>#N/A</v>
      </c>
      <c r="AX325" s="406" t="e">
        <f t="shared" ca="1" si="137"/>
        <v>#N/A</v>
      </c>
      <c r="AY325" s="406" t="e">
        <f t="shared" ca="1" si="137"/>
        <v>#N/A</v>
      </c>
      <c r="AZ325" s="406" t="e">
        <f t="shared" ca="1" si="137"/>
        <v>#N/A</v>
      </c>
      <c r="BA325" s="406" t="e">
        <f t="shared" ca="1" si="137"/>
        <v>#N/A</v>
      </c>
      <c r="BB325" s="408"/>
      <c r="BC325" s="408" t="str">
        <f t="shared" ca="1" si="141"/>
        <v/>
      </c>
      <c r="BD325" s="408" t="s">
        <v>1278</v>
      </c>
      <c r="BE325" s="408" t="s">
        <v>1278</v>
      </c>
    </row>
    <row r="326" spans="3:57" x14ac:dyDescent="0.25">
      <c r="C326" s="406">
        <f t="shared" si="143"/>
        <v>324</v>
      </c>
      <c r="D326" s="406" t="e">
        <f t="shared" ca="1" si="142"/>
        <v>#N/A</v>
      </c>
      <c r="E326" s="406" t="e">
        <f t="shared" ca="1" si="142"/>
        <v>#N/A</v>
      </c>
      <c r="F326" s="406" t="e">
        <f t="shared" ca="1" si="142"/>
        <v>#N/A</v>
      </c>
      <c r="G326" s="406" t="e">
        <f t="shared" ca="1" si="142"/>
        <v>#N/A</v>
      </c>
      <c r="H326" s="406" t="e">
        <f t="shared" ca="1" si="142"/>
        <v>#N/A</v>
      </c>
      <c r="I326" s="406" t="e">
        <f t="shared" ca="1" si="142"/>
        <v>#N/A</v>
      </c>
      <c r="J326" s="406" t="e">
        <f t="shared" ca="1" si="142"/>
        <v>#N/A</v>
      </c>
      <c r="K326" s="406" t="e">
        <f t="shared" ca="1" si="142"/>
        <v>#N/A</v>
      </c>
      <c r="L326" s="406" t="e">
        <f t="shared" ca="1" si="142"/>
        <v>#N/A</v>
      </c>
      <c r="M326" s="406" t="e">
        <f t="shared" ca="1" si="142"/>
        <v>#N/A</v>
      </c>
      <c r="N326" s="406" t="e">
        <f t="shared" ca="1" si="139"/>
        <v>#N/A</v>
      </c>
      <c r="O326" s="406" t="e">
        <f t="shared" ca="1" si="139"/>
        <v>#N/A</v>
      </c>
      <c r="P326" s="406" t="e">
        <f t="shared" ca="1" si="139"/>
        <v>#N/A</v>
      </c>
      <c r="Q326" s="406" t="e">
        <f t="shared" ca="1" si="139"/>
        <v>#N/A</v>
      </c>
      <c r="R326" s="406" t="e">
        <f t="shared" ca="1" si="139"/>
        <v>#N/A</v>
      </c>
      <c r="S326" s="406" t="e">
        <f t="shared" ca="1" si="139"/>
        <v>#N/A</v>
      </c>
      <c r="T326" s="406" t="e">
        <f t="shared" ca="1" si="139"/>
        <v>#N/A</v>
      </c>
      <c r="U326" s="406" t="e">
        <f t="shared" ca="1" si="139"/>
        <v>#N/A</v>
      </c>
      <c r="V326" s="406" t="e">
        <f t="shared" ca="1" si="139"/>
        <v>#N/A</v>
      </c>
      <c r="W326" s="406" t="e">
        <f t="shared" ca="1" si="139"/>
        <v>#N/A</v>
      </c>
      <c r="X326" s="406" t="e">
        <f t="shared" ca="1" si="138"/>
        <v>#N/A</v>
      </c>
      <c r="Y326" s="406" t="e">
        <f t="shared" ca="1" si="138"/>
        <v>#N/A</v>
      </c>
      <c r="Z326" s="406" t="e">
        <f t="shared" ca="1" si="138"/>
        <v>#N/A</v>
      </c>
      <c r="AA326" s="406" t="e">
        <f t="shared" ca="1" si="138"/>
        <v>#N/A</v>
      </c>
      <c r="AB326" s="406" t="e">
        <f t="shared" ca="1" si="138"/>
        <v>#N/A</v>
      </c>
      <c r="AC326" s="406" t="e">
        <f t="shared" ca="1" si="138"/>
        <v>#N/A</v>
      </c>
      <c r="AD326" s="406" t="e">
        <f t="shared" ca="1" si="138"/>
        <v>#N/A</v>
      </c>
      <c r="AE326" s="406" t="e">
        <f t="shared" ca="1" si="138"/>
        <v>#N/A</v>
      </c>
      <c r="AF326" s="406" t="e">
        <f t="shared" ca="1" si="138"/>
        <v>#N/A</v>
      </c>
      <c r="AG326" s="406" t="e">
        <f t="shared" ca="1" si="138"/>
        <v>#N/A</v>
      </c>
      <c r="AH326" s="406" t="e">
        <f t="shared" ca="1" si="140"/>
        <v>#N/A</v>
      </c>
      <c r="AI326" s="406" t="e">
        <f t="shared" ca="1" si="140"/>
        <v>#N/A</v>
      </c>
      <c r="AJ326" s="406" t="e">
        <f t="shared" ca="1" si="140"/>
        <v>#N/A</v>
      </c>
      <c r="AK326" s="406" t="e">
        <f t="shared" ca="1" si="140"/>
        <v>#N/A</v>
      </c>
      <c r="AL326" s="406" t="e">
        <f t="shared" ca="1" si="140"/>
        <v>#N/A</v>
      </c>
      <c r="AM326" s="406" t="e">
        <f t="shared" ca="1" si="140"/>
        <v>#N/A</v>
      </c>
      <c r="AN326" s="406" t="e">
        <f t="shared" ca="1" si="140"/>
        <v>#N/A</v>
      </c>
      <c r="AO326" s="406" t="e">
        <f t="shared" ca="1" si="140"/>
        <v>#N/A</v>
      </c>
      <c r="AP326" s="406" t="e">
        <f t="shared" ca="1" si="140"/>
        <v>#N/A</v>
      </c>
      <c r="AQ326" s="406" t="e">
        <f t="shared" ca="1" si="140"/>
        <v>#N/A</v>
      </c>
      <c r="AR326" s="406" t="e">
        <f t="shared" ca="1" si="137"/>
        <v>#N/A</v>
      </c>
      <c r="AS326" s="406" t="e">
        <f t="shared" ca="1" si="137"/>
        <v>#N/A</v>
      </c>
      <c r="AT326" s="406" t="e">
        <f t="shared" ca="1" si="137"/>
        <v>#N/A</v>
      </c>
      <c r="AU326" s="406" t="e">
        <f t="shared" ca="1" si="137"/>
        <v>#N/A</v>
      </c>
      <c r="AV326" s="406" t="e">
        <f t="shared" ca="1" si="137"/>
        <v>#N/A</v>
      </c>
      <c r="AW326" s="406" t="e">
        <f t="shared" ca="1" si="137"/>
        <v>#N/A</v>
      </c>
      <c r="AX326" s="406" t="e">
        <f t="shared" ca="1" si="137"/>
        <v>#N/A</v>
      </c>
      <c r="AY326" s="406" t="e">
        <f t="shared" ca="1" si="137"/>
        <v>#N/A</v>
      </c>
      <c r="AZ326" s="406" t="e">
        <f t="shared" ca="1" si="137"/>
        <v>#N/A</v>
      </c>
      <c r="BA326" s="406" t="e">
        <f t="shared" ca="1" si="137"/>
        <v>#N/A</v>
      </c>
      <c r="BB326" s="408"/>
      <c r="BC326" s="408" t="str">
        <f t="shared" ca="1" si="141"/>
        <v/>
      </c>
      <c r="BD326" s="408" t="s">
        <v>1278</v>
      </c>
      <c r="BE326" s="408" t="s">
        <v>1278</v>
      </c>
    </row>
    <row r="327" spans="3:57" x14ac:dyDescent="0.25">
      <c r="C327" s="406">
        <f t="shared" si="143"/>
        <v>325</v>
      </c>
      <c r="D327" s="406" t="e">
        <f t="shared" ca="1" si="142"/>
        <v>#N/A</v>
      </c>
      <c r="E327" s="406" t="e">
        <f t="shared" ca="1" si="142"/>
        <v>#N/A</v>
      </c>
      <c r="F327" s="406" t="e">
        <f t="shared" ca="1" si="142"/>
        <v>#N/A</v>
      </c>
      <c r="G327" s="406" t="e">
        <f t="shared" ca="1" si="142"/>
        <v>#N/A</v>
      </c>
      <c r="H327" s="406" t="e">
        <f t="shared" ca="1" si="142"/>
        <v>#N/A</v>
      </c>
      <c r="I327" s="406" t="e">
        <f t="shared" ca="1" si="142"/>
        <v>#N/A</v>
      </c>
      <c r="J327" s="406" t="e">
        <f t="shared" ca="1" si="142"/>
        <v>#N/A</v>
      </c>
      <c r="K327" s="406" t="e">
        <f t="shared" ca="1" si="142"/>
        <v>#N/A</v>
      </c>
      <c r="L327" s="406" t="e">
        <f t="shared" ca="1" si="142"/>
        <v>#N/A</v>
      </c>
      <c r="M327" s="406" t="e">
        <f t="shared" ca="1" si="142"/>
        <v>#N/A</v>
      </c>
      <c r="N327" s="406" t="e">
        <f t="shared" ca="1" si="139"/>
        <v>#N/A</v>
      </c>
      <c r="O327" s="406" t="e">
        <f t="shared" ca="1" si="139"/>
        <v>#N/A</v>
      </c>
      <c r="P327" s="406" t="e">
        <f t="shared" ca="1" si="139"/>
        <v>#N/A</v>
      </c>
      <c r="Q327" s="406" t="e">
        <f t="shared" ca="1" si="139"/>
        <v>#N/A</v>
      </c>
      <c r="R327" s="406" t="e">
        <f t="shared" ca="1" si="139"/>
        <v>#N/A</v>
      </c>
      <c r="S327" s="406" t="e">
        <f t="shared" ca="1" si="139"/>
        <v>#N/A</v>
      </c>
      <c r="T327" s="406" t="e">
        <f t="shared" ca="1" si="139"/>
        <v>#N/A</v>
      </c>
      <c r="U327" s="406" t="e">
        <f t="shared" ca="1" si="139"/>
        <v>#N/A</v>
      </c>
      <c r="V327" s="406" t="e">
        <f t="shared" ca="1" si="139"/>
        <v>#N/A</v>
      </c>
      <c r="W327" s="406" t="e">
        <f t="shared" ca="1" si="139"/>
        <v>#N/A</v>
      </c>
      <c r="X327" s="406" t="e">
        <f t="shared" ca="1" si="138"/>
        <v>#N/A</v>
      </c>
      <c r="Y327" s="406" t="e">
        <f t="shared" ca="1" si="138"/>
        <v>#N/A</v>
      </c>
      <c r="Z327" s="406" t="e">
        <f t="shared" ca="1" si="138"/>
        <v>#N/A</v>
      </c>
      <c r="AA327" s="406" t="e">
        <f t="shared" ca="1" si="138"/>
        <v>#N/A</v>
      </c>
      <c r="AB327" s="406" t="e">
        <f t="shared" ca="1" si="138"/>
        <v>#N/A</v>
      </c>
      <c r="AC327" s="406" t="e">
        <f t="shared" ca="1" si="138"/>
        <v>#N/A</v>
      </c>
      <c r="AD327" s="406" t="e">
        <f t="shared" ca="1" si="138"/>
        <v>#N/A</v>
      </c>
      <c r="AE327" s="406" t="e">
        <f t="shared" ca="1" si="138"/>
        <v>#N/A</v>
      </c>
      <c r="AF327" s="406" t="e">
        <f t="shared" ca="1" si="138"/>
        <v>#N/A</v>
      </c>
      <c r="AG327" s="406" t="e">
        <f t="shared" ca="1" si="138"/>
        <v>#N/A</v>
      </c>
      <c r="AH327" s="406" t="e">
        <f t="shared" ca="1" si="140"/>
        <v>#N/A</v>
      </c>
      <c r="AI327" s="406" t="e">
        <f t="shared" ca="1" si="140"/>
        <v>#N/A</v>
      </c>
      <c r="AJ327" s="406" t="e">
        <f t="shared" ca="1" si="140"/>
        <v>#N/A</v>
      </c>
      <c r="AK327" s="406" t="e">
        <f t="shared" ca="1" si="140"/>
        <v>#N/A</v>
      </c>
      <c r="AL327" s="406" t="e">
        <f t="shared" ca="1" si="140"/>
        <v>#N/A</v>
      </c>
      <c r="AM327" s="406" t="e">
        <f t="shared" ca="1" si="140"/>
        <v>#N/A</v>
      </c>
      <c r="AN327" s="406" t="e">
        <f t="shared" ca="1" si="140"/>
        <v>#N/A</v>
      </c>
      <c r="AO327" s="406" t="e">
        <f t="shared" ca="1" si="140"/>
        <v>#N/A</v>
      </c>
      <c r="AP327" s="406" t="e">
        <f t="shared" ca="1" si="140"/>
        <v>#N/A</v>
      </c>
      <c r="AQ327" s="406" t="e">
        <f t="shared" ca="1" si="140"/>
        <v>#N/A</v>
      </c>
      <c r="AR327" s="406" t="e">
        <f t="shared" ca="1" si="137"/>
        <v>#N/A</v>
      </c>
      <c r="AS327" s="406" t="e">
        <f t="shared" ca="1" si="137"/>
        <v>#N/A</v>
      </c>
      <c r="AT327" s="406" t="e">
        <f t="shared" ca="1" si="137"/>
        <v>#N/A</v>
      </c>
      <c r="AU327" s="406" t="e">
        <f t="shared" ca="1" si="137"/>
        <v>#N/A</v>
      </c>
      <c r="AV327" s="406" t="e">
        <f t="shared" ca="1" si="137"/>
        <v>#N/A</v>
      </c>
      <c r="AW327" s="406" t="e">
        <f t="shared" ca="1" si="137"/>
        <v>#N/A</v>
      </c>
      <c r="AX327" s="406" t="e">
        <f t="shared" ca="1" si="137"/>
        <v>#N/A</v>
      </c>
      <c r="AY327" s="406" t="e">
        <f t="shared" ca="1" si="137"/>
        <v>#N/A</v>
      </c>
      <c r="AZ327" s="406" t="e">
        <f t="shared" ca="1" si="137"/>
        <v>#N/A</v>
      </c>
      <c r="BA327" s="406" t="e">
        <f t="shared" ca="1" si="137"/>
        <v>#N/A</v>
      </c>
      <c r="BB327" s="408"/>
      <c r="BC327" s="408" t="str">
        <f t="shared" ca="1" si="141"/>
        <v/>
      </c>
      <c r="BD327" s="408" t="s">
        <v>1278</v>
      </c>
      <c r="BE327" s="408" t="s">
        <v>1278</v>
      </c>
    </row>
    <row r="328" spans="3:57" x14ac:dyDescent="0.25">
      <c r="C328" s="406">
        <f t="shared" si="143"/>
        <v>326</v>
      </c>
      <c r="D328" s="406" t="e">
        <f t="shared" ca="1" si="142"/>
        <v>#N/A</v>
      </c>
      <c r="E328" s="406" t="e">
        <f t="shared" ca="1" si="142"/>
        <v>#N/A</v>
      </c>
      <c r="F328" s="406" t="e">
        <f t="shared" ca="1" si="142"/>
        <v>#N/A</v>
      </c>
      <c r="G328" s="406" t="e">
        <f t="shared" ca="1" si="142"/>
        <v>#N/A</v>
      </c>
      <c r="H328" s="406" t="e">
        <f t="shared" ca="1" si="142"/>
        <v>#N/A</v>
      </c>
      <c r="I328" s="406" t="e">
        <f t="shared" ca="1" si="142"/>
        <v>#N/A</v>
      </c>
      <c r="J328" s="406" t="e">
        <f t="shared" ca="1" si="142"/>
        <v>#N/A</v>
      </c>
      <c r="K328" s="406" t="e">
        <f t="shared" ca="1" si="142"/>
        <v>#N/A</v>
      </c>
      <c r="L328" s="406" t="e">
        <f t="shared" ca="1" si="142"/>
        <v>#N/A</v>
      </c>
      <c r="M328" s="406" t="e">
        <f t="shared" ca="1" si="142"/>
        <v>#N/A</v>
      </c>
      <c r="N328" s="406" t="e">
        <f t="shared" ca="1" si="139"/>
        <v>#N/A</v>
      </c>
      <c r="O328" s="406" t="e">
        <f t="shared" ca="1" si="139"/>
        <v>#N/A</v>
      </c>
      <c r="P328" s="406" t="e">
        <f t="shared" ca="1" si="139"/>
        <v>#N/A</v>
      </c>
      <c r="Q328" s="406" t="e">
        <f t="shared" ca="1" si="139"/>
        <v>#N/A</v>
      </c>
      <c r="R328" s="406" t="e">
        <f t="shared" ca="1" si="139"/>
        <v>#N/A</v>
      </c>
      <c r="S328" s="406" t="e">
        <f t="shared" ca="1" si="139"/>
        <v>#N/A</v>
      </c>
      <c r="T328" s="406" t="e">
        <f t="shared" ca="1" si="139"/>
        <v>#N/A</v>
      </c>
      <c r="U328" s="406" t="e">
        <f t="shared" ca="1" si="139"/>
        <v>#N/A</v>
      </c>
      <c r="V328" s="406" t="e">
        <f t="shared" ca="1" si="139"/>
        <v>#N/A</v>
      </c>
      <c r="W328" s="406" t="e">
        <f t="shared" ca="1" si="139"/>
        <v>#N/A</v>
      </c>
      <c r="X328" s="406" t="e">
        <f t="shared" ca="1" si="138"/>
        <v>#N/A</v>
      </c>
      <c r="Y328" s="406" t="e">
        <f t="shared" ca="1" si="138"/>
        <v>#N/A</v>
      </c>
      <c r="Z328" s="406" t="e">
        <f t="shared" ca="1" si="138"/>
        <v>#N/A</v>
      </c>
      <c r="AA328" s="406" t="e">
        <f t="shared" ca="1" si="138"/>
        <v>#N/A</v>
      </c>
      <c r="AB328" s="406" t="e">
        <f t="shared" ca="1" si="138"/>
        <v>#N/A</v>
      </c>
      <c r="AC328" s="406" t="e">
        <f t="shared" ca="1" si="138"/>
        <v>#N/A</v>
      </c>
      <c r="AD328" s="406" t="e">
        <f t="shared" ca="1" si="138"/>
        <v>#N/A</v>
      </c>
      <c r="AE328" s="406" t="e">
        <f t="shared" ca="1" si="138"/>
        <v>#N/A</v>
      </c>
      <c r="AF328" s="406" t="e">
        <f t="shared" ca="1" si="138"/>
        <v>#N/A</v>
      </c>
      <c r="AG328" s="406" t="e">
        <f t="shared" ca="1" si="138"/>
        <v>#N/A</v>
      </c>
      <c r="AH328" s="406" t="e">
        <f t="shared" ca="1" si="140"/>
        <v>#N/A</v>
      </c>
      <c r="AI328" s="406" t="e">
        <f t="shared" ca="1" si="140"/>
        <v>#N/A</v>
      </c>
      <c r="AJ328" s="406" t="e">
        <f t="shared" ca="1" si="140"/>
        <v>#N/A</v>
      </c>
      <c r="AK328" s="406" t="e">
        <f t="shared" ca="1" si="140"/>
        <v>#N/A</v>
      </c>
      <c r="AL328" s="406" t="e">
        <f t="shared" ca="1" si="140"/>
        <v>#N/A</v>
      </c>
      <c r="AM328" s="406" t="e">
        <f t="shared" ca="1" si="140"/>
        <v>#N/A</v>
      </c>
      <c r="AN328" s="406" t="e">
        <f t="shared" ca="1" si="140"/>
        <v>#N/A</v>
      </c>
      <c r="AO328" s="406" t="e">
        <f t="shared" ca="1" si="140"/>
        <v>#N/A</v>
      </c>
      <c r="AP328" s="406" t="e">
        <f t="shared" ca="1" si="140"/>
        <v>#N/A</v>
      </c>
      <c r="AQ328" s="406" t="e">
        <f t="shared" ca="1" si="140"/>
        <v>#N/A</v>
      </c>
      <c r="AR328" s="406" t="e">
        <f t="shared" ca="1" si="137"/>
        <v>#N/A</v>
      </c>
      <c r="AS328" s="406" t="e">
        <f t="shared" ca="1" si="137"/>
        <v>#N/A</v>
      </c>
      <c r="AT328" s="406" t="e">
        <f t="shared" ca="1" si="137"/>
        <v>#N/A</v>
      </c>
      <c r="AU328" s="406" t="e">
        <f t="shared" ca="1" si="137"/>
        <v>#N/A</v>
      </c>
      <c r="AV328" s="406" t="e">
        <f t="shared" ca="1" si="137"/>
        <v>#N/A</v>
      </c>
      <c r="AW328" s="406" t="e">
        <f t="shared" ca="1" si="137"/>
        <v>#N/A</v>
      </c>
      <c r="AX328" s="406" t="e">
        <f t="shared" ca="1" si="137"/>
        <v>#N/A</v>
      </c>
      <c r="AY328" s="406" t="e">
        <f t="shared" ca="1" si="137"/>
        <v>#N/A</v>
      </c>
      <c r="AZ328" s="406" t="e">
        <f t="shared" ca="1" si="137"/>
        <v>#N/A</v>
      </c>
      <c r="BA328" s="406" t="e">
        <f t="shared" ca="1" si="137"/>
        <v>#N/A</v>
      </c>
      <c r="BB328" s="408"/>
      <c r="BC328" s="408" t="str">
        <f t="shared" ca="1" si="141"/>
        <v/>
      </c>
      <c r="BD328" s="408" t="s">
        <v>1278</v>
      </c>
      <c r="BE328" s="408" t="s">
        <v>1278</v>
      </c>
    </row>
    <row r="329" spans="3:57" x14ac:dyDescent="0.25">
      <c r="C329" s="406">
        <f t="shared" si="143"/>
        <v>327</v>
      </c>
      <c r="D329" s="406" t="e">
        <f t="shared" ca="1" si="142"/>
        <v>#N/A</v>
      </c>
      <c r="E329" s="406" t="e">
        <f t="shared" ca="1" si="142"/>
        <v>#N/A</v>
      </c>
      <c r="F329" s="406" t="e">
        <f t="shared" ca="1" si="142"/>
        <v>#N/A</v>
      </c>
      <c r="G329" s="406" t="e">
        <f t="shared" ca="1" si="142"/>
        <v>#N/A</v>
      </c>
      <c r="H329" s="406" t="e">
        <f t="shared" ca="1" si="142"/>
        <v>#N/A</v>
      </c>
      <c r="I329" s="406" t="e">
        <f t="shared" ca="1" si="142"/>
        <v>#N/A</v>
      </c>
      <c r="J329" s="406" t="e">
        <f t="shared" ca="1" si="142"/>
        <v>#N/A</v>
      </c>
      <c r="K329" s="406" t="e">
        <f t="shared" ca="1" si="142"/>
        <v>#N/A</v>
      </c>
      <c r="L329" s="406" t="e">
        <f t="shared" ca="1" si="142"/>
        <v>#N/A</v>
      </c>
      <c r="M329" s="406" t="e">
        <f t="shared" ca="1" si="142"/>
        <v>#N/A</v>
      </c>
      <c r="N329" s="406" t="e">
        <f t="shared" ca="1" si="139"/>
        <v>#N/A</v>
      </c>
      <c r="O329" s="406" t="e">
        <f t="shared" ca="1" si="139"/>
        <v>#N/A</v>
      </c>
      <c r="P329" s="406" t="e">
        <f t="shared" ca="1" si="139"/>
        <v>#N/A</v>
      </c>
      <c r="Q329" s="406" t="e">
        <f t="shared" ca="1" si="139"/>
        <v>#N/A</v>
      </c>
      <c r="R329" s="406" t="e">
        <f t="shared" ca="1" si="139"/>
        <v>#N/A</v>
      </c>
      <c r="S329" s="406" t="e">
        <f t="shared" ca="1" si="139"/>
        <v>#N/A</v>
      </c>
      <c r="T329" s="406" t="e">
        <f t="shared" ca="1" si="139"/>
        <v>#N/A</v>
      </c>
      <c r="U329" s="406" t="e">
        <f t="shared" ca="1" si="139"/>
        <v>#N/A</v>
      </c>
      <c r="V329" s="406" t="e">
        <f t="shared" ca="1" si="139"/>
        <v>#N/A</v>
      </c>
      <c r="W329" s="406" t="e">
        <f t="shared" ca="1" si="139"/>
        <v>#N/A</v>
      </c>
      <c r="X329" s="406" t="e">
        <f t="shared" ca="1" si="138"/>
        <v>#N/A</v>
      </c>
      <c r="Y329" s="406" t="e">
        <f t="shared" ca="1" si="138"/>
        <v>#N/A</v>
      </c>
      <c r="Z329" s="406" t="e">
        <f t="shared" ca="1" si="138"/>
        <v>#N/A</v>
      </c>
      <c r="AA329" s="406" t="e">
        <f t="shared" ca="1" si="138"/>
        <v>#N/A</v>
      </c>
      <c r="AB329" s="406" t="e">
        <f t="shared" ca="1" si="138"/>
        <v>#N/A</v>
      </c>
      <c r="AC329" s="406" t="e">
        <f t="shared" ca="1" si="138"/>
        <v>#N/A</v>
      </c>
      <c r="AD329" s="406" t="e">
        <f t="shared" ca="1" si="138"/>
        <v>#N/A</v>
      </c>
      <c r="AE329" s="406" t="e">
        <f t="shared" ca="1" si="138"/>
        <v>#N/A</v>
      </c>
      <c r="AF329" s="406" t="e">
        <f t="shared" ca="1" si="138"/>
        <v>#N/A</v>
      </c>
      <c r="AG329" s="406" t="e">
        <f t="shared" ca="1" si="138"/>
        <v>#N/A</v>
      </c>
      <c r="AH329" s="406" t="e">
        <f t="shared" ca="1" si="140"/>
        <v>#N/A</v>
      </c>
      <c r="AI329" s="406" t="e">
        <f t="shared" ca="1" si="140"/>
        <v>#N/A</v>
      </c>
      <c r="AJ329" s="406" t="e">
        <f t="shared" ca="1" si="140"/>
        <v>#N/A</v>
      </c>
      <c r="AK329" s="406" t="e">
        <f t="shared" ca="1" si="140"/>
        <v>#N/A</v>
      </c>
      <c r="AL329" s="406" t="e">
        <f t="shared" ca="1" si="140"/>
        <v>#N/A</v>
      </c>
      <c r="AM329" s="406" t="e">
        <f t="shared" ca="1" si="140"/>
        <v>#N/A</v>
      </c>
      <c r="AN329" s="406" t="e">
        <f t="shared" ca="1" si="140"/>
        <v>#N/A</v>
      </c>
      <c r="AO329" s="406" t="e">
        <f t="shared" ca="1" si="140"/>
        <v>#N/A</v>
      </c>
      <c r="AP329" s="406" t="e">
        <f t="shared" ca="1" si="140"/>
        <v>#N/A</v>
      </c>
      <c r="AQ329" s="406" t="e">
        <f t="shared" ca="1" si="140"/>
        <v>#N/A</v>
      </c>
      <c r="AR329" s="406" t="e">
        <f t="shared" ca="1" si="137"/>
        <v>#N/A</v>
      </c>
      <c r="AS329" s="406" t="e">
        <f t="shared" ca="1" si="137"/>
        <v>#N/A</v>
      </c>
      <c r="AT329" s="406" t="e">
        <f t="shared" ca="1" si="137"/>
        <v>#N/A</v>
      </c>
      <c r="AU329" s="406" t="e">
        <f t="shared" ca="1" si="137"/>
        <v>#N/A</v>
      </c>
      <c r="AV329" s="406" t="e">
        <f t="shared" ca="1" si="137"/>
        <v>#N/A</v>
      </c>
      <c r="AW329" s="406" t="e">
        <f t="shared" ca="1" si="137"/>
        <v>#N/A</v>
      </c>
      <c r="AX329" s="406" t="e">
        <f t="shared" ca="1" si="137"/>
        <v>#N/A</v>
      </c>
      <c r="AY329" s="406" t="e">
        <f t="shared" ca="1" si="137"/>
        <v>#N/A</v>
      </c>
      <c r="AZ329" s="406" t="e">
        <f t="shared" ca="1" si="137"/>
        <v>#N/A</v>
      </c>
      <c r="BA329" s="406" t="e">
        <f t="shared" ca="1" si="137"/>
        <v>#N/A</v>
      </c>
      <c r="BB329" s="408"/>
      <c r="BC329" s="408" t="str">
        <f t="shared" ca="1" si="141"/>
        <v/>
      </c>
      <c r="BD329" s="408" t="s">
        <v>1278</v>
      </c>
      <c r="BE329" s="408" t="s">
        <v>1278</v>
      </c>
    </row>
    <row r="330" spans="3:57" ht="15" customHeight="1" x14ac:dyDescent="0.25">
      <c r="C330" s="406">
        <f t="shared" si="143"/>
        <v>328</v>
      </c>
      <c r="D330" s="406" t="e">
        <f t="shared" ca="1" si="142"/>
        <v>#N/A</v>
      </c>
      <c r="E330" s="406" t="e">
        <f t="shared" ca="1" si="142"/>
        <v>#N/A</v>
      </c>
      <c r="F330" s="406" t="e">
        <f t="shared" ca="1" si="142"/>
        <v>#N/A</v>
      </c>
      <c r="G330" s="406" t="e">
        <f t="shared" ca="1" si="142"/>
        <v>#N/A</v>
      </c>
      <c r="H330" s="406" t="e">
        <f t="shared" ca="1" si="142"/>
        <v>#N/A</v>
      </c>
      <c r="I330" s="406" t="e">
        <f t="shared" ca="1" si="142"/>
        <v>#N/A</v>
      </c>
      <c r="J330" s="406" t="e">
        <f t="shared" ca="1" si="142"/>
        <v>#N/A</v>
      </c>
      <c r="K330" s="406" t="e">
        <f t="shared" ca="1" si="142"/>
        <v>#N/A</v>
      </c>
      <c r="L330" s="406" t="e">
        <f t="shared" ca="1" si="142"/>
        <v>#N/A</v>
      </c>
      <c r="M330" s="406" t="e">
        <f t="shared" ca="1" si="142"/>
        <v>#N/A</v>
      </c>
      <c r="N330" s="406" t="e">
        <f t="shared" ca="1" si="139"/>
        <v>#N/A</v>
      </c>
      <c r="O330" s="406" t="e">
        <f t="shared" ca="1" si="139"/>
        <v>#N/A</v>
      </c>
      <c r="P330" s="406" t="e">
        <f t="shared" ca="1" si="139"/>
        <v>#N/A</v>
      </c>
      <c r="Q330" s="406" t="e">
        <f t="shared" ca="1" si="139"/>
        <v>#N/A</v>
      </c>
      <c r="R330" s="406" t="e">
        <f t="shared" ca="1" si="139"/>
        <v>#N/A</v>
      </c>
      <c r="S330" s="406" t="e">
        <f t="shared" ca="1" si="139"/>
        <v>#N/A</v>
      </c>
      <c r="T330" s="406" t="e">
        <f t="shared" ca="1" si="139"/>
        <v>#N/A</v>
      </c>
      <c r="U330" s="406" t="e">
        <f t="shared" ca="1" si="139"/>
        <v>#N/A</v>
      </c>
      <c r="V330" s="406" t="e">
        <f t="shared" ca="1" si="139"/>
        <v>#N/A</v>
      </c>
      <c r="W330" s="406" t="e">
        <f t="shared" ca="1" si="139"/>
        <v>#N/A</v>
      </c>
      <c r="X330" s="406" t="e">
        <f t="shared" ca="1" si="138"/>
        <v>#N/A</v>
      </c>
      <c r="Y330" s="406" t="e">
        <f t="shared" ca="1" si="138"/>
        <v>#N/A</v>
      </c>
      <c r="Z330" s="406" t="e">
        <f t="shared" ca="1" si="138"/>
        <v>#N/A</v>
      </c>
      <c r="AA330" s="406" t="e">
        <f t="shared" ca="1" si="138"/>
        <v>#N/A</v>
      </c>
      <c r="AB330" s="406" t="e">
        <f t="shared" ca="1" si="138"/>
        <v>#N/A</v>
      </c>
      <c r="AC330" s="406" t="e">
        <f t="shared" ca="1" si="138"/>
        <v>#N/A</v>
      </c>
      <c r="AD330" s="406" t="e">
        <f t="shared" ca="1" si="138"/>
        <v>#N/A</v>
      </c>
      <c r="AE330" s="406" t="e">
        <f t="shared" ca="1" si="138"/>
        <v>#N/A</v>
      </c>
      <c r="AF330" s="406" t="e">
        <f t="shared" ca="1" si="138"/>
        <v>#N/A</v>
      </c>
      <c r="AG330" s="406" t="e">
        <f t="shared" ca="1" si="138"/>
        <v>#N/A</v>
      </c>
      <c r="AH330" s="406" t="e">
        <f t="shared" ca="1" si="140"/>
        <v>#N/A</v>
      </c>
      <c r="AI330" s="406" t="e">
        <f t="shared" ca="1" si="140"/>
        <v>#N/A</v>
      </c>
      <c r="AJ330" s="406" t="e">
        <f t="shared" ca="1" si="140"/>
        <v>#N/A</v>
      </c>
      <c r="AK330" s="406" t="e">
        <f t="shared" ca="1" si="140"/>
        <v>#N/A</v>
      </c>
      <c r="AL330" s="406" t="e">
        <f t="shared" ca="1" si="140"/>
        <v>#N/A</v>
      </c>
      <c r="AM330" s="406" t="e">
        <f t="shared" ca="1" si="140"/>
        <v>#N/A</v>
      </c>
      <c r="AN330" s="406" t="e">
        <f t="shared" ca="1" si="140"/>
        <v>#N/A</v>
      </c>
      <c r="AO330" s="406" t="e">
        <f t="shared" ca="1" si="140"/>
        <v>#N/A</v>
      </c>
      <c r="AP330" s="406" t="e">
        <f t="shared" ca="1" si="140"/>
        <v>#N/A</v>
      </c>
      <c r="AQ330" s="406" t="e">
        <f t="shared" ca="1" si="140"/>
        <v>#N/A</v>
      </c>
      <c r="AR330" s="406" t="e">
        <f t="shared" ca="1" si="137"/>
        <v>#N/A</v>
      </c>
      <c r="AS330" s="406" t="e">
        <f t="shared" ca="1" si="137"/>
        <v>#N/A</v>
      </c>
      <c r="AT330" s="406" t="e">
        <f t="shared" ca="1" si="137"/>
        <v>#N/A</v>
      </c>
      <c r="AU330" s="406" t="e">
        <f t="shared" ca="1" si="137"/>
        <v>#N/A</v>
      </c>
      <c r="AV330" s="406" t="e">
        <f t="shared" ca="1" si="137"/>
        <v>#N/A</v>
      </c>
      <c r="AW330" s="406" t="e">
        <f t="shared" ca="1" si="137"/>
        <v>#N/A</v>
      </c>
      <c r="AX330" s="406" t="e">
        <f t="shared" ca="1" si="137"/>
        <v>#N/A</v>
      </c>
      <c r="AY330" s="406" t="e">
        <f t="shared" ca="1" si="137"/>
        <v>#N/A</v>
      </c>
      <c r="AZ330" s="406" t="e">
        <f t="shared" ca="1" si="137"/>
        <v>#N/A</v>
      </c>
      <c r="BA330" s="406" t="e">
        <f t="shared" ca="1" si="137"/>
        <v>#N/A</v>
      </c>
      <c r="BB330" s="408"/>
      <c r="BC330" s="408" t="str">
        <f t="shared" ca="1" si="141"/>
        <v/>
      </c>
      <c r="BD330" s="408" t="s">
        <v>1278</v>
      </c>
      <c r="BE330" s="408" t="s">
        <v>1278</v>
      </c>
    </row>
    <row r="331" spans="3:57" x14ac:dyDescent="0.25">
      <c r="C331" s="406">
        <f t="shared" si="143"/>
        <v>329</v>
      </c>
      <c r="D331" s="406" t="e">
        <f t="shared" ca="1" si="142"/>
        <v>#N/A</v>
      </c>
      <c r="E331" s="406" t="e">
        <f t="shared" ca="1" si="142"/>
        <v>#N/A</v>
      </c>
      <c r="F331" s="406" t="e">
        <f t="shared" ca="1" si="142"/>
        <v>#N/A</v>
      </c>
      <c r="G331" s="406" t="e">
        <f t="shared" ca="1" si="142"/>
        <v>#N/A</v>
      </c>
      <c r="H331" s="406" t="e">
        <f t="shared" ca="1" si="142"/>
        <v>#N/A</v>
      </c>
      <c r="I331" s="406" t="e">
        <f t="shared" ca="1" si="142"/>
        <v>#N/A</v>
      </c>
      <c r="J331" s="406" t="e">
        <f t="shared" ca="1" si="142"/>
        <v>#N/A</v>
      </c>
      <c r="K331" s="406" t="e">
        <f t="shared" ca="1" si="142"/>
        <v>#N/A</v>
      </c>
      <c r="L331" s="406" t="e">
        <f t="shared" ca="1" si="142"/>
        <v>#N/A</v>
      </c>
      <c r="M331" s="406" t="e">
        <f t="shared" ca="1" si="142"/>
        <v>#N/A</v>
      </c>
      <c r="N331" s="406" t="e">
        <f t="shared" ca="1" si="139"/>
        <v>#N/A</v>
      </c>
      <c r="O331" s="406" t="e">
        <f t="shared" ca="1" si="139"/>
        <v>#N/A</v>
      </c>
      <c r="P331" s="406" t="e">
        <f t="shared" ca="1" si="139"/>
        <v>#N/A</v>
      </c>
      <c r="Q331" s="406" t="e">
        <f t="shared" ca="1" si="139"/>
        <v>#N/A</v>
      </c>
      <c r="R331" s="406" t="e">
        <f t="shared" ca="1" si="139"/>
        <v>#N/A</v>
      </c>
      <c r="S331" s="406" t="e">
        <f t="shared" ca="1" si="139"/>
        <v>#N/A</v>
      </c>
      <c r="T331" s="406" t="e">
        <f t="shared" ca="1" si="139"/>
        <v>#N/A</v>
      </c>
      <c r="U331" s="406" t="e">
        <f t="shared" ca="1" si="139"/>
        <v>#N/A</v>
      </c>
      <c r="V331" s="406" t="e">
        <f t="shared" ca="1" si="139"/>
        <v>#N/A</v>
      </c>
      <c r="W331" s="406" t="e">
        <f t="shared" ca="1" si="139"/>
        <v>#N/A</v>
      </c>
      <c r="X331" s="406" t="e">
        <f t="shared" ca="1" si="138"/>
        <v>#N/A</v>
      </c>
      <c r="Y331" s="406" t="e">
        <f t="shared" ca="1" si="138"/>
        <v>#N/A</v>
      </c>
      <c r="Z331" s="406" t="e">
        <f t="shared" ca="1" si="138"/>
        <v>#N/A</v>
      </c>
      <c r="AA331" s="406" t="e">
        <f t="shared" ca="1" si="138"/>
        <v>#N/A</v>
      </c>
      <c r="AB331" s="406" t="e">
        <f t="shared" ca="1" si="138"/>
        <v>#N/A</v>
      </c>
      <c r="AC331" s="406" t="e">
        <f t="shared" ca="1" si="138"/>
        <v>#N/A</v>
      </c>
      <c r="AD331" s="406" t="e">
        <f t="shared" ca="1" si="138"/>
        <v>#N/A</v>
      </c>
      <c r="AE331" s="406" t="e">
        <f t="shared" ca="1" si="138"/>
        <v>#N/A</v>
      </c>
      <c r="AF331" s="406" t="e">
        <f t="shared" ca="1" si="138"/>
        <v>#N/A</v>
      </c>
      <c r="AG331" s="406" t="e">
        <f t="shared" ca="1" si="138"/>
        <v>#N/A</v>
      </c>
      <c r="AH331" s="406" t="e">
        <f t="shared" ca="1" si="140"/>
        <v>#N/A</v>
      </c>
      <c r="AI331" s="406" t="e">
        <f t="shared" ca="1" si="140"/>
        <v>#N/A</v>
      </c>
      <c r="AJ331" s="406" t="e">
        <f t="shared" ca="1" si="140"/>
        <v>#N/A</v>
      </c>
      <c r="AK331" s="406" t="e">
        <f t="shared" ca="1" si="140"/>
        <v>#N/A</v>
      </c>
      <c r="AL331" s="406" t="e">
        <f t="shared" ca="1" si="140"/>
        <v>#N/A</v>
      </c>
      <c r="AM331" s="406" t="e">
        <f t="shared" ca="1" si="140"/>
        <v>#N/A</v>
      </c>
      <c r="AN331" s="406" t="e">
        <f t="shared" ca="1" si="140"/>
        <v>#N/A</v>
      </c>
      <c r="AO331" s="406" t="e">
        <f t="shared" ca="1" si="140"/>
        <v>#N/A</v>
      </c>
      <c r="AP331" s="406" t="e">
        <f t="shared" ca="1" si="140"/>
        <v>#N/A</v>
      </c>
      <c r="AQ331" s="406" t="e">
        <f t="shared" ca="1" si="140"/>
        <v>#N/A</v>
      </c>
      <c r="AR331" s="406" t="e">
        <f t="shared" ca="1" si="137"/>
        <v>#N/A</v>
      </c>
      <c r="AS331" s="406" t="e">
        <f t="shared" ca="1" si="137"/>
        <v>#N/A</v>
      </c>
      <c r="AT331" s="406" t="e">
        <f t="shared" ca="1" si="137"/>
        <v>#N/A</v>
      </c>
      <c r="AU331" s="406" t="e">
        <f t="shared" ca="1" si="137"/>
        <v>#N/A</v>
      </c>
      <c r="AV331" s="406" t="e">
        <f t="shared" ca="1" si="137"/>
        <v>#N/A</v>
      </c>
      <c r="AW331" s="406" t="e">
        <f t="shared" ca="1" si="137"/>
        <v>#N/A</v>
      </c>
      <c r="AX331" s="406" t="e">
        <f t="shared" ca="1" si="137"/>
        <v>#N/A</v>
      </c>
      <c r="AY331" s="406" t="e">
        <f t="shared" ca="1" si="137"/>
        <v>#N/A</v>
      </c>
      <c r="AZ331" s="406" t="e">
        <f t="shared" ca="1" si="137"/>
        <v>#N/A</v>
      </c>
      <c r="BA331" s="406" t="e">
        <f t="shared" ca="1" si="137"/>
        <v>#N/A</v>
      </c>
      <c r="BB331" s="408"/>
      <c r="BC331" s="408" t="str">
        <f t="shared" ca="1" si="141"/>
        <v/>
      </c>
      <c r="BD331" s="408" t="s">
        <v>1278</v>
      </c>
      <c r="BE331" s="408" t="s">
        <v>1278</v>
      </c>
    </row>
    <row r="332" spans="3:57" x14ac:dyDescent="0.25">
      <c r="C332" s="406">
        <f t="shared" si="143"/>
        <v>330</v>
      </c>
      <c r="D332" s="406" t="e">
        <f t="shared" ca="1" si="142"/>
        <v>#N/A</v>
      </c>
      <c r="E332" s="406" t="e">
        <f t="shared" ca="1" si="142"/>
        <v>#N/A</v>
      </c>
      <c r="F332" s="406" t="e">
        <f t="shared" ca="1" si="142"/>
        <v>#N/A</v>
      </c>
      <c r="G332" s="406" t="e">
        <f t="shared" ca="1" si="142"/>
        <v>#N/A</v>
      </c>
      <c r="H332" s="406" t="e">
        <f t="shared" ca="1" si="142"/>
        <v>#N/A</v>
      </c>
      <c r="I332" s="406" t="e">
        <f t="shared" ca="1" si="142"/>
        <v>#N/A</v>
      </c>
      <c r="J332" s="406" t="e">
        <f t="shared" ca="1" si="142"/>
        <v>#N/A</v>
      </c>
      <c r="K332" s="406" t="e">
        <f t="shared" ca="1" si="142"/>
        <v>#N/A</v>
      </c>
      <c r="L332" s="406" t="e">
        <f t="shared" ca="1" si="142"/>
        <v>#N/A</v>
      </c>
      <c r="M332" s="406" t="e">
        <f t="shared" ca="1" si="142"/>
        <v>#N/A</v>
      </c>
      <c r="N332" s="406" t="e">
        <f t="shared" ca="1" si="139"/>
        <v>#N/A</v>
      </c>
      <c r="O332" s="406" t="e">
        <f t="shared" ca="1" si="139"/>
        <v>#N/A</v>
      </c>
      <c r="P332" s="406" t="e">
        <f t="shared" ca="1" si="139"/>
        <v>#N/A</v>
      </c>
      <c r="Q332" s="406" t="e">
        <f t="shared" ca="1" si="139"/>
        <v>#N/A</v>
      </c>
      <c r="R332" s="406" t="e">
        <f t="shared" ca="1" si="139"/>
        <v>#N/A</v>
      </c>
      <c r="S332" s="406" t="e">
        <f t="shared" ca="1" si="139"/>
        <v>#N/A</v>
      </c>
      <c r="T332" s="406" t="e">
        <f t="shared" ca="1" si="139"/>
        <v>#N/A</v>
      </c>
      <c r="U332" s="406" t="e">
        <f t="shared" ca="1" si="139"/>
        <v>#N/A</v>
      </c>
      <c r="V332" s="406" t="e">
        <f t="shared" ca="1" si="139"/>
        <v>#N/A</v>
      </c>
      <c r="W332" s="406" t="e">
        <f t="shared" ca="1" si="139"/>
        <v>#N/A</v>
      </c>
      <c r="X332" s="406" t="e">
        <f t="shared" ca="1" si="138"/>
        <v>#N/A</v>
      </c>
      <c r="Y332" s="406" t="e">
        <f t="shared" ca="1" si="138"/>
        <v>#N/A</v>
      </c>
      <c r="Z332" s="406" t="e">
        <f t="shared" ca="1" si="138"/>
        <v>#N/A</v>
      </c>
      <c r="AA332" s="406" t="e">
        <f t="shared" ca="1" si="138"/>
        <v>#N/A</v>
      </c>
      <c r="AB332" s="406" t="e">
        <f t="shared" ca="1" si="138"/>
        <v>#N/A</v>
      </c>
      <c r="AC332" s="406" t="e">
        <f t="shared" ca="1" si="138"/>
        <v>#N/A</v>
      </c>
      <c r="AD332" s="406" t="e">
        <f t="shared" ca="1" si="138"/>
        <v>#N/A</v>
      </c>
      <c r="AE332" s="406" t="e">
        <f t="shared" ca="1" si="138"/>
        <v>#N/A</v>
      </c>
      <c r="AF332" s="406" t="e">
        <f t="shared" ca="1" si="138"/>
        <v>#N/A</v>
      </c>
      <c r="AG332" s="406" t="e">
        <f t="shared" ca="1" si="138"/>
        <v>#N/A</v>
      </c>
      <c r="AH332" s="406" t="e">
        <f t="shared" ca="1" si="140"/>
        <v>#N/A</v>
      </c>
      <c r="AI332" s="406" t="e">
        <f t="shared" ca="1" si="140"/>
        <v>#N/A</v>
      </c>
      <c r="AJ332" s="406" t="e">
        <f t="shared" ca="1" si="140"/>
        <v>#N/A</v>
      </c>
      <c r="AK332" s="406" t="e">
        <f t="shared" ca="1" si="140"/>
        <v>#N/A</v>
      </c>
      <c r="AL332" s="406" t="e">
        <f t="shared" ca="1" si="140"/>
        <v>#N/A</v>
      </c>
      <c r="AM332" s="406" t="e">
        <f t="shared" ca="1" si="140"/>
        <v>#N/A</v>
      </c>
      <c r="AN332" s="406" t="e">
        <f t="shared" ca="1" si="140"/>
        <v>#N/A</v>
      </c>
      <c r="AO332" s="406" t="e">
        <f t="shared" ca="1" si="140"/>
        <v>#N/A</v>
      </c>
      <c r="AP332" s="406" t="e">
        <f t="shared" ca="1" si="140"/>
        <v>#N/A</v>
      </c>
      <c r="AQ332" s="406" t="e">
        <f t="shared" ca="1" si="140"/>
        <v>#N/A</v>
      </c>
      <c r="AR332" s="406" t="e">
        <f t="shared" ca="1" si="137"/>
        <v>#N/A</v>
      </c>
      <c r="AS332" s="406" t="e">
        <f t="shared" ca="1" si="137"/>
        <v>#N/A</v>
      </c>
      <c r="AT332" s="406" t="e">
        <f t="shared" ca="1" si="137"/>
        <v>#N/A</v>
      </c>
      <c r="AU332" s="406" t="e">
        <f t="shared" ca="1" si="137"/>
        <v>#N/A</v>
      </c>
      <c r="AV332" s="406" t="e">
        <f t="shared" ca="1" si="137"/>
        <v>#N/A</v>
      </c>
      <c r="AW332" s="406" t="e">
        <f t="shared" ca="1" si="137"/>
        <v>#N/A</v>
      </c>
      <c r="AX332" s="406" t="e">
        <f t="shared" ca="1" si="137"/>
        <v>#N/A</v>
      </c>
      <c r="AY332" s="406" t="e">
        <f t="shared" ca="1" si="137"/>
        <v>#N/A</v>
      </c>
      <c r="AZ332" s="406" t="e">
        <f t="shared" ca="1" si="137"/>
        <v>#N/A</v>
      </c>
      <c r="BA332" s="406" t="e">
        <f t="shared" ca="1" si="137"/>
        <v>#N/A</v>
      </c>
      <c r="BB332" s="408"/>
      <c r="BC332" s="408" t="str">
        <f t="shared" ca="1" si="141"/>
        <v/>
      </c>
      <c r="BD332" s="408" t="s">
        <v>1278</v>
      </c>
      <c r="BE332" s="408" t="s">
        <v>1278</v>
      </c>
    </row>
    <row r="333" spans="3:57" ht="15" customHeight="1" x14ac:dyDescent="0.25">
      <c r="C333" s="406">
        <f t="shared" si="143"/>
        <v>331</v>
      </c>
      <c r="D333" s="406" t="e">
        <f t="shared" ca="1" si="142"/>
        <v>#N/A</v>
      </c>
      <c r="E333" s="406" t="e">
        <f t="shared" ca="1" si="142"/>
        <v>#N/A</v>
      </c>
      <c r="F333" s="406" t="e">
        <f t="shared" ca="1" si="142"/>
        <v>#N/A</v>
      </c>
      <c r="G333" s="406" t="e">
        <f t="shared" ca="1" si="142"/>
        <v>#N/A</v>
      </c>
      <c r="H333" s="406" t="e">
        <f t="shared" ca="1" si="142"/>
        <v>#N/A</v>
      </c>
      <c r="I333" s="406" t="e">
        <f t="shared" ca="1" si="142"/>
        <v>#N/A</v>
      </c>
      <c r="J333" s="406" t="e">
        <f t="shared" ca="1" si="142"/>
        <v>#N/A</v>
      </c>
      <c r="K333" s="406" t="e">
        <f t="shared" ca="1" si="142"/>
        <v>#N/A</v>
      </c>
      <c r="L333" s="406" t="e">
        <f t="shared" ca="1" si="142"/>
        <v>#N/A</v>
      </c>
      <c r="M333" s="406" t="e">
        <f t="shared" ca="1" si="142"/>
        <v>#N/A</v>
      </c>
      <c r="N333" s="406" t="e">
        <f t="shared" ca="1" si="139"/>
        <v>#N/A</v>
      </c>
      <c r="O333" s="406" t="e">
        <f t="shared" ca="1" si="139"/>
        <v>#N/A</v>
      </c>
      <c r="P333" s="406" t="e">
        <f t="shared" ca="1" si="139"/>
        <v>#N/A</v>
      </c>
      <c r="Q333" s="406" t="e">
        <f t="shared" ca="1" si="139"/>
        <v>#N/A</v>
      </c>
      <c r="R333" s="406" t="e">
        <f t="shared" ca="1" si="139"/>
        <v>#N/A</v>
      </c>
      <c r="S333" s="406" t="e">
        <f t="shared" ca="1" si="139"/>
        <v>#N/A</v>
      </c>
      <c r="T333" s="406" t="e">
        <f t="shared" ca="1" si="139"/>
        <v>#N/A</v>
      </c>
      <c r="U333" s="406" t="e">
        <f t="shared" ca="1" si="139"/>
        <v>#N/A</v>
      </c>
      <c r="V333" s="406" t="e">
        <f t="shared" ca="1" si="139"/>
        <v>#N/A</v>
      </c>
      <c r="W333" s="406" t="e">
        <f t="shared" ca="1" si="139"/>
        <v>#N/A</v>
      </c>
      <c r="X333" s="406" t="e">
        <f t="shared" ca="1" si="138"/>
        <v>#N/A</v>
      </c>
      <c r="Y333" s="406" t="e">
        <f t="shared" ca="1" si="138"/>
        <v>#N/A</v>
      </c>
      <c r="Z333" s="406" t="e">
        <f t="shared" ca="1" si="138"/>
        <v>#N/A</v>
      </c>
      <c r="AA333" s="406" t="e">
        <f t="shared" ca="1" si="138"/>
        <v>#N/A</v>
      </c>
      <c r="AB333" s="406" t="e">
        <f t="shared" ca="1" si="138"/>
        <v>#N/A</v>
      </c>
      <c r="AC333" s="406" t="e">
        <f t="shared" ca="1" si="138"/>
        <v>#N/A</v>
      </c>
      <c r="AD333" s="406" t="e">
        <f t="shared" ca="1" si="138"/>
        <v>#N/A</v>
      </c>
      <c r="AE333" s="406" t="e">
        <f t="shared" ca="1" si="138"/>
        <v>#N/A</v>
      </c>
      <c r="AF333" s="406" t="e">
        <f t="shared" ca="1" si="138"/>
        <v>#N/A</v>
      </c>
      <c r="AG333" s="406" t="e">
        <f t="shared" ca="1" si="138"/>
        <v>#N/A</v>
      </c>
      <c r="AH333" s="406" t="e">
        <f t="shared" ca="1" si="140"/>
        <v>#N/A</v>
      </c>
      <c r="AI333" s="406" t="e">
        <f t="shared" ca="1" si="140"/>
        <v>#N/A</v>
      </c>
      <c r="AJ333" s="406" t="e">
        <f t="shared" ca="1" si="140"/>
        <v>#N/A</v>
      </c>
      <c r="AK333" s="406" t="e">
        <f t="shared" ca="1" si="140"/>
        <v>#N/A</v>
      </c>
      <c r="AL333" s="406" t="e">
        <f t="shared" ca="1" si="140"/>
        <v>#N/A</v>
      </c>
      <c r="AM333" s="406" t="e">
        <f t="shared" ca="1" si="140"/>
        <v>#N/A</v>
      </c>
      <c r="AN333" s="406" t="e">
        <f t="shared" ca="1" si="140"/>
        <v>#N/A</v>
      </c>
      <c r="AO333" s="406" t="e">
        <f t="shared" ca="1" si="140"/>
        <v>#N/A</v>
      </c>
      <c r="AP333" s="406" t="e">
        <f t="shared" ca="1" si="140"/>
        <v>#N/A</v>
      </c>
      <c r="AQ333" s="406" t="e">
        <f t="shared" ca="1" si="140"/>
        <v>#N/A</v>
      </c>
      <c r="AR333" s="406" t="e">
        <f t="shared" ca="1" si="137"/>
        <v>#N/A</v>
      </c>
      <c r="AS333" s="406" t="e">
        <f t="shared" ca="1" si="137"/>
        <v>#N/A</v>
      </c>
      <c r="AT333" s="406" t="e">
        <f t="shared" ca="1" si="137"/>
        <v>#N/A</v>
      </c>
      <c r="AU333" s="406" t="e">
        <f t="shared" ca="1" si="137"/>
        <v>#N/A</v>
      </c>
      <c r="AV333" s="406" t="e">
        <f t="shared" ca="1" si="137"/>
        <v>#N/A</v>
      </c>
      <c r="AW333" s="406" t="e">
        <f t="shared" ca="1" si="137"/>
        <v>#N/A</v>
      </c>
      <c r="AX333" s="406" t="e">
        <f t="shared" ca="1" si="137"/>
        <v>#N/A</v>
      </c>
      <c r="AY333" s="406" t="e">
        <f t="shared" ca="1" si="137"/>
        <v>#N/A</v>
      </c>
      <c r="AZ333" s="406" t="e">
        <f t="shared" ca="1" si="137"/>
        <v>#N/A</v>
      </c>
      <c r="BA333" s="406" t="e">
        <f t="shared" ca="1" si="137"/>
        <v>#N/A</v>
      </c>
      <c r="BB333" s="408"/>
      <c r="BC333" s="408" t="str">
        <f t="shared" ca="1" si="141"/>
        <v/>
      </c>
      <c r="BD333" s="408" t="s">
        <v>1278</v>
      </c>
      <c r="BE333" s="408" t="s">
        <v>1278</v>
      </c>
    </row>
    <row r="334" spans="3:57" x14ac:dyDescent="0.25">
      <c r="C334" s="406">
        <f t="shared" si="143"/>
        <v>332</v>
      </c>
      <c r="D334" s="406" t="e">
        <f t="shared" ca="1" si="142"/>
        <v>#N/A</v>
      </c>
      <c r="E334" s="406" t="e">
        <f t="shared" ca="1" si="142"/>
        <v>#N/A</v>
      </c>
      <c r="F334" s="406" t="e">
        <f t="shared" ca="1" si="142"/>
        <v>#N/A</v>
      </c>
      <c r="G334" s="406" t="e">
        <f t="shared" ca="1" si="142"/>
        <v>#N/A</v>
      </c>
      <c r="H334" s="406" t="e">
        <f t="shared" ca="1" si="142"/>
        <v>#N/A</v>
      </c>
      <c r="I334" s="406" t="e">
        <f t="shared" ca="1" si="142"/>
        <v>#N/A</v>
      </c>
      <c r="J334" s="406" t="e">
        <f t="shared" ca="1" si="142"/>
        <v>#N/A</v>
      </c>
      <c r="K334" s="406" t="e">
        <f t="shared" ca="1" si="142"/>
        <v>#N/A</v>
      </c>
      <c r="L334" s="406" t="e">
        <f t="shared" ca="1" si="142"/>
        <v>#N/A</v>
      </c>
      <c r="M334" s="406" t="e">
        <f t="shared" ca="1" si="142"/>
        <v>#N/A</v>
      </c>
      <c r="N334" s="406" t="e">
        <f t="shared" ca="1" si="139"/>
        <v>#N/A</v>
      </c>
      <c r="O334" s="406" t="e">
        <f t="shared" ca="1" si="139"/>
        <v>#N/A</v>
      </c>
      <c r="P334" s="406" t="e">
        <f t="shared" ca="1" si="139"/>
        <v>#N/A</v>
      </c>
      <c r="Q334" s="406" t="e">
        <f t="shared" ca="1" si="139"/>
        <v>#N/A</v>
      </c>
      <c r="R334" s="406" t="e">
        <f t="shared" ca="1" si="139"/>
        <v>#N/A</v>
      </c>
      <c r="S334" s="406" t="e">
        <f t="shared" ca="1" si="139"/>
        <v>#N/A</v>
      </c>
      <c r="T334" s="406" t="e">
        <f t="shared" ca="1" si="139"/>
        <v>#N/A</v>
      </c>
      <c r="U334" s="406" t="e">
        <f t="shared" ca="1" si="139"/>
        <v>#N/A</v>
      </c>
      <c r="V334" s="406" t="e">
        <f t="shared" ca="1" si="139"/>
        <v>#N/A</v>
      </c>
      <c r="W334" s="406" t="e">
        <f t="shared" ca="1" si="139"/>
        <v>#N/A</v>
      </c>
      <c r="X334" s="406" t="e">
        <f t="shared" ca="1" si="138"/>
        <v>#N/A</v>
      </c>
      <c r="Y334" s="406" t="e">
        <f t="shared" ca="1" si="138"/>
        <v>#N/A</v>
      </c>
      <c r="Z334" s="406" t="e">
        <f t="shared" ca="1" si="138"/>
        <v>#N/A</v>
      </c>
      <c r="AA334" s="406" t="e">
        <f t="shared" ca="1" si="138"/>
        <v>#N/A</v>
      </c>
      <c r="AB334" s="406" t="e">
        <f t="shared" ca="1" si="138"/>
        <v>#N/A</v>
      </c>
      <c r="AC334" s="406" t="e">
        <f t="shared" ca="1" si="138"/>
        <v>#N/A</v>
      </c>
      <c r="AD334" s="406" t="e">
        <f t="shared" ca="1" si="138"/>
        <v>#N/A</v>
      </c>
      <c r="AE334" s="406" t="e">
        <f t="shared" ca="1" si="138"/>
        <v>#N/A</v>
      </c>
      <c r="AF334" s="406" t="e">
        <f t="shared" ca="1" si="138"/>
        <v>#N/A</v>
      </c>
      <c r="AG334" s="406" t="e">
        <f t="shared" ca="1" si="138"/>
        <v>#N/A</v>
      </c>
      <c r="AH334" s="406" t="e">
        <f t="shared" ca="1" si="140"/>
        <v>#N/A</v>
      </c>
      <c r="AI334" s="406" t="e">
        <f t="shared" ca="1" si="140"/>
        <v>#N/A</v>
      </c>
      <c r="AJ334" s="406" t="e">
        <f t="shared" ca="1" si="140"/>
        <v>#N/A</v>
      </c>
      <c r="AK334" s="406" t="e">
        <f t="shared" ca="1" si="140"/>
        <v>#N/A</v>
      </c>
      <c r="AL334" s="406" t="e">
        <f t="shared" ca="1" si="140"/>
        <v>#N/A</v>
      </c>
      <c r="AM334" s="406" t="e">
        <f t="shared" ca="1" si="140"/>
        <v>#N/A</v>
      </c>
      <c r="AN334" s="406" t="e">
        <f t="shared" ca="1" si="140"/>
        <v>#N/A</v>
      </c>
      <c r="AO334" s="406" t="e">
        <f t="shared" ca="1" si="140"/>
        <v>#N/A</v>
      </c>
      <c r="AP334" s="406" t="e">
        <f t="shared" ca="1" si="140"/>
        <v>#N/A</v>
      </c>
      <c r="AQ334" s="406" t="e">
        <f t="shared" ca="1" si="140"/>
        <v>#N/A</v>
      </c>
      <c r="AR334" s="406" t="e">
        <f t="shared" ca="1" si="137"/>
        <v>#N/A</v>
      </c>
      <c r="AS334" s="406" t="e">
        <f t="shared" ca="1" si="137"/>
        <v>#N/A</v>
      </c>
      <c r="AT334" s="406" t="e">
        <f t="shared" ca="1" si="137"/>
        <v>#N/A</v>
      </c>
      <c r="AU334" s="406" t="e">
        <f t="shared" ca="1" si="137"/>
        <v>#N/A</v>
      </c>
      <c r="AV334" s="406" t="e">
        <f t="shared" ca="1" si="137"/>
        <v>#N/A</v>
      </c>
      <c r="AW334" s="406" t="e">
        <f t="shared" ca="1" si="137"/>
        <v>#N/A</v>
      </c>
      <c r="AX334" s="406" t="e">
        <f t="shared" ca="1" si="137"/>
        <v>#N/A</v>
      </c>
      <c r="AY334" s="406" t="e">
        <f t="shared" ca="1" si="137"/>
        <v>#N/A</v>
      </c>
      <c r="AZ334" s="406" t="e">
        <f t="shared" ca="1" si="137"/>
        <v>#N/A</v>
      </c>
      <c r="BA334" s="406" t="e">
        <f t="shared" ca="1" si="137"/>
        <v>#N/A</v>
      </c>
      <c r="BB334" s="408"/>
      <c r="BC334" s="408" t="str">
        <f t="shared" ca="1" si="141"/>
        <v/>
      </c>
      <c r="BD334" s="408" t="s">
        <v>1278</v>
      </c>
      <c r="BE334" s="408" t="s">
        <v>1278</v>
      </c>
    </row>
    <row r="335" spans="3:57" x14ac:dyDescent="0.25">
      <c r="C335" s="406">
        <f t="shared" si="143"/>
        <v>333</v>
      </c>
      <c r="D335" s="406" t="e">
        <f t="shared" ca="1" si="142"/>
        <v>#N/A</v>
      </c>
      <c r="E335" s="406" t="e">
        <f t="shared" ca="1" si="142"/>
        <v>#N/A</v>
      </c>
      <c r="F335" s="406" t="e">
        <f t="shared" ca="1" si="142"/>
        <v>#N/A</v>
      </c>
      <c r="G335" s="406" t="e">
        <f t="shared" ca="1" si="142"/>
        <v>#N/A</v>
      </c>
      <c r="H335" s="406" t="e">
        <f t="shared" ca="1" si="142"/>
        <v>#N/A</v>
      </c>
      <c r="I335" s="406" t="e">
        <f t="shared" ca="1" si="142"/>
        <v>#N/A</v>
      </c>
      <c r="J335" s="406" t="e">
        <f t="shared" ca="1" si="142"/>
        <v>#N/A</v>
      </c>
      <c r="K335" s="406" t="e">
        <f t="shared" ca="1" si="142"/>
        <v>#N/A</v>
      </c>
      <c r="L335" s="406" t="e">
        <f t="shared" ca="1" si="142"/>
        <v>#N/A</v>
      </c>
      <c r="M335" s="406" t="e">
        <f t="shared" ca="1" si="142"/>
        <v>#N/A</v>
      </c>
      <c r="N335" s="406" t="e">
        <f t="shared" ca="1" si="139"/>
        <v>#N/A</v>
      </c>
      <c r="O335" s="406" t="e">
        <f t="shared" ca="1" si="139"/>
        <v>#N/A</v>
      </c>
      <c r="P335" s="406" t="e">
        <f t="shared" ca="1" si="139"/>
        <v>#N/A</v>
      </c>
      <c r="Q335" s="406" t="e">
        <f t="shared" ca="1" si="139"/>
        <v>#N/A</v>
      </c>
      <c r="R335" s="406" t="e">
        <f t="shared" ca="1" si="139"/>
        <v>#N/A</v>
      </c>
      <c r="S335" s="406" t="e">
        <f t="shared" ca="1" si="139"/>
        <v>#N/A</v>
      </c>
      <c r="T335" s="406" t="e">
        <f t="shared" ca="1" si="139"/>
        <v>#N/A</v>
      </c>
      <c r="U335" s="406" t="e">
        <f t="shared" ca="1" si="139"/>
        <v>#N/A</v>
      </c>
      <c r="V335" s="406" t="e">
        <f t="shared" ca="1" si="139"/>
        <v>#N/A</v>
      </c>
      <c r="W335" s="406" t="e">
        <f t="shared" ca="1" si="139"/>
        <v>#N/A</v>
      </c>
      <c r="X335" s="406" t="e">
        <f t="shared" ca="1" si="138"/>
        <v>#N/A</v>
      </c>
      <c r="Y335" s="406" t="e">
        <f t="shared" ca="1" si="138"/>
        <v>#N/A</v>
      </c>
      <c r="Z335" s="406" t="e">
        <f t="shared" ca="1" si="138"/>
        <v>#N/A</v>
      </c>
      <c r="AA335" s="406" t="e">
        <f t="shared" ca="1" si="138"/>
        <v>#N/A</v>
      </c>
      <c r="AB335" s="406" t="e">
        <f t="shared" ca="1" si="138"/>
        <v>#N/A</v>
      </c>
      <c r="AC335" s="406" t="e">
        <f t="shared" ca="1" si="138"/>
        <v>#N/A</v>
      </c>
      <c r="AD335" s="406" t="e">
        <f t="shared" ca="1" si="138"/>
        <v>#N/A</v>
      </c>
      <c r="AE335" s="406" t="e">
        <f t="shared" ca="1" si="138"/>
        <v>#N/A</v>
      </c>
      <c r="AF335" s="406" t="e">
        <f t="shared" ca="1" si="138"/>
        <v>#N/A</v>
      </c>
      <c r="AG335" s="406" t="e">
        <f t="shared" ca="1" si="138"/>
        <v>#N/A</v>
      </c>
      <c r="AH335" s="406" t="e">
        <f t="shared" ca="1" si="140"/>
        <v>#N/A</v>
      </c>
      <c r="AI335" s="406" t="e">
        <f t="shared" ca="1" si="140"/>
        <v>#N/A</v>
      </c>
      <c r="AJ335" s="406" t="e">
        <f t="shared" ca="1" si="140"/>
        <v>#N/A</v>
      </c>
      <c r="AK335" s="406" t="e">
        <f t="shared" ca="1" si="140"/>
        <v>#N/A</v>
      </c>
      <c r="AL335" s="406" t="e">
        <f t="shared" ca="1" si="140"/>
        <v>#N/A</v>
      </c>
      <c r="AM335" s="406" t="e">
        <f t="shared" ca="1" si="140"/>
        <v>#N/A</v>
      </c>
      <c r="AN335" s="406" t="e">
        <f t="shared" ca="1" si="140"/>
        <v>#N/A</v>
      </c>
      <c r="AO335" s="406" t="e">
        <f t="shared" ca="1" si="140"/>
        <v>#N/A</v>
      </c>
      <c r="AP335" s="406" t="e">
        <f t="shared" ca="1" si="140"/>
        <v>#N/A</v>
      </c>
      <c r="AQ335" s="406" t="e">
        <f t="shared" ca="1" si="140"/>
        <v>#N/A</v>
      </c>
      <c r="AR335" s="406" t="e">
        <f t="shared" ca="1" si="137"/>
        <v>#N/A</v>
      </c>
      <c r="AS335" s="406" t="e">
        <f t="shared" ca="1" si="137"/>
        <v>#N/A</v>
      </c>
      <c r="AT335" s="406" t="e">
        <f t="shared" ca="1" si="137"/>
        <v>#N/A</v>
      </c>
      <c r="AU335" s="406" t="e">
        <f t="shared" ca="1" si="137"/>
        <v>#N/A</v>
      </c>
      <c r="AV335" s="406" t="e">
        <f t="shared" ca="1" si="137"/>
        <v>#N/A</v>
      </c>
      <c r="AW335" s="406" t="e">
        <f t="shared" ca="1" si="137"/>
        <v>#N/A</v>
      </c>
      <c r="AX335" s="406" t="e">
        <f t="shared" ca="1" si="137"/>
        <v>#N/A</v>
      </c>
      <c r="AY335" s="406" t="e">
        <f t="shared" ca="1" si="137"/>
        <v>#N/A</v>
      </c>
      <c r="AZ335" s="406" t="e">
        <f t="shared" ca="1" si="137"/>
        <v>#N/A</v>
      </c>
      <c r="BA335" s="406" t="e">
        <f t="shared" ca="1" si="137"/>
        <v>#N/A</v>
      </c>
      <c r="BB335" s="408"/>
      <c r="BC335" s="408" t="str">
        <f t="shared" ca="1" si="141"/>
        <v/>
      </c>
      <c r="BD335" s="408" t="s">
        <v>1278</v>
      </c>
      <c r="BE335" s="408" t="s">
        <v>1278</v>
      </c>
    </row>
    <row r="336" spans="3:57" ht="15" customHeight="1" x14ac:dyDescent="0.25">
      <c r="C336" s="406">
        <f t="shared" si="143"/>
        <v>334</v>
      </c>
      <c r="D336" s="406" t="e">
        <f t="shared" ca="1" si="142"/>
        <v>#N/A</v>
      </c>
      <c r="E336" s="406" t="e">
        <f t="shared" ca="1" si="142"/>
        <v>#N/A</v>
      </c>
      <c r="F336" s="406" t="e">
        <f t="shared" ca="1" si="142"/>
        <v>#N/A</v>
      </c>
      <c r="G336" s="406" t="e">
        <f t="shared" ca="1" si="142"/>
        <v>#N/A</v>
      </c>
      <c r="H336" s="406" t="e">
        <f t="shared" ca="1" si="142"/>
        <v>#N/A</v>
      </c>
      <c r="I336" s="406" t="e">
        <f t="shared" ca="1" si="142"/>
        <v>#N/A</v>
      </c>
      <c r="J336" s="406" t="e">
        <f t="shared" ca="1" si="142"/>
        <v>#N/A</v>
      </c>
      <c r="K336" s="406" t="e">
        <f t="shared" ca="1" si="142"/>
        <v>#N/A</v>
      </c>
      <c r="L336" s="406" t="e">
        <f t="shared" ca="1" si="142"/>
        <v>#N/A</v>
      </c>
      <c r="M336" s="406" t="e">
        <f t="shared" ca="1" si="142"/>
        <v>#N/A</v>
      </c>
      <c r="N336" s="406" t="e">
        <f t="shared" ca="1" si="139"/>
        <v>#N/A</v>
      </c>
      <c r="O336" s="406" t="e">
        <f t="shared" ca="1" si="139"/>
        <v>#N/A</v>
      </c>
      <c r="P336" s="406" t="e">
        <f t="shared" ca="1" si="139"/>
        <v>#N/A</v>
      </c>
      <c r="Q336" s="406" t="e">
        <f t="shared" ca="1" si="139"/>
        <v>#N/A</v>
      </c>
      <c r="R336" s="406" t="e">
        <f t="shared" ca="1" si="139"/>
        <v>#N/A</v>
      </c>
      <c r="S336" s="406" t="e">
        <f t="shared" ca="1" si="139"/>
        <v>#N/A</v>
      </c>
      <c r="T336" s="406" t="e">
        <f t="shared" ca="1" si="139"/>
        <v>#N/A</v>
      </c>
      <c r="U336" s="406" t="e">
        <f t="shared" ca="1" si="139"/>
        <v>#N/A</v>
      </c>
      <c r="V336" s="406" t="e">
        <f t="shared" ca="1" si="139"/>
        <v>#N/A</v>
      </c>
      <c r="W336" s="406" t="e">
        <f t="shared" ca="1" si="139"/>
        <v>#N/A</v>
      </c>
      <c r="X336" s="406" t="e">
        <f t="shared" ca="1" si="138"/>
        <v>#N/A</v>
      </c>
      <c r="Y336" s="406" t="e">
        <f t="shared" ca="1" si="138"/>
        <v>#N/A</v>
      </c>
      <c r="Z336" s="406" t="e">
        <f t="shared" ca="1" si="138"/>
        <v>#N/A</v>
      </c>
      <c r="AA336" s="406" t="e">
        <f t="shared" ca="1" si="138"/>
        <v>#N/A</v>
      </c>
      <c r="AB336" s="406" t="e">
        <f t="shared" ca="1" si="138"/>
        <v>#N/A</v>
      </c>
      <c r="AC336" s="406" t="e">
        <f t="shared" ca="1" si="138"/>
        <v>#N/A</v>
      </c>
      <c r="AD336" s="406" t="e">
        <f t="shared" ca="1" si="138"/>
        <v>#N/A</v>
      </c>
      <c r="AE336" s="406" t="e">
        <f t="shared" ca="1" si="138"/>
        <v>#N/A</v>
      </c>
      <c r="AF336" s="406" t="e">
        <f t="shared" ca="1" si="138"/>
        <v>#N/A</v>
      </c>
      <c r="AG336" s="406" t="e">
        <f t="shared" ca="1" si="138"/>
        <v>#N/A</v>
      </c>
      <c r="AH336" s="406" t="e">
        <f t="shared" ca="1" si="140"/>
        <v>#N/A</v>
      </c>
      <c r="AI336" s="406" t="e">
        <f t="shared" ca="1" si="140"/>
        <v>#N/A</v>
      </c>
      <c r="AJ336" s="406" t="e">
        <f t="shared" ca="1" si="140"/>
        <v>#N/A</v>
      </c>
      <c r="AK336" s="406" t="e">
        <f t="shared" ca="1" si="140"/>
        <v>#N/A</v>
      </c>
      <c r="AL336" s="406" t="e">
        <f t="shared" ca="1" si="140"/>
        <v>#N/A</v>
      </c>
      <c r="AM336" s="406" t="e">
        <f t="shared" ca="1" si="140"/>
        <v>#N/A</v>
      </c>
      <c r="AN336" s="406" t="e">
        <f t="shared" ca="1" si="140"/>
        <v>#N/A</v>
      </c>
      <c r="AO336" s="406" t="e">
        <f t="shared" ca="1" si="140"/>
        <v>#N/A</v>
      </c>
      <c r="AP336" s="406" t="e">
        <f t="shared" ca="1" si="140"/>
        <v>#N/A</v>
      </c>
      <c r="AQ336" s="406" t="e">
        <f t="shared" ca="1" si="140"/>
        <v>#N/A</v>
      </c>
      <c r="AR336" s="406" t="e">
        <f t="shared" ca="1" si="137"/>
        <v>#N/A</v>
      </c>
      <c r="AS336" s="406" t="e">
        <f t="shared" ca="1" si="137"/>
        <v>#N/A</v>
      </c>
      <c r="AT336" s="406" t="e">
        <f t="shared" ca="1" si="137"/>
        <v>#N/A</v>
      </c>
      <c r="AU336" s="406" t="e">
        <f t="shared" ref="AR336:BA361" ca="1" si="144">TRIM(INDIRECT("'" &amp; "TNX RTF" &amp; "'!" &amp; ADDRESS($A$3+$C336,AU$1)))</f>
        <v>#N/A</v>
      </c>
      <c r="AV336" s="406" t="e">
        <f t="shared" ca="1" si="144"/>
        <v>#N/A</v>
      </c>
      <c r="AW336" s="406" t="e">
        <f t="shared" ca="1" si="144"/>
        <v>#N/A</v>
      </c>
      <c r="AX336" s="406" t="e">
        <f t="shared" ca="1" si="144"/>
        <v>#N/A</v>
      </c>
      <c r="AY336" s="406" t="e">
        <f t="shared" ca="1" si="144"/>
        <v>#N/A</v>
      </c>
      <c r="AZ336" s="406" t="e">
        <f t="shared" ca="1" si="144"/>
        <v>#N/A</v>
      </c>
      <c r="BA336" s="406" t="e">
        <f t="shared" ca="1" si="144"/>
        <v>#N/A</v>
      </c>
      <c r="BB336" s="408"/>
      <c r="BC336" s="408" t="str">
        <f t="shared" ca="1" si="141"/>
        <v/>
      </c>
      <c r="BD336" s="408" t="s">
        <v>1278</v>
      </c>
      <c r="BE336" s="408" t="s">
        <v>1278</v>
      </c>
    </row>
    <row r="337" spans="3:57" x14ac:dyDescent="0.25">
      <c r="C337" s="406">
        <f t="shared" si="143"/>
        <v>335</v>
      </c>
      <c r="D337" s="406" t="e">
        <f t="shared" ca="1" si="142"/>
        <v>#N/A</v>
      </c>
      <c r="E337" s="406" t="e">
        <f t="shared" ca="1" si="142"/>
        <v>#N/A</v>
      </c>
      <c r="F337" s="406" t="e">
        <f t="shared" ca="1" si="142"/>
        <v>#N/A</v>
      </c>
      <c r="G337" s="406" t="e">
        <f t="shared" ca="1" si="142"/>
        <v>#N/A</v>
      </c>
      <c r="H337" s="406" t="e">
        <f t="shared" ca="1" si="142"/>
        <v>#N/A</v>
      </c>
      <c r="I337" s="406" t="e">
        <f t="shared" ca="1" si="142"/>
        <v>#N/A</v>
      </c>
      <c r="J337" s="406" t="e">
        <f t="shared" ca="1" si="142"/>
        <v>#N/A</v>
      </c>
      <c r="K337" s="406" t="e">
        <f t="shared" ca="1" si="142"/>
        <v>#N/A</v>
      </c>
      <c r="L337" s="406" t="e">
        <f t="shared" ca="1" si="142"/>
        <v>#N/A</v>
      </c>
      <c r="M337" s="406" t="e">
        <f t="shared" ca="1" si="142"/>
        <v>#N/A</v>
      </c>
      <c r="N337" s="406" t="e">
        <f t="shared" ca="1" si="139"/>
        <v>#N/A</v>
      </c>
      <c r="O337" s="406" t="e">
        <f t="shared" ca="1" si="139"/>
        <v>#N/A</v>
      </c>
      <c r="P337" s="406" t="e">
        <f t="shared" ca="1" si="139"/>
        <v>#N/A</v>
      </c>
      <c r="Q337" s="406" t="e">
        <f t="shared" ca="1" si="139"/>
        <v>#N/A</v>
      </c>
      <c r="R337" s="406" t="e">
        <f t="shared" ca="1" si="139"/>
        <v>#N/A</v>
      </c>
      <c r="S337" s="406" t="e">
        <f t="shared" ca="1" si="139"/>
        <v>#N/A</v>
      </c>
      <c r="T337" s="406" t="e">
        <f t="shared" ca="1" si="139"/>
        <v>#N/A</v>
      </c>
      <c r="U337" s="406" t="e">
        <f t="shared" ca="1" si="139"/>
        <v>#N/A</v>
      </c>
      <c r="V337" s="406" t="e">
        <f t="shared" ca="1" si="139"/>
        <v>#N/A</v>
      </c>
      <c r="W337" s="406" t="e">
        <f t="shared" ca="1" si="139"/>
        <v>#N/A</v>
      </c>
      <c r="X337" s="406" t="e">
        <f t="shared" ca="1" si="138"/>
        <v>#N/A</v>
      </c>
      <c r="Y337" s="406" t="e">
        <f t="shared" ca="1" si="138"/>
        <v>#N/A</v>
      </c>
      <c r="Z337" s="406" t="e">
        <f t="shared" ca="1" si="138"/>
        <v>#N/A</v>
      </c>
      <c r="AA337" s="406" t="e">
        <f t="shared" ca="1" si="138"/>
        <v>#N/A</v>
      </c>
      <c r="AB337" s="406" t="e">
        <f t="shared" ca="1" si="138"/>
        <v>#N/A</v>
      </c>
      <c r="AC337" s="406" t="e">
        <f t="shared" ca="1" si="138"/>
        <v>#N/A</v>
      </c>
      <c r="AD337" s="406" t="e">
        <f t="shared" ca="1" si="138"/>
        <v>#N/A</v>
      </c>
      <c r="AE337" s="406" t="e">
        <f t="shared" ca="1" si="138"/>
        <v>#N/A</v>
      </c>
      <c r="AF337" s="406" t="e">
        <f t="shared" ca="1" si="138"/>
        <v>#N/A</v>
      </c>
      <c r="AG337" s="406" t="e">
        <f t="shared" ca="1" si="138"/>
        <v>#N/A</v>
      </c>
      <c r="AH337" s="406" t="e">
        <f t="shared" ca="1" si="140"/>
        <v>#N/A</v>
      </c>
      <c r="AI337" s="406" t="e">
        <f t="shared" ca="1" si="140"/>
        <v>#N/A</v>
      </c>
      <c r="AJ337" s="406" t="e">
        <f t="shared" ca="1" si="140"/>
        <v>#N/A</v>
      </c>
      <c r="AK337" s="406" t="e">
        <f t="shared" ca="1" si="140"/>
        <v>#N/A</v>
      </c>
      <c r="AL337" s="406" t="e">
        <f t="shared" ca="1" si="140"/>
        <v>#N/A</v>
      </c>
      <c r="AM337" s="406" t="e">
        <f t="shared" ca="1" si="140"/>
        <v>#N/A</v>
      </c>
      <c r="AN337" s="406" t="e">
        <f t="shared" ca="1" si="140"/>
        <v>#N/A</v>
      </c>
      <c r="AO337" s="406" t="e">
        <f t="shared" ca="1" si="140"/>
        <v>#N/A</v>
      </c>
      <c r="AP337" s="406" t="e">
        <f t="shared" ca="1" si="140"/>
        <v>#N/A</v>
      </c>
      <c r="AQ337" s="406" t="e">
        <f t="shared" ca="1" si="140"/>
        <v>#N/A</v>
      </c>
      <c r="AR337" s="406" t="e">
        <f t="shared" ca="1" si="144"/>
        <v>#N/A</v>
      </c>
      <c r="AS337" s="406" t="e">
        <f t="shared" ca="1" si="144"/>
        <v>#N/A</v>
      </c>
      <c r="AT337" s="406" t="e">
        <f t="shared" ca="1" si="144"/>
        <v>#N/A</v>
      </c>
      <c r="AU337" s="406" t="e">
        <f t="shared" ca="1" si="144"/>
        <v>#N/A</v>
      </c>
      <c r="AV337" s="406" t="e">
        <f t="shared" ca="1" si="144"/>
        <v>#N/A</v>
      </c>
      <c r="AW337" s="406" t="e">
        <f t="shared" ca="1" si="144"/>
        <v>#N/A</v>
      </c>
      <c r="AX337" s="406" t="e">
        <f t="shared" ca="1" si="144"/>
        <v>#N/A</v>
      </c>
      <c r="AY337" s="406" t="e">
        <f t="shared" ca="1" si="144"/>
        <v>#N/A</v>
      </c>
      <c r="AZ337" s="406" t="e">
        <f t="shared" ca="1" si="144"/>
        <v>#N/A</v>
      </c>
      <c r="BA337" s="406" t="e">
        <f t="shared" ca="1" si="144"/>
        <v>#N/A</v>
      </c>
      <c r="BB337" s="408"/>
      <c r="BC337" s="408" t="str">
        <f t="shared" ca="1" si="141"/>
        <v/>
      </c>
      <c r="BD337" s="408" t="s">
        <v>1278</v>
      </c>
      <c r="BE337" s="408" t="s">
        <v>1278</v>
      </c>
    </row>
    <row r="338" spans="3:57" x14ac:dyDescent="0.25">
      <c r="C338" s="406">
        <f t="shared" si="143"/>
        <v>336</v>
      </c>
      <c r="D338" s="406" t="e">
        <f t="shared" ca="1" si="142"/>
        <v>#N/A</v>
      </c>
      <c r="E338" s="406" t="e">
        <f t="shared" ca="1" si="142"/>
        <v>#N/A</v>
      </c>
      <c r="F338" s="406" t="e">
        <f t="shared" ca="1" si="142"/>
        <v>#N/A</v>
      </c>
      <c r="G338" s="406" t="e">
        <f t="shared" ca="1" si="142"/>
        <v>#N/A</v>
      </c>
      <c r="H338" s="406" t="e">
        <f t="shared" ca="1" si="142"/>
        <v>#N/A</v>
      </c>
      <c r="I338" s="406" t="e">
        <f t="shared" ca="1" si="142"/>
        <v>#N/A</v>
      </c>
      <c r="J338" s="406" t="e">
        <f t="shared" ca="1" si="142"/>
        <v>#N/A</v>
      </c>
      <c r="K338" s="406" t="e">
        <f t="shared" ca="1" si="142"/>
        <v>#N/A</v>
      </c>
      <c r="L338" s="406" t="e">
        <f t="shared" ca="1" si="142"/>
        <v>#N/A</v>
      </c>
      <c r="M338" s="406" t="e">
        <f t="shared" ca="1" si="142"/>
        <v>#N/A</v>
      </c>
      <c r="N338" s="406" t="e">
        <f t="shared" ca="1" si="139"/>
        <v>#N/A</v>
      </c>
      <c r="O338" s="406" t="e">
        <f t="shared" ca="1" si="139"/>
        <v>#N/A</v>
      </c>
      <c r="P338" s="406" t="e">
        <f t="shared" ca="1" si="139"/>
        <v>#N/A</v>
      </c>
      <c r="Q338" s="406" t="e">
        <f t="shared" ca="1" si="139"/>
        <v>#N/A</v>
      </c>
      <c r="R338" s="406" t="e">
        <f t="shared" ca="1" si="139"/>
        <v>#N/A</v>
      </c>
      <c r="S338" s="406" t="e">
        <f t="shared" ca="1" si="139"/>
        <v>#N/A</v>
      </c>
      <c r="T338" s="406" t="e">
        <f t="shared" ca="1" si="139"/>
        <v>#N/A</v>
      </c>
      <c r="U338" s="406" t="e">
        <f t="shared" ca="1" si="139"/>
        <v>#N/A</v>
      </c>
      <c r="V338" s="406" t="e">
        <f t="shared" ca="1" si="139"/>
        <v>#N/A</v>
      </c>
      <c r="W338" s="406" t="e">
        <f t="shared" ca="1" si="139"/>
        <v>#N/A</v>
      </c>
      <c r="X338" s="406" t="e">
        <f t="shared" ca="1" si="138"/>
        <v>#N/A</v>
      </c>
      <c r="Y338" s="406" t="e">
        <f t="shared" ca="1" si="138"/>
        <v>#N/A</v>
      </c>
      <c r="Z338" s="406" t="e">
        <f t="shared" ca="1" si="138"/>
        <v>#N/A</v>
      </c>
      <c r="AA338" s="406" t="e">
        <f t="shared" ca="1" si="138"/>
        <v>#N/A</v>
      </c>
      <c r="AB338" s="406" t="e">
        <f t="shared" ca="1" si="138"/>
        <v>#N/A</v>
      </c>
      <c r="AC338" s="406" t="e">
        <f t="shared" ca="1" si="138"/>
        <v>#N/A</v>
      </c>
      <c r="AD338" s="406" t="e">
        <f t="shared" ca="1" si="138"/>
        <v>#N/A</v>
      </c>
      <c r="AE338" s="406" t="e">
        <f t="shared" ca="1" si="138"/>
        <v>#N/A</v>
      </c>
      <c r="AF338" s="406" t="e">
        <f t="shared" ca="1" si="138"/>
        <v>#N/A</v>
      </c>
      <c r="AG338" s="406" t="e">
        <f t="shared" ca="1" si="138"/>
        <v>#N/A</v>
      </c>
      <c r="AH338" s="406" t="e">
        <f t="shared" ca="1" si="140"/>
        <v>#N/A</v>
      </c>
      <c r="AI338" s="406" t="e">
        <f t="shared" ca="1" si="140"/>
        <v>#N/A</v>
      </c>
      <c r="AJ338" s="406" t="e">
        <f t="shared" ca="1" si="140"/>
        <v>#N/A</v>
      </c>
      <c r="AK338" s="406" t="e">
        <f t="shared" ca="1" si="140"/>
        <v>#N/A</v>
      </c>
      <c r="AL338" s="406" t="e">
        <f t="shared" ca="1" si="140"/>
        <v>#N/A</v>
      </c>
      <c r="AM338" s="406" t="e">
        <f t="shared" ca="1" si="140"/>
        <v>#N/A</v>
      </c>
      <c r="AN338" s="406" t="e">
        <f t="shared" ca="1" si="140"/>
        <v>#N/A</v>
      </c>
      <c r="AO338" s="406" t="e">
        <f t="shared" ca="1" si="140"/>
        <v>#N/A</v>
      </c>
      <c r="AP338" s="406" t="e">
        <f t="shared" ca="1" si="140"/>
        <v>#N/A</v>
      </c>
      <c r="AQ338" s="406" t="e">
        <f t="shared" ca="1" si="140"/>
        <v>#N/A</v>
      </c>
      <c r="AR338" s="406" t="e">
        <f t="shared" ca="1" si="144"/>
        <v>#N/A</v>
      </c>
      <c r="AS338" s="406" t="e">
        <f t="shared" ca="1" si="144"/>
        <v>#N/A</v>
      </c>
      <c r="AT338" s="406" t="e">
        <f t="shared" ca="1" si="144"/>
        <v>#N/A</v>
      </c>
      <c r="AU338" s="406" t="e">
        <f t="shared" ca="1" si="144"/>
        <v>#N/A</v>
      </c>
      <c r="AV338" s="406" t="e">
        <f t="shared" ca="1" si="144"/>
        <v>#N/A</v>
      </c>
      <c r="AW338" s="406" t="e">
        <f t="shared" ca="1" si="144"/>
        <v>#N/A</v>
      </c>
      <c r="AX338" s="406" t="e">
        <f t="shared" ca="1" si="144"/>
        <v>#N/A</v>
      </c>
      <c r="AY338" s="406" t="e">
        <f t="shared" ca="1" si="144"/>
        <v>#N/A</v>
      </c>
      <c r="AZ338" s="406" t="e">
        <f t="shared" ca="1" si="144"/>
        <v>#N/A</v>
      </c>
      <c r="BA338" s="406" t="e">
        <f t="shared" ca="1" si="144"/>
        <v>#N/A</v>
      </c>
      <c r="BB338" s="408"/>
      <c r="BC338" s="408" t="str">
        <f t="shared" ca="1" si="141"/>
        <v/>
      </c>
      <c r="BD338" s="408" t="s">
        <v>1278</v>
      </c>
      <c r="BE338" s="408" t="s">
        <v>1278</v>
      </c>
    </row>
    <row r="339" spans="3:57" ht="15" customHeight="1" x14ac:dyDescent="0.25">
      <c r="C339" s="406">
        <f t="shared" si="143"/>
        <v>337</v>
      </c>
      <c r="D339" s="406" t="e">
        <f t="shared" ca="1" si="142"/>
        <v>#N/A</v>
      </c>
      <c r="E339" s="406" t="e">
        <f t="shared" ca="1" si="142"/>
        <v>#N/A</v>
      </c>
      <c r="F339" s="406" t="e">
        <f t="shared" ca="1" si="142"/>
        <v>#N/A</v>
      </c>
      <c r="G339" s="406" t="e">
        <f t="shared" ca="1" si="142"/>
        <v>#N/A</v>
      </c>
      <c r="H339" s="406" t="e">
        <f t="shared" ca="1" si="142"/>
        <v>#N/A</v>
      </c>
      <c r="I339" s="406" t="e">
        <f t="shared" ca="1" si="142"/>
        <v>#N/A</v>
      </c>
      <c r="J339" s="406" t="e">
        <f t="shared" ca="1" si="142"/>
        <v>#N/A</v>
      </c>
      <c r="K339" s="406" t="e">
        <f t="shared" ca="1" si="142"/>
        <v>#N/A</v>
      </c>
      <c r="L339" s="406" t="e">
        <f t="shared" ca="1" si="142"/>
        <v>#N/A</v>
      </c>
      <c r="M339" s="406" t="e">
        <f t="shared" ca="1" si="142"/>
        <v>#N/A</v>
      </c>
      <c r="N339" s="406" t="e">
        <f t="shared" ca="1" si="139"/>
        <v>#N/A</v>
      </c>
      <c r="O339" s="406" t="e">
        <f t="shared" ca="1" si="139"/>
        <v>#N/A</v>
      </c>
      <c r="P339" s="406" t="e">
        <f t="shared" ca="1" si="139"/>
        <v>#N/A</v>
      </c>
      <c r="Q339" s="406" t="e">
        <f t="shared" ca="1" si="139"/>
        <v>#N/A</v>
      </c>
      <c r="R339" s="406" t="e">
        <f t="shared" ca="1" si="139"/>
        <v>#N/A</v>
      </c>
      <c r="S339" s="406" t="e">
        <f t="shared" ca="1" si="139"/>
        <v>#N/A</v>
      </c>
      <c r="T339" s="406" t="e">
        <f t="shared" ca="1" si="139"/>
        <v>#N/A</v>
      </c>
      <c r="U339" s="406" t="e">
        <f t="shared" ca="1" si="139"/>
        <v>#N/A</v>
      </c>
      <c r="V339" s="406" t="e">
        <f t="shared" ca="1" si="139"/>
        <v>#N/A</v>
      </c>
      <c r="W339" s="406" t="e">
        <f t="shared" ca="1" si="139"/>
        <v>#N/A</v>
      </c>
      <c r="X339" s="406" t="e">
        <f t="shared" ca="1" si="138"/>
        <v>#N/A</v>
      </c>
      <c r="Y339" s="406" t="e">
        <f t="shared" ca="1" si="138"/>
        <v>#N/A</v>
      </c>
      <c r="Z339" s="406" t="e">
        <f t="shared" ca="1" si="138"/>
        <v>#N/A</v>
      </c>
      <c r="AA339" s="406" t="e">
        <f t="shared" ca="1" si="138"/>
        <v>#N/A</v>
      </c>
      <c r="AB339" s="406" t="e">
        <f t="shared" ca="1" si="138"/>
        <v>#N/A</v>
      </c>
      <c r="AC339" s="406" t="e">
        <f t="shared" ca="1" si="138"/>
        <v>#N/A</v>
      </c>
      <c r="AD339" s="406" t="e">
        <f t="shared" ca="1" si="138"/>
        <v>#N/A</v>
      </c>
      <c r="AE339" s="406" t="e">
        <f t="shared" ca="1" si="138"/>
        <v>#N/A</v>
      </c>
      <c r="AF339" s="406" t="e">
        <f t="shared" ca="1" si="138"/>
        <v>#N/A</v>
      </c>
      <c r="AG339" s="406" t="e">
        <f t="shared" ca="1" si="138"/>
        <v>#N/A</v>
      </c>
      <c r="AH339" s="406" t="e">
        <f t="shared" ca="1" si="140"/>
        <v>#N/A</v>
      </c>
      <c r="AI339" s="406" t="e">
        <f t="shared" ca="1" si="140"/>
        <v>#N/A</v>
      </c>
      <c r="AJ339" s="406" t="e">
        <f t="shared" ca="1" si="140"/>
        <v>#N/A</v>
      </c>
      <c r="AK339" s="406" t="e">
        <f t="shared" ca="1" si="140"/>
        <v>#N/A</v>
      </c>
      <c r="AL339" s="406" t="e">
        <f t="shared" ca="1" si="140"/>
        <v>#N/A</v>
      </c>
      <c r="AM339" s="406" t="e">
        <f t="shared" ca="1" si="140"/>
        <v>#N/A</v>
      </c>
      <c r="AN339" s="406" t="e">
        <f t="shared" ca="1" si="140"/>
        <v>#N/A</v>
      </c>
      <c r="AO339" s="406" t="e">
        <f t="shared" ca="1" si="140"/>
        <v>#N/A</v>
      </c>
      <c r="AP339" s="406" t="e">
        <f t="shared" ca="1" si="140"/>
        <v>#N/A</v>
      </c>
      <c r="AQ339" s="406" t="e">
        <f t="shared" ca="1" si="140"/>
        <v>#N/A</v>
      </c>
      <c r="AR339" s="406" t="e">
        <f t="shared" ca="1" si="144"/>
        <v>#N/A</v>
      </c>
      <c r="AS339" s="406" t="e">
        <f t="shared" ca="1" si="144"/>
        <v>#N/A</v>
      </c>
      <c r="AT339" s="406" t="e">
        <f t="shared" ca="1" si="144"/>
        <v>#N/A</v>
      </c>
      <c r="AU339" s="406" t="e">
        <f t="shared" ca="1" si="144"/>
        <v>#N/A</v>
      </c>
      <c r="AV339" s="406" t="e">
        <f t="shared" ca="1" si="144"/>
        <v>#N/A</v>
      </c>
      <c r="AW339" s="406" t="e">
        <f t="shared" ca="1" si="144"/>
        <v>#N/A</v>
      </c>
      <c r="AX339" s="406" t="e">
        <f t="shared" ca="1" si="144"/>
        <v>#N/A</v>
      </c>
      <c r="AY339" s="406" t="e">
        <f t="shared" ca="1" si="144"/>
        <v>#N/A</v>
      </c>
      <c r="AZ339" s="406" t="e">
        <f t="shared" ca="1" si="144"/>
        <v>#N/A</v>
      </c>
      <c r="BA339" s="406" t="e">
        <f t="shared" ca="1" si="144"/>
        <v>#N/A</v>
      </c>
      <c r="BB339" s="408"/>
      <c r="BC339" s="408" t="str">
        <f t="shared" ca="1" si="141"/>
        <v/>
      </c>
      <c r="BD339" s="408" t="s">
        <v>1278</v>
      </c>
      <c r="BE339" s="408" t="s">
        <v>1278</v>
      </c>
    </row>
    <row r="340" spans="3:57" x14ac:dyDescent="0.25">
      <c r="C340" s="406">
        <f t="shared" si="143"/>
        <v>338</v>
      </c>
      <c r="D340" s="406" t="e">
        <f t="shared" ca="1" si="142"/>
        <v>#N/A</v>
      </c>
      <c r="E340" s="406" t="e">
        <f t="shared" ca="1" si="142"/>
        <v>#N/A</v>
      </c>
      <c r="F340" s="406" t="e">
        <f t="shared" ca="1" si="142"/>
        <v>#N/A</v>
      </c>
      <c r="G340" s="406" t="e">
        <f t="shared" ca="1" si="142"/>
        <v>#N/A</v>
      </c>
      <c r="H340" s="406" t="e">
        <f t="shared" ca="1" si="142"/>
        <v>#N/A</v>
      </c>
      <c r="I340" s="406" t="e">
        <f t="shared" ca="1" si="142"/>
        <v>#N/A</v>
      </c>
      <c r="J340" s="406" t="e">
        <f t="shared" ca="1" si="142"/>
        <v>#N/A</v>
      </c>
      <c r="K340" s="406" t="e">
        <f t="shared" ca="1" si="142"/>
        <v>#N/A</v>
      </c>
      <c r="L340" s="406" t="e">
        <f t="shared" ca="1" si="142"/>
        <v>#N/A</v>
      </c>
      <c r="M340" s="406" t="e">
        <f t="shared" ca="1" si="142"/>
        <v>#N/A</v>
      </c>
      <c r="N340" s="406" t="e">
        <f t="shared" ca="1" si="139"/>
        <v>#N/A</v>
      </c>
      <c r="O340" s="406" t="e">
        <f t="shared" ca="1" si="139"/>
        <v>#N/A</v>
      </c>
      <c r="P340" s="406" t="e">
        <f t="shared" ca="1" si="139"/>
        <v>#N/A</v>
      </c>
      <c r="Q340" s="406" t="e">
        <f t="shared" ca="1" si="139"/>
        <v>#N/A</v>
      </c>
      <c r="R340" s="406" t="e">
        <f t="shared" ca="1" si="139"/>
        <v>#N/A</v>
      </c>
      <c r="S340" s="406" t="e">
        <f t="shared" ca="1" si="139"/>
        <v>#N/A</v>
      </c>
      <c r="T340" s="406" t="e">
        <f t="shared" ca="1" si="139"/>
        <v>#N/A</v>
      </c>
      <c r="U340" s="406" t="e">
        <f t="shared" ca="1" si="139"/>
        <v>#N/A</v>
      </c>
      <c r="V340" s="406" t="e">
        <f t="shared" ca="1" si="139"/>
        <v>#N/A</v>
      </c>
      <c r="W340" s="406" t="e">
        <f t="shared" ca="1" si="139"/>
        <v>#N/A</v>
      </c>
      <c r="X340" s="406" t="e">
        <f t="shared" ca="1" si="138"/>
        <v>#N/A</v>
      </c>
      <c r="Y340" s="406" t="e">
        <f t="shared" ref="X340:AG365" ca="1" si="145">TRIM(INDIRECT("'" &amp; "TNX RTF" &amp; "'!" &amp; ADDRESS($A$3+$C340,Y$1)))</f>
        <v>#N/A</v>
      </c>
      <c r="Z340" s="406" t="e">
        <f t="shared" ca="1" si="145"/>
        <v>#N/A</v>
      </c>
      <c r="AA340" s="406" t="e">
        <f t="shared" ca="1" si="145"/>
        <v>#N/A</v>
      </c>
      <c r="AB340" s="406" t="e">
        <f t="shared" ca="1" si="145"/>
        <v>#N/A</v>
      </c>
      <c r="AC340" s="406" t="e">
        <f t="shared" ca="1" si="145"/>
        <v>#N/A</v>
      </c>
      <c r="AD340" s="406" t="e">
        <f t="shared" ca="1" si="145"/>
        <v>#N/A</v>
      </c>
      <c r="AE340" s="406" t="e">
        <f t="shared" ca="1" si="145"/>
        <v>#N/A</v>
      </c>
      <c r="AF340" s="406" t="e">
        <f t="shared" ca="1" si="145"/>
        <v>#N/A</v>
      </c>
      <c r="AG340" s="406" t="e">
        <f t="shared" ca="1" si="145"/>
        <v>#N/A</v>
      </c>
      <c r="AH340" s="406" t="e">
        <f t="shared" ca="1" si="140"/>
        <v>#N/A</v>
      </c>
      <c r="AI340" s="406" t="e">
        <f t="shared" ca="1" si="140"/>
        <v>#N/A</v>
      </c>
      <c r="AJ340" s="406" t="e">
        <f t="shared" ca="1" si="140"/>
        <v>#N/A</v>
      </c>
      <c r="AK340" s="406" t="e">
        <f t="shared" ca="1" si="140"/>
        <v>#N/A</v>
      </c>
      <c r="AL340" s="406" t="e">
        <f t="shared" ca="1" si="140"/>
        <v>#N/A</v>
      </c>
      <c r="AM340" s="406" t="e">
        <f t="shared" ca="1" si="140"/>
        <v>#N/A</v>
      </c>
      <c r="AN340" s="406" t="e">
        <f t="shared" ca="1" si="140"/>
        <v>#N/A</v>
      </c>
      <c r="AO340" s="406" t="e">
        <f t="shared" ca="1" si="140"/>
        <v>#N/A</v>
      </c>
      <c r="AP340" s="406" t="e">
        <f t="shared" ca="1" si="140"/>
        <v>#N/A</v>
      </c>
      <c r="AQ340" s="406" t="e">
        <f t="shared" ca="1" si="140"/>
        <v>#N/A</v>
      </c>
      <c r="AR340" s="406" t="e">
        <f t="shared" ca="1" si="144"/>
        <v>#N/A</v>
      </c>
      <c r="AS340" s="406" t="e">
        <f t="shared" ca="1" si="144"/>
        <v>#N/A</v>
      </c>
      <c r="AT340" s="406" t="e">
        <f t="shared" ca="1" si="144"/>
        <v>#N/A</v>
      </c>
      <c r="AU340" s="406" t="e">
        <f t="shared" ca="1" si="144"/>
        <v>#N/A</v>
      </c>
      <c r="AV340" s="406" t="e">
        <f t="shared" ca="1" si="144"/>
        <v>#N/A</v>
      </c>
      <c r="AW340" s="406" t="e">
        <f t="shared" ca="1" si="144"/>
        <v>#N/A</v>
      </c>
      <c r="AX340" s="406" t="e">
        <f t="shared" ca="1" si="144"/>
        <v>#N/A</v>
      </c>
      <c r="AY340" s="406" t="e">
        <f t="shared" ca="1" si="144"/>
        <v>#N/A</v>
      </c>
      <c r="AZ340" s="406" t="e">
        <f t="shared" ca="1" si="144"/>
        <v>#N/A</v>
      </c>
      <c r="BA340" s="406" t="e">
        <f t="shared" ca="1" si="144"/>
        <v>#N/A</v>
      </c>
      <c r="BB340" s="408"/>
      <c r="BC340" s="408" t="str">
        <f t="shared" ca="1" si="141"/>
        <v/>
      </c>
      <c r="BD340" s="408" t="s">
        <v>1278</v>
      </c>
      <c r="BE340" s="408" t="s">
        <v>1278</v>
      </c>
    </row>
    <row r="341" spans="3:57" x14ac:dyDescent="0.25">
      <c r="C341" s="406">
        <f t="shared" si="143"/>
        <v>339</v>
      </c>
      <c r="D341" s="406" t="e">
        <f t="shared" ca="1" si="142"/>
        <v>#N/A</v>
      </c>
      <c r="E341" s="406" t="e">
        <f t="shared" ca="1" si="142"/>
        <v>#N/A</v>
      </c>
      <c r="F341" s="406" t="e">
        <f t="shared" ca="1" si="142"/>
        <v>#N/A</v>
      </c>
      <c r="G341" s="406" t="e">
        <f t="shared" ca="1" si="142"/>
        <v>#N/A</v>
      </c>
      <c r="H341" s="406" t="e">
        <f t="shared" ca="1" si="142"/>
        <v>#N/A</v>
      </c>
      <c r="I341" s="406" t="e">
        <f t="shared" ca="1" si="142"/>
        <v>#N/A</v>
      </c>
      <c r="J341" s="406" t="e">
        <f t="shared" ca="1" si="142"/>
        <v>#N/A</v>
      </c>
      <c r="K341" s="406" t="e">
        <f t="shared" ca="1" si="142"/>
        <v>#N/A</v>
      </c>
      <c r="L341" s="406" t="e">
        <f t="shared" ca="1" si="142"/>
        <v>#N/A</v>
      </c>
      <c r="M341" s="406" t="e">
        <f t="shared" ca="1" si="142"/>
        <v>#N/A</v>
      </c>
      <c r="N341" s="406" t="e">
        <f t="shared" ca="1" si="139"/>
        <v>#N/A</v>
      </c>
      <c r="O341" s="406" t="e">
        <f t="shared" ca="1" si="139"/>
        <v>#N/A</v>
      </c>
      <c r="P341" s="406" t="e">
        <f t="shared" ca="1" si="139"/>
        <v>#N/A</v>
      </c>
      <c r="Q341" s="406" t="e">
        <f t="shared" ca="1" si="139"/>
        <v>#N/A</v>
      </c>
      <c r="R341" s="406" t="e">
        <f t="shared" ca="1" si="139"/>
        <v>#N/A</v>
      </c>
      <c r="S341" s="406" t="e">
        <f t="shared" ca="1" si="139"/>
        <v>#N/A</v>
      </c>
      <c r="T341" s="406" t="e">
        <f t="shared" ca="1" si="139"/>
        <v>#N/A</v>
      </c>
      <c r="U341" s="406" t="e">
        <f t="shared" ca="1" si="139"/>
        <v>#N/A</v>
      </c>
      <c r="V341" s="406" t="e">
        <f t="shared" ca="1" si="139"/>
        <v>#N/A</v>
      </c>
      <c r="W341" s="406" t="e">
        <f t="shared" ca="1" si="139"/>
        <v>#N/A</v>
      </c>
      <c r="X341" s="406" t="e">
        <f t="shared" ca="1" si="145"/>
        <v>#N/A</v>
      </c>
      <c r="Y341" s="406" t="e">
        <f t="shared" ca="1" si="145"/>
        <v>#N/A</v>
      </c>
      <c r="Z341" s="406" t="e">
        <f t="shared" ca="1" si="145"/>
        <v>#N/A</v>
      </c>
      <c r="AA341" s="406" t="e">
        <f t="shared" ca="1" si="145"/>
        <v>#N/A</v>
      </c>
      <c r="AB341" s="406" t="e">
        <f t="shared" ca="1" si="145"/>
        <v>#N/A</v>
      </c>
      <c r="AC341" s="406" t="e">
        <f t="shared" ca="1" si="145"/>
        <v>#N/A</v>
      </c>
      <c r="AD341" s="406" t="e">
        <f t="shared" ca="1" si="145"/>
        <v>#N/A</v>
      </c>
      <c r="AE341" s="406" t="e">
        <f t="shared" ca="1" si="145"/>
        <v>#N/A</v>
      </c>
      <c r="AF341" s="406" t="e">
        <f t="shared" ca="1" si="145"/>
        <v>#N/A</v>
      </c>
      <c r="AG341" s="406" t="e">
        <f t="shared" ca="1" si="145"/>
        <v>#N/A</v>
      </c>
      <c r="AH341" s="406" t="e">
        <f t="shared" ca="1" si="140"/>
        <v>#N/A</v>
      </c>
      <c r="AI341" s="406" t="e">
        <f t="shared" ca="1" si="140"/>
        <v>#N/A</v>
      </c>
      <c r="AJ341" s="406" t="e">
        <f t="shared" ca="1" si="140"/>
        <v>#N/A</v>
      </c>
      <c r="AK341" s="406" t="e">
        <f t="shared" ca="1" si="140"/>
        <v>#N/A</v>
      </c>
      <c r="AL341" s="406" t="e">
        <f t="shared" ca="1" si="140"/>
        <v>#N/A</v>
      </c>
      <c r="AM341" s="406" t="e">
        <f t="shared" ca="1" si="140"/>
        <v>#N/A</v>
      </c>
      <c r="AN341" s="406" t="e">
        <f t="shared" ca="1" si="140"/>
        <v>#N/A</v>
      </c>
      <c r="AO341" s="406" t="e">
        <f t="shared" ca="1" si="140"/>
        <v>#N/A</v>
      </c>
      <c r="AP341" s="406" t="e">
        <f t="shared" ca="1" si="140"/>
        <v>#N/A</v>
      </c>
      <c r="AQ341" s="406" t="e">
        <f t="shared" ca="1" si="140"/>
        <v>#N/A</v>
      </c>
      <c r="AR341" s="406" t="e">
        <f t="shared" ca="1" si="144"/>
        <v>#N/A</v>
      </c>
      <c r="AS341" s="406" t="e">
        <f t="shared" ca="1" si="144"/>
        <v>#N/A</v>
      </c>
      <c r="AT341" s="406" t="e">
        <f t="shared" ca="1" si="144"/>
        <v>#N/A</v>
      </c>
      <c r="AU341" s="406" t="e">
        <f t="shared" ca="1" si="144"/>
        <v>#N/A</v>
      </c>
      <c r="AV341" s="406" t="e">
        <f t="shared" ca="1" si="144"/>
        <v>#N/A</v>
      </c>
      <c r="AW341" s="406" t="e">
        <f t="shared" ca="1" si="144"/>
        <v>#N/A</v>
      </c>
      <c r="AX341" s="406" t="e">
        <f t="shared" ca="1" si="144"/>
        <v>#N/A</v>
      </c>
      <c r="AY341" s="406" t="e">
        <f t="shared" ca="1" si="144"/>
        <v>#N/A</v>
      </c>
      <c r="AZ341" s="406" t="e">
        <f t="shared" ca="1" si="144"/>
        <v>#N/A</v>
      </c>
      <c r="BA341" s="406" t="e">
        <f t="shared" ca="1" si="144"/>
        <v>#N/A</v>
      </c>
      <c r="BB341" s="408"/>
      <c r="BC341" s="408" t="str">
        <f t="shared" ca="1" si="141"/>
        <v/>
      </c>
      <c r="BD341" s="408" t="s">
        <v>1278</v>
      </c>
      <c r="BE341" s="408" t="s">
        <v>1278</v>
      </c>
    </row>
    <row r="342" spans="3:57" ht="15" customHeight="1" x14ac:dyDescent="0.25">
      <c r="C342" s="406">
        <f t="shared" si="143"/>
        <v>340</v>
      </c>
      <c r="D342" s="406" t="e">
        <f t="shared" ca="1" si="142"/>
        <v>#N/A</v>
      </c>
      <c r="E342" s="406" t="e">
        <f t="shared" ca="1" si="142"/>
        <v>#N/A</v>
      </c>
      <c r="F342" s="406" t="e">
        <f t="shared" ca="1" si="142"/>
        <v>#N/A</v>
      </c>
      <c r="G342" s="406" t="e">
        <f t="shared" ca="1" si="142"/>
        <v>#N/A</v>
      </c>
      <c r="H342" s="406" t="e">
        <f t="shared" ca="1" si="142"/>
        <v>#N/A</v>
      </c>
      <c r="I342" s="406" t="e">
        <f t="shared" ca="1" si="142"/>
        <v>#N/A</v>
      </c>
      <c r="J342" s="406" t="e">
        <f t="shared" ca="1" si="142"/>
        <v>#N/A</v>
      </c>
      <c r="K342" s="406" t="e">
        <f t="shared" ca="1" si="142"/>
        <v>#N/A</v>
      </c>
      <c r="L342" s="406" t="e">
        <f t="shared" ca="1" si="142"/>
        <v>#N/A</v>
      </c>
      <c r="M342" s="406" t="e">
        <f t="shared" ca="1" si="142"/>
        <v>#N/A</v>
      </c>
      <c r="N342" s="406" t="e">
        <f t="shared" ca="1" si="139"/>
        <v>#N/A</v>
      </c>
      <c r="O342" s="406" t="e">
        <f t="shared" ca="1" si="139"/>
        <v>#N/A</v>
      </c>
      <c r="P342" s="406" t="e">
        <f t="shared" ca="1" si="139"/>
        <v>#N/A</v>
      </c>
      <c r="Q342" s="406" t="e">
        <f t="shared" ca="1" si="139"/>
        <v>#N/A</v>
      </c>
      <c r="R342" s="406" t="e">
        <f t="shared" ca="1" si="139"/>
        <v>#N/A</v>
      </c>
      <c r="S342" s="406" t="e">
        <f t="shared" ca="1" si="139"/>
        <v>#N/A</v>
      </c>
      <c r="T342" s="406" t="e">
        <f t="shared" ca="1" si="139"/>
        <v>#N/A</v>
      </c>
      <c r="U342" s="406" t="e">
        <f t="shared" ca="1" si="139"/>
        <v>#N/A</v>
      </c>
      <c r="V342" s="406" t="e">
        <f t="shared" ca="1" si="139"/>
        <v>#N/A</v>
      </c>
      <c r="W342" s="406" t="e">
        <f t="shared" ca="1" si="139"/>
        <v>#N/A</v>
      </c>
      <c r="X342" s="406" t="e">
        <f t="shared" ca="1" si="145"/>
        <v>#N/A</v>
      </c>
      <c r="Y342" s="406" t="e">
        <f t="shared" ca="1" si="145"/>
        <v>#N/A</v>
      </c>
      <c r="Z342" s="406" t="e">
        <f t="shared" ca="1" si="145"/>
        <v>#N/A</v>
      </c>
      <c r="AA342" s="406" t="e">
        <f t="shared" ca="1" si="145"/>
        <v>#N/A</v>
      </c>
      <c r="AB342" s="406" t="e">
        <f t="shared" ca="1" si="145"/>
        <v>#N/A</v>
      </c>
      <c r="AC342" s="406" t="e">
        <f t="shared" ca="1" si="145"/>
        <v>#N/A</v>
      </c>
      <c r="AD342" s="406" t="e">
        <f t="shared" ca="1" si="145"/>
        <v>#N/A</v>
      </c>
      <c r="AE342" s="406" t="e">
        <f t="shared" ca="1" si="145"/>
        <v>#N/A</v>
      </c>
      <c r="AF342" s="406" t="e">
        <f t="shared" ca="1" si="145"/>
        <v>#N/A</v>
      </c>
      <c r="AG342" s="406" t="e">
        <f t="shared" ca="1" si="145"/>
        <v>#N/A</v>
      </c>
      <c r="AH342" s="406" t="e">
        <f t="shared" ca="1" si="140"/>
        <v>#N/A</v>
      </c>
      <c r="AI342" s="406" t="e">
        <f t="shared" ca="1" si="140"/>
        <v>#N/A</v>
      </c>
      <c r="AJ342" s="406" t="e">
        <f t="shared" ca="1" si="140"/>
        <v>#N/A</v>
      </c>
      <c r="AK342" s="406" t="e">
        <f t="shared" ca="1" si="140"/>
        <v>#N/A</v>
      </c>
      <c r="AL342" s="406" t="e">
        <f t="shared" ca="1" si="140"/>
        <v>#N/A</v>
      </c>
      <c r="AM342" s="406" t="e">
        <f t="shared" ca="1" si="140"/>
        <v>#N/A</v>
      </c>
      <c r="AN342" s="406" t="e">
        <f t="shared" ca="1" si="140"/>
        <v>#N/A</v>
      </c>
      <c r="AO342" s="406" t="e">
        <f t="shared" ca="1" si="140"/>
        <v>#N/A</v>
      </c>
      <c r="AP342" s="406" t="e">
        <f t="shared" ca="1" si="140"/>
        <v>#N/A</v>
      </c>
      <c r="AQ342" s="406" t="e">
        <f t="shared" ca="1" si="140"/>
        <v>#N/A</v>
      </c>
      <c r="AR342" s="406" t="e">
        <f t="shared" ca="1" si="144"/>
        <v>#N/A</v>
      </c>
      <c r="AS342" s="406" t="e">
        <f t="shared" ca="1" si="144"/>
        <v>#N/A</v>
      </c>
      <c r="AT342" s="406" t="e">
        <f t="shared" ca="1" si="144"/>
        <v>#N/A</v>
      </c>
      <c r="AU342" s="406" t="e">
        <f t="shared" ca="1" si="144"/>
        <v>#N/A</v>
      </c>
      <c r="AV342" s="406" t="e">
        <f t="shared" ca="1" si="144"/>
        <v>#N/A</v>
      </c>
      <c r="AW342" s="406" t="e">
        <f t="shared" ca="1" si="144"/>
        <v>#N/A</v>
      </c>
      <c r="AX342" s="406" t="e">
        <f t="shared" ca="1" si="144"/>
        <v>#N/A</v>
      </c>
      <c r="AY342" s="406" t="e">
        <f t="shared" ca="1" si="144"/>
        <v>#N/A</v>
      </c>
      <c r="AZ342" s="406" t="e">
        <f t="shared" ca="1" si="144"/>
        <v>#N/A</v>
      </c>
      <c r="BA342" s="406" t="e">
        <f t="shared" ca="1" si="144"/>
        <v>#N/A</v>
      </c>
      <c r="BB342" s="408"/>
      <c r="BC342" s="408" t="str">
        <f t="shared" ca="1" si="141"/>
        <v/>
      </c>
      <c r="BD342" s="408" t="s">
        <v>1278</v>
      </c>
      <c r="BE342" s="408" t="s">
        <v>1278</v>
      </c>
    </row>
    <row r="343" spans="3:57" x14ac:dyDescent="0.25">
      <c r="C343" s="406">
        <f t="shared" si="143"/>
        <v>341</v>
      </c>
      <c r="D343" s="406" t="e">
        <f t="shared" ca="1" si="142"/>
        <v>#N/A</v>
      </c>
      <c r="E343" s="406" t="e">
        <f t="shared" ca="1" si="142"/>
        <v>#N/A</v>
      </c>
      <c r="F343" s="406" t="e">
        <f t="shared" ca="1" si="142"/>
        <v>#N/A</v>
      </c>
      <c r="G343" s="406" t="e">
        <f t="shared" ca="1" si="142"/>
        <v>#N/A</v>
      </c>
      <c r="H343" s="406" t="e">
        <f t="shared" ca="1" si="142"/>
        <v>#N/A</v>
      </c>
      <c r="I343" s="406" t="e">
        <f t="shared" ca="1" si="142"/>
        <v>#N/A</v>
      </c>
      <c r="J343" s="406" t="e">
        <f t="shared" ca="1" si="142"/>
        <v>#N/A</v>
      </c>
      <c r="K343" s="406" t="e">
        <f t="shared" ca="1" si="142"/>
        <v>#N/A</v>
      </c>
      <c r="L343" s="406" t="e">
        <f t="shared" ca="1" si="142"/>
        <v>#N/A</v>
      </c>
      <c r="M343" s="406" t="e">
        <f t="shared" ca="1" si="142"/>
        <v>#N/A</v>
      </c>
      <c r="N343" s="406" t="e">
        <f t="shared" ca="1" si="139"/>
        <v>#N/A</v>
      </c>
      <c r="O343" s="406" t="e">
        <f t="shared" ca="1" si="139"/>
        <v>#N/A</v>
      </c>
      <c r="P343" s="406" t="e">
        <f t="shared" ca="1" si="139"/>
        <v>#N/A</v>
      </c>
      <c r="Q343" s="406" t="e">
        <f t="shared" ca="1" si="139"/>
        <v>#N/A</v>
      </c>
      <c r="R343" s="406" t="e">
        <f t="shared" ca="1" si="139"/>
        <v>#N/A</v>
      </c>
      <c r="S343" s="406" t="e">
        <f t="shared" ca="1" si="139"/>
        <v>#N/A</v>
      </c>
      <c r="T343" s="406" t="e">
        <f t="shared" ca="1" si="139"/>
        <v>#N/A</v>
      </c>
      <c r="U343" s="406" t="e">
        <f t="shared" ca="1" si="139"/>
        <v>#N/A</v>
      </c>
      <c r="V343" s="406" t="e">
        <f t="shared" ca="1" si="139"/>
        <v>#N/A</v>
      </c>
      <c r="W343" s="406" t="e">
        <f t="shared" ca="1" si="139"/>
        <v>#N/A</v>
      </c>
      <c r="X343" s="406" t="e">
        <f t="shared" ca="1" si="145"/>
        <v>#N/A</v>
      </c>
      <c r="Y343" s="406" t="e">
        <f t="shared" ca="1" si="145"/>
        <v>#N/A</v>
      </c>
      <c r="Z343" s="406" t="e">
        <f t="shared" ca="1" si="145"/>
        <v>#N/A</v>
      </c>
      <c r="AA343" s="406" t="e">
        <f t="shared" ca="1" si="145"/>
        <v>#N/A</v>
      </c>
      <c r="AB343" s="406" t="e">
        <f t="shared" ca="1" si="145"/>
        <v>#N/A</v>
      </c>
      <c r="AC343" s="406" t="e">
        <f t="shared" ca="1" si="145"/>
        <v>#N/A</v>
      </c>
      <c r="AD343" s="406" t="e">
        <f t="shared" ca="1" si="145"/>
        <v>#N/A</v>
      </c>
      <c r="AE343" s="406" t="e">
        <f t="shared" ca="1" si="145"/>
        <v>#N/A</v>
      </c>
      <c r="AF343" s="406" t="e">
        <f t="shared" ca="1" si="145"/>
        <v>#N/A</v>
      </c>
      <c r="AG343" s="406" t="e">
        <f t="shared" ca="1" si="145"/>
        <v>#N/A</v>
      </c>
      <c r="AH343" s="406" t="e">
        <f t="shared" ca="1" si="140"/>
        <v>#N/A</v>
      </c>
      <c r="AI343" s="406" t="e">
        <f t="shared" ca="1" si="140"/>
        <v>#N/A</v>
      </c>
      <c r="AJ343" s="406" t="e">
        <f t="shared" ca="1" si="140"/>
        <v>#N/A</v>
      </c>
      <c r="AK343" s="406" t="e">
        <f t="shared" ca="1" si="140"/>
        <v>#N/A</v>
      </c>
      <c r="AL343" s="406" t="e">
        <f t="shared" ca="1" si="140"/>
        <v>#N/A</v>
      </c>
      <c r="AM343" s="406" t="e">
        <f t="shared" ca="1" si="140"/>
        <v>#N/A</v>
      </c>
      <c r="AN343" s="406" t="e">
        <f t="shared" ca="1" si="140"/>
        <v>#N/A</v>
      </c>
      <c r="AO343" s="406" t="e">
        <f t="shared" ca="1" si="140"/>
        <v>#N/A</v>
      </c>
      <c r="AP343" s="406" t="e">
        <f t="shared" ca="1" si="140"/>
        <v>#N/A</v>
      </c>
      <c r="AQ343" s="406" t="e">
        <f t="shared" ca="1" si="140"/>
        <v>#N/A</v>
      </c>
      <c r="AR343" s="406" t="e">
        <f t="shared" ca="1" si="144"/>
        <v>#N/A</v>
      </c>
      <c r="AS343" s="406" t="e">
        <f t="shared" ca="1" si="144"/>
        <v>#N/A</v>
      </c>
      <c r="AT343" s="406" t="e">
        <f t="shared" ca="1" si="144"/>
        <v>#N/A</v>
      </c>
      <c r="AU343" s="406" t="e">
        <f t="shared" ca="1" si="144"/>
        <v>#N/A</v>
      </c>
      <c r="AV343" s="406" t="e">
        <f t="shared" ca="1" si="144"/>
        <v>#N/A</v>
      </c>
      <c r="AW343" s="406" t="e">
        <f t="shared" ca="1" si="144"/>
        <v>#N/A</v>
      </c>
      <c r="AX343" s="406" t="e">
        <f t="shared" ca="1" si="144"/>
        <v>#N/A</v>
      </c>
      <c r="AY343" s="406" t="e">
        <f t="shared" ca="1" si="144"/>
        <v>#N/A</v>
      </c>
      <c r="AZ343" s="406" t="e">
        <f t="shared" ca="1" si="144"/>
        <v>#N/A</v>
      </c>
      <c r="BA343" s="406" t="e">
        <f t="shared" ca="1" si="144"/>
        <v>#N/A</v>
      </c>
      <c r="BB343" s="408"/>
      <c r="BC343" s="408" t="str">
        <f t="shared" ca="1" si="141"/>
        <v/>
      </c>
      <c r="BD343" s="408" t="s">
        <v>1278</v>
      </c>
      <c r="BE343" s="408" t="s">
        <v>1278</v>
      </c>
    </row>
    <row r="344" spans="3:57" x14ac:dyDescent="0.25">
      <c r="C344" s="406">
        <f t="shared" si="143"/>
        <v>342</v>
      </c>
      <c r="D344" s="406" t="e">
        <f t="shared" ca="1" si="142"/>
        <v>#N/A</v>
      </c>
      <c r="E344" s="406" t="e">
        <f t="shared" ca="1" si="142"/>
        <v>#N/A</v>
      </c>
      <c r="F344" s="406" t="e">
        <f t="shared" ca="1" si="142"/>
        <v>#N/A</v>
      </c>
      <c r="G344" s="406" t="e">
        <f t="shared" ca="1" si="142"/>
        <v>#N/A</v>
      </c>
      <c r="H344" s="406" t="e">
        <f t="shared" ca="1" si="142"/>
        <v>#N/A</v>
      </c>
      <c r="I344" s="406" t="e">
        <f t="shared" ca="1" si="142"/>
        <v>#N/A</v>
      </c>
      <c r="J344" s="406" t="e">
        <f t="shared" ca="1" si="142"/>
        <v>#N/A</v>
      </c>
      <c r="K344" s="406" t="e">
        <f t="shared" ca="1" si="142"/>
        <v>#N/A</v>
      </c>
      <c r="L344" s="406" t="e">
        <f t="shared" ca="1" si="142"/>
        <v>#N/A</v>
      </c>
      <c r="M344" s="406" t="e">
        <f t="shared" ca="1" si="142"/>
        <v>#N/A</v>
      </c>
      <c r="N344" s="406" t="e">
        <f t="shared" ca="1" si="139"/>
        <v>#N/A</v>
      </c>
      <c r="O344" s="406" t="e">
        <f t="shared" ca="1" si="139"/>
        <v>#N/A</v>
      </c>
      <c r="P344" s="406" t="e">
        <f t="shared" ca="1" si="139"/>
        <v>#N/A</v>
      </c>
      <c r="Q344" s="406" t="e">
        <f t="shared" ca="1" si="139"/>
        <v>#N/A</v>
      </c>
      <c r="R344" s="406" t="e">
        <f t="shared" ca="1" si="139"/>
        <v>#N/A</v>
      </c>
      <c r="S344" s="406" t="e">
        <f t="shared" ca="1" si="139"/>
        <v>#N/A</v>
      </c>
      <c r="T344" s="406" t="e">
        <f t="shared" ca="1" si="139"/>
        <v>#N/A</v>
      </c>
      <c r="U344" s="406" t="e">
        <f t="shared" ca="1" si="139"/>
        <v>#N/A</v>
      </c>
      <c r="V344" s="406" t="e">
        <f t="shared" ca="1" si="139"/>
        <v>#N/A</v>
      </c>
      <c r="W344" s="406" t="e">
        <f t="shared" ca="1" si="139"/>
        <v>#N/A</v>
      </c>
      <c r="X344" s="406" t="e">
        <f t="shared" ca="1" si="145"/>
        <v>#N/A</v>
      </c>
      <c r="Y344" s="406" t="e">
        <f t="shared" ca="1" si="145"/>
        <v>#N/A</v>
      </c>
      <c r="Z344" s="406" t="e">
        <f t="shared" ca="1" si="145"/>
        <v>#N/A</v>
      </c>
      <c r="AA344" s="406" t="e">
        <f t="shared" ca="1" si="145"/>
        <v>#N/A</v>
      </c>
      <c r="AB344" s="406" t="e">
        <f t="shared" ca="1" si="145"/>
        <v>#N/A</v>
      </c>
      <c r="AC344" s="406" t="e">
        <f t="shared" ca="1" si="145"/>
        <v>#N/A</v>
      </c>
      <c r="AD344" s="406" t="e">
        <f t="shared" ca="1" si="145"/>
        <v>#N/A</v>
      </c>
      <c r="AE344" s="406" t="e">
        <f t="shared" ca="1" si="145"/>
        <v>#N/A</v>
      </c>
      <c r="AF344" s="406" t="e">
        <f t="shared" ca="1" si="145"/>
        <v>#N/A</v>
      </c>
      <c r="AG344" s="406" t="e">
        <f t="shared" ca="1" si="145"/>
        <v>#N/A</v>
      </c>
      <c r="AH344" s="406" t="e">
        <f t="shared" ca="1" si="140"/>
        <v>#N/A</v>
      </c>
      <c r="AI344" s="406" t="e">
        <f t="shared" ca="1" si="140"/>
        <v>#N/A</v>
      </c>
      <c r="AJ344" s="406" t="e">
        <f t="shared" ca="1" si="140"/>
        <v>#N/A</v>
      </c>
      <c r="AK344" s="406" t="e">
        <f t="shared" ca="1" si="140"/>
        <v>#N/A</v>
      </c>
      <c r="AL344" s="406" t="e">
        <f t="shared" ca="1" si="140"/>
        <v>#N/A</v>
      </c>
      <c r="AM344" s="406" t="e">
        <f t="shared" ca="1" si="140"/>
        <v>#N/A</v>
      </c>
      <c r="AN344" s="406" t="e">
        <f t="shared" ca="1" si="140"/>
        <v>#N/A</v>
      </c>
      <c r="AO344" s="406" t="e">
        <f t="shared" ca="1" si="140"/>
        <v>#N/A</v>
      </c>
      <c r="AP344" s="406" t="e">
        <f t="shared" ca="1" si="140"/>
        <v>#N/A</v>
      </c>
      <c r="AQ344" s="406" t="e">
        <f t="shared" ca="1" si="140"/>
        <v>#N/A</v>
      </c>
      <c r="AR344" s="406" t="e">
        <f t="shared" ca="1" si="144"/>
        <v>#N/A</v>
      </c>
      <c r="AS344" s="406" t="e">
        <f t="shared" ca="1" si="144"/>
        <v>#N/A</v>
      </c>
      <c r="AT344" s="406" t="e">
        <f t="shared" ca="1" si="144"/>
        <v>#N/A</v>
      </c>
      <c r="AU344" s="406" t="e">
        <f t="shared" ca="1" si="144"/>
        <v>#N/A</v>
      </c>
      <c r="AV344" s="406" t="e">
        <f t="shared" ca="1" si="144"/>
        <v>#N/A</v>
      </c>
      <c r="AW344" s="406" t="e">
        <f t="shared" ca="1" si="144"/>
        <v>#N/A</v>
      </c>
      <c r="AX344" s="406" t="e">
        <f t="shared" ca="1" si="144"/>
        <v>#N/A</v>
      </c>
      <c r="AY344" s="406" t="e">
        <f t="shared" ca="1" si="144"/>
        <v>#N/A</v>
      </c>
      <c r="AZ344" s="406" t="e">
        <f t="shared" ca="1" si="144"/>
        <v>#N/A</v>
      </c>
      <c r="BA344" s="406" t="e">
        <f t="shared" ca="1" si="144"/>
        <v>#N/A</v>
      </c>
      <c r="BB344" s="408"/>
      <c r="BC344" s="408" t="str">
        <f t="shared" ca="1" si="141"/>
        <v/>
      </c>
      <c r="BD344" s="408" t="s">
        <v>1278</v>
      </c>
      <c r="BE344" s="408" t="s">
        <v>1278</v>
      </c>
    </row>
    <row r="345" spans="3:57" ht="15" customHeight="1" x14ac:dyDescent="0.25">
      <c r="C345" s="406">
        <f t="shared" si="143"/>
        <v>343</v>
      </c>
      <c r="D345" s="406" t="e">
        <f t="shared" ca="1" si="142"/>
        <v>#N/A</v>
      </c>
      <c r="E345" s="406" t="e">
        <f t="shared" ca="1" si="142"/>
        <v>#N/A</v>
      </c>
      <c r="F345" s="406" t="e">
        <f t="shared" ca="1" si="142"/>
        <v>#N/A</v>
      </c>
      <c r="G345" s="406" t="e">
        <f t="shared" ca="1" si="142"/>
        <v>#N/A</v>
      </c>
      <c r="H345" s="406" t="e">
        <f t="shared" ca="1" si="142"/>
        <v>#N/A</v>
      </c>
      <c r="I345" s="406" t="e">
        <f t="shared" ca="1" si="142"/>
        <v>#N/A</v>
      </c>
      <c r="J345" s="406" t="e">
        <f t="shared" ca="1" si="142"/>
        <v>#N/A</v>
      </c>
      <c r="K345" s="406" t="e">
        <f t="shared" ca="1" si="142"/>
        <v>#N/A</v>
      </c>
      <c r="L345" s="406" t="e">
        <f t="shared" ca="1" si="142"/>
        <v>#N/A</v>
      </c>
      <c r="M345" s="406" t="e">
        <f t="shared" ca="1" si="142"/>
        <v>#N/A</v>
      </c>
      <c r="N345" s="406" t="e">
        <f t="shared" ca="1" si="139"/>
        <v>#N/A</v>
      </c>
      <c r="O345" s="406" t="e">
        <f t="shared" ca="1" si="139"/>
        <v>#N/A</v>
      </c>
      <c r="P345" s="406" t="e">
        <f t="shared" ca="1" si="139"/>
        <v>#N/A</v>
      </c>
      <c r="Q345" s="406" t="e">
        <f t="shared" ca="1" si="139"/>
        <v>#N/A</v>
      </c>
      <c r="R345" s="406" t="e">
        <f t="shared" ca="1" si="139"/>
        <v>#N/A</v>
      </c>
      <c r="S345" s="406" t="e">
        <f t="shared" ca="1" si="139"/>
        <v>#N/A</v>
      </c>
      <c r="T345" s="406" t="e">
        <f t="shared" ca="1" si="139"/>
        <v>#N/A</v>
      </c>
      <c r="U345" s="406" t="e">
        <f t="shared" ca="1" si="139"/>
        <v>#N/A</v>
      </c>
      <c r="V345" s="406" t="e">
        <f t="shared" ca="1" si="139"/>
        <v>#N/A</v>
      </c>
      <c r="W345" s="406" t="e">
        <f t="shared" ca="1" si="139"/>
        <v>#N/A</v>
      </c>
      <c r="X345" s="406" t="e">
        <f t="shared" ca="1" si="145"/>
        <v>#N/A</v>
      </c>
      <c r="Y345" s="406" t="e">
        <f t="shared" ca="1" si="145"/>
        <v>#N/A</v>
      </c>
      <c r="Z345" s="406" t="e">
        <f t="shared" ca="1" si="145"/>
        <v>#N/A</v>
      </c>
      <c r="AA345" s="406" t="e">
        <f t="shared" ca="1" si="145"/>
        <v>#N/A</v>
      </c>
      <c r="AB345" s="406" t="e">
        <f t="shared" ca="1" si="145"/>
        <v>#N/A</v>
      </c>
      <c r="AC345" s="406" t="e">
        <f t="shared" ca="1" si="145"/>
        <v>#N/A</v>
      </c>
      <c r="AD345" s="406" t="e">
        <f t="shared" ca="1" si="145"/>
        <v>#N/A</v>
      </c>
      <c r="AE345" s="406" t="e">
        <f t="shared" ca="1" si="145"/>
        <v>#N/A</v>
      </c>
      <c r="AF345" s="406" t="e">
        <f t="shared" ca="1" si="145"/>
        <v>#N/A</v>
      </c>
      <c r="AG345" s="406" t="e">
        <f t="shared" ca="1" si="145"/>
        <v>#N/A</v>
      </c>
      <c r="AH345" s="406" t="e">
        <f t="shared" ca="1" si="140"/>
        <v>#N/A</v>
      </c>
      <c r="AI345" s="406" t="e">
        <f t="shared" ca="1" si="140"/>
        <v>#N/A</v>
      </c>
      <c r="AJ345" s="406" t="e">
        <f t="shared" ca="1" si="140"/>
        <v>#N/A</v>
      </c>
      <c r="AK345" s="406" t="e">
        <f t="shared" ca="1" si="140"/>
        <v>#N/A</v>
      </c>
      <c r="AL345" s="406" t="e">
        <f t="shared" ca="1" si="140"/>
        <v>#N/A</v>
      </c>
      <c r="AM345" s="406" t="e">
        <f t="shared" ca="1" si="140"/>
        <v>#N/A</v>
      </c>
      <c r="AN345" s="406" t="e">
        <f t="shared" ca="1" si="140"/>
        <v>#N/A</v>
      </c>
      <c r="AO345" s="406" t="e">
        <f t="shared" ca="1" si="140"/>
        <v>#N/A</v>
      </c>
      <c r="AP345" s="406" t="e">
        <f t="shared" ca="1" si="140"/>
        <v>#N/A</v>
      </c>
      <c r="AQ345" s="406" t="e">
        <f t="shared" ca="1" si="140"/>
        <v>#N/A</v>
      </c>
      <c r="AR345" s="406" t="e">
        <f t="shared" ca="1" si="144"/>
        <v>#N/A</v>
      </c>
      <c r="AS345" s="406" t="e">
        <f t="shared" ca="1" si="144"/>
        <v>#N/A</v>
      </c>
      <c r="AT345" s="406" t="e">
        <f t="shared" ca="1" si="144"/>
        <v>#N/A</v>
      </c>
      <c r="AU345" s="406" t="e">
        <f t="shared" ca="1" si="144"/>
        <v>#N/A</v>
      </c>
      <c r="AV345" s="406" t="e">
        <f t="shared" ca="1" si="144"/>
        <v>#N/A</v>
      </c>
      <c r="AW345" s="406" t="e">
        <f t="shared" ca="1" si="144"/>
        <v>#N/A</v>
      </c>
      <c r="AX345" s="406" t="e">
        <f t="shared" ca="1" si="144"/>
        <v>#N/A</v>
      </c>
      <c r="AY345" s="406" t="e">
        <f t="shared" ca="1" si="144"/>
        <v>#N/A</v>
      </c>
      <c r="AZ345" s="406" t="e">
        <f t="shared" ca="1" si="144"/>
        <v>#N/A</v>
      </c>
      <c r="BA345" s="406" t="e">
        <f t="shared" ca="1" si="144"/>
        <v>#N/A</v>
      </c>
      <c r="BB345" s="408"/>
      <c r="BC345" s="408" t="str">
        <f t="shared" ca="1" si="141"/>
        <v/>
      </c>
      <c r="BD345" s="408" t="s">
        <v>1278</v>
      </c>
      <c r="BE345" s="408" t="s">
        <v>1278</v>
      </c>
    </row>
    <row r="346" spans="3:57" x14ac:dyDescent="0.25">
      <c r="C346" s="406">
        <f t="shared" si="143"/>
        <v>344</v>
      </c>
      <c r="D346" s="406" t="e">
        <f t="shared" ca="1" si="142"/>
        <v>#N/A</v>
      </c>
      <c r="E346" s="406" t="e">
        <f t="shared" ca="1" si="142"/>
        <v>#N/A</v>
      </c>
      <c r="F346" s="406" t="e">
        <f t="shared" ca="1" si="142"/>
        <v>#N/A</v>
      </c>
      <c r="G346" s="406" t="e">
        <f t="shared" ca="1" si="142"/>
        <v>#N/A</v>
      </c>
      <c r="H346" s="406" t="e">
        <f t="shared" ca="1" si="142"/>
        <v>#N/A</v>
      </c>
      <c r="I346" s="406" t="e">
        <f t="shared" ca="1" si="142"/>
        <v>#N/A</v>
      </c>
      <c r="J346" s="406" t="e">
        <f t="shared" ca="1" si="142"/>
        <v>#N/A</v>
      </c>
      <c r="K346" s="406" t="e">
        <f t="shared" ca="1" si="142"/>
        <v>#N/A</v>
      </c>
      <c r="L346" s="406" t="e">
        <f t="shared" ca="1" si="142"/>
        <v>#N/A</v>
      </c>
      <c r="M346" s="406" t="e">
        <f t="shared" ca="1" si="142"/>
        <v>#N/A</v>
      </c>
      <c r="N346" s="406" t="e">
        <f t="shared" ca="1" si="139"/>
        <v>#N/A</v>
      </c>
      <c r="O346" s="406" t="e">
        <f t="shared" ca="1" si="139"/>
        <v>#N/A</v>
      </c>
      <c r="P346" s="406" t="e">
        <f t="shared" ca="1" si="139"/>
        <v>#N/A</v>
      </c>
      <c r="Q346" s="406" t="e">
        <f t="shared" ca="1" si="139"/>
        <v>#N/A</v>
      </c>
      <c r="R346" s="406" t="e">
        <f t="shared" ca="1" si="139"/>
        <v>#N/A</v>
      </c>
      <c r="S346" s="406" t="e">
        <f t="shared" ca="1" si="139"/>
        <v>#N/A</v>
      </c>
      <c r="T346" s="406" t="e">
        <f t="shared" ca="1" si="139"/>
        <v>#N/A</v>
      </c>
      <c r="U346" s="406" t="e">
        <f t="shared" ca="1" si="139"/>
        <v>#N/A</v>
      </c>
      <c r="V346" s="406" t="e">
        <f t="shared" ca="1" si="139"/>
        <v>#N/A</v>
      </c>
      <c r="W346" s="406" t="e">
        <f t="shared" ref="N346:W372" ca="1" si="146">TRIM(INDIRECT("'" &amp; "TNX RTF" &amp; "'!" &amp; ADDRESS($A$3+$C346,W$1)))</f>
        <v>#N/A</v>
      </c>
      <c r="X346" s="406" t="e">
        <f t="shared" ca="1" si="145"/>
        <v>#N/A</v>
      </c>
      <c r="Y346" s="406" t="e">
        <f t="shared" ca="1" si="145"/>
        <v>#N/A</v>
      </c>
      <c r="Z346" s="406" t="e">
        <f t="shared" ca="1" si="145"/>
        <v>#N/A</v>
      </c>
      <c r="AA346" s="406" t="e">
        <f t="shared" ca="1" si="145"/>
        <v>#N/A</v>
      </c>
      <c r="AB346" s="406" t="e">
        <f t="shared" ca="1" si="145"/>
        <v>#N/A</v>
      </c>
      <c r="AC346" s="406" t="e">
        <f t="shared" ca="1" si="145"/>
        <v>#N/A</v>
      </c>
      <c r="AD346" s="406" t="e">
        <f t="shared" ca="1" si="145"/>
        <v>#N/A</v>
      </c>
      <c r="AE346" s="406" t="e">
        <f t="shared" ca="1" si="145"/>
        <v>#N/A</v>
      </c>
      <c r="AF346" s="406" t="e">
        <f t="shared" ca="1" si="145"/>
        <v>#N/A</v>
      </c>
      <c r="AG346" s="406" t="e">
        <f t="shared" ca="1" si="145"/>
        <v>#N/A</v>
      </c>
      <c r="AH346" s="406" t="e">
        <f t="shared" ca="1" si="140"/>
        <v>#N/A</v>
      </c>
      <c r="AI346" s="406" t="e">
        <f t="shared" ca="1" si="140"/>
        <v>#N/A</v>
      </c>
      <c r="AJ346" s="406" t="e">
        <f t="shared" ca="1" si="140"/>
        <v>#N/A</v>
      </c>
      <c r="AK346" s="406" t="e">
        <f t="shared" ca="1" si="140"/>
        <v>#N/A</v>
      </c>
      <c r="AL346" s="406" t="e">
        <f t="shared" ca="1" si="140"/>
        <v>#N/A</v>
      </c>
      <c r="AM346" s="406" t="e">
        <f t="shared" ca="1" si="140"/>
        <v>#N/A</v>
      </c>
      <c r="AN346" s="406" t="e">
        <f t="shared" ca="1" si="140"/>
        <v>#N/A</v>
      </c>
      <c r="AO346" s="406" t="e">
        <f t="shared" ca="1" si="140"/>
        <v>#N/A</v>
      </c>
      <c r="AP346" s="406" t="e">
        <f t="shared" ref="AH346:AQ372" ca="1" si="147">TRIM(INDIRECT("'" &amp; "TNX RTF" &amp; "'!" &amp; ADDRESS($A$3+$C346,AP$1)))</f>
        <v>#N/A</v>
      </c>
      <c r="AQ346" s="406" t="e">
        <f t="shared" ca="1" si="147"/>
        <v>#N/A</v>
      </c>
      <c r="AR346" s="406" t="e">
        <f t="shared" ca="1" si="144"/>
        <v>#N/A</v>
      </c>
      <c r="AS346" s="406" t="e">
        <f t="shared" ca="1" si="144"/>
        <v>#N/A</v>
      </c>
      <c r="AT346" s="406" t="e">
        <f t="shared" ca="1" si="144"/>
        <v>#N/A</v>
      </c>
      <c r="AU346" s="406" t="e">
        <f t="shared" ca="1" si="144"/>
        <v>#N/A</v>
      </c>
      <c r="AV346" s="406" t="e">
        <f t="shared" ca="1" si="144"/>
        <v>#N/A</v>
      </c>
      <c r="AW346" s="406" t="e">
        <f t="shared" ca="1" si="144"/>
        <v>#N/A</v>
      </c>
      <c r="AX346" s="406" t="e">
        <f t="shared" ca="1" si="144"/>
        <v>#N/A</v>
      </c>
      <c r="AY346" s="406" t="e">
        <f t="shared" ca="1" si="144"/>
        <v>#N/A</v>
      </c>
      <c r="AZ346" s="406" t="e">
        <f t="shared" ca="1" si="144"/>
        <v>#N/A</v>
      </c>
      <c r="BA346" s="406" t="e">
        <f t="shared" ca="1" si="144"/>
        <v>#N/A</v>
      </c>
      <c r="BB346" s="408"/>
      <c r="BC346" s="408" t="str">
        <f t="shared" ca="1" si="141"/>
        <v/>
      </c>
      <c r="BD346" s="408" t="s">
        <v>1278</v>
      </c>
      <c r="BE346" s="408" t="s">
        <v>1278</v>
      </c>
    </row>
    <row r="347" spans="3:57" x14ac:dyDescent="0.25">
      <c r="C347" s="406">
        <f t="shared" si="143"/>
        <v>345</v>
      </c>
      <c r="D347" s="406" t="e">
        <f t="shared" ca="1" si="142"/>
        <v>#N/A</v>
      </c>
      <c r="E347" s="406" t="e">
        <f t="shared" ca="1" si="142"/>
        <v>#N/A</v>
      </c>
      <c r="F347" s="406" t="e">
        <f t="shared" ca="1" si="142"/>
        <v>#N/A</v>
      </c>
      <c r="G347" s="406" t="e">
        <f t="shared" ca="1" si="142"/>
        <v>#N/A</v>
      </c>
      <c r="H347" s="406" t="e">
        <f t="shared" ca="1" si="142"/>
        <v>#N/A</v>
      </c>
      <c r="I347" s="406" t="e">
        <f t="shared" ca="1" si="142"/>
        <v>#N/A</v>
      </c>
      <c r="J347" s="406" t="e">
        <f t="shared" ca="1" si="142"/>
        <v>#N/A</v>
      </c>
      <c r="K347" s="406" t="e">
        <f t="shared" ca="1" si="142"/>
        <v>#N/A</v>
      </c>
      <c r="L347" s="406" t="e">
        <f t="shared" ca="1" si="142"/>
        <v>#N/A</v>
      </c>
      <c r="M347" s="406" t="e">
        <f t="shared" ca="1" si="142"/>
        <v>#N/A</v>
      </c>
      <c r="N347" s="406" t="e">
        <f t="shared" ca="1" si="146"/>
        <v>#N/A</v>
      </c>
      <c r="O347" s="406" t="e">
        <f t="shared" ca="1" si="146"/>
        <v>#N/A</v>
      </c>
      <c r="P347" s="406" t="e">
        <f t="shared" ca="1" si="146"/>
        <v>#N/A</v>
      </c>
      <c r="Q347" s="406" t="e">
        <f t="shared" ca="1" si="146"/>
        <v>#N/A</v>
      </c>
      <c r="R347" s="406" t="e">
        <f t="shared" ca="1" si="146"/>
        <v>#N/A</v>
      </c>
      <c r="S347" s="406" t="e">
        <f t="shared" ca="1" si="146"/>
        <v>#N/A</v>
      </c>
      <c r="T347" s="406" t="e">
        <f t="shared" ca="1" si="146"/>
        <v>#N/A</v>
      </c>
      <c r="U347" s="406" t="e">
        <f t="shared" ca="1" si="146"/>
        <v>#N/A</v>
      </c>
      <c r="V347" s="406" t="e">
        <f t="shared" ca="1" si="146"/>
        <v>#N/A</v>
      </c>
      <c r="W347" s="406" t="e">
        <f t="shared" ca="1" si="146"/>
        <v>#N/A</v>
      </c>
      <c r="X347" s="406" t="e">
        <f t="shared" ca="1" si="145"/>
        <v>#N/A</v>
      </c>
      <c r="Y347" s="406" t="e">
        <f t="shared" ca="1" si="145"/>
        <v>#N/A</v>
      </c>
      <c r="Z347" s="406" t="e">
        <f t="shared" ca="1" si="145"/>
        <v>#N/A</v>
      </c>
      <c r="AA347" s="406" t="e">
        <f t="shared" ca="1" si="145"/>
        <v>#N/A</v>
      </c>
      <c r="AB347" s="406" t="e">
        <f t="shared" ca="1" si="145"/>
        <v>#N/A</v>
      </c>
      <c r="AC347" s="406" t="e">
        <f t="shared" ca="1" si="145"/>
        <v>#N/A</v>
      </c>
      <c r="AD347" s="406" t="e">
        <f t="shared" ca="1" si="145"/>
        <v>#N/A</v>
      </c>
      <c r="AE347" s="406" t="e">
        <f t="shared" ca="1" si="145"/>
        <v>#N/A</v>
      </c>
      <c r="AF347" s="406" t="e">
        <f t="shared" ca="1" si="145"/>
        <v>#N/A</v>
      </c>
      <c r="AG347" s="406" t="e">
        <f t="shared" ca="1" si="145"/>
        <v>#N/A</v>
      </c>
      <c r="AH347" s="406" t="e">
        <f t="shared" ca="1" si="147"/>
        <v>#N/A</v>
      </c>
      <c r="AI347" s="406" t="e">
        <f t="shared" ca="1" si="147"/>
        <v>#N/A</v>
      </c>
      <c r="AJ347" s="406" t="e">
        <f t="shared" ca="1" si="147"/>
        <v>#N/A</v>
      </c>
      <c r="AK347" s="406" t="e">
        <f t="shared" ca="1" si="147"/>
        <v>#N/A</v>
      </c>
      <c r="AL347" s="406" t="e">
        <f t="shared" ca="1" si="147"/>
        <v>#N/A</v>
      </c>
      <c r="AM347" s="406" t="e">
        <f t="shared" ca="1" si="147"/>
        <v>#N/A</v>
      </c>
      <c r="AN347" s="406" t="e">
        <f t="shared" ca="1" si="147"/>
        <v>#N/A</v>
      </c>
      <c r="AO347" s="406" t="e">
        <f t="shared" ca="1" si="147"/>
        <v>#N/A</v>
      </c>
      <c r="AP347" s="406" t="e">
        <f t="shared" ca="1" si="147"/>
        <v>#N/A</v>
      </c>
      <c r="AQ347" s="406" t="e">
        <f t="shared" ca="1" si="147"/>
        <v>#N/A</v>
      </c>
      <c r="AR347" s="406" t="e">
        <f t="shared" ca="1" si="144"/>
        <v>#N/A</v>
      </c>
      <c r="AS347" s="406" t="e">
        <f t="shared" ca="1" si="144"/>
        <v>#N/A</v>
      </c>
      <c r="AT347" s="406" t="e">
        <f t="shared" ca="1" si="144"/>
        <v>#N/A</v>
      </c>
      <c r="AU347" s="406" t="e">
        <f t="shared" ca="1" si="144"/>
        <v>#N/A</v>
      </c>
      <c r="AV347" s="406" t="e">
        <f t="shared" ca="1" si="144"/>
        <v>#N/A</v>
      </c>
      <c r="AW347" s="406" t="e">
        <f t="shared" ca="1" si="144"/>
        <v>#N/A</v>
      </c>
      <c r="AX347" s="406" t="e">
        <f t="shared" ca="1" si="144"/>
        <v>#N/A</v>
      </c>
      <c r="AY347" s="406" t="e">
        <f t="shared" ca="1" si="144"/>
        <v>#N/A</v>
      </c>
      <c r="AZ347" s="406" t="e">
        <f t="shared" ca="1" si="144"/>
        <v>#N/A</v>
      </c>
      <c r="BA347" s="406" t="e">
        <f t="shared" ca="1" si="144"/>
        <v>#N/A</v>
      </c>
      <c r="BB347" s="408"/>
      <c r="BC347" s="408" t="str">
        <f t="shared" ca="1" si="141"/>
        <v/>
      </c>
      <c r="BD347" s="408" t="s">
        <v>1278</v>
      </c>
      <c r="BE347" s="408" t="s">
        <v>1278</v>
      </c>
    </row>
    <row r="348" spans="3:57" ht="15" customHeight="1" x14ac:dyDescent="0.25">
      <c r="C348" s="406">
        <f t="shared" si="143"/>
        <v>346</v>
      </c>
      <c r="D348" s="406" t="e">
        <f t="shared" ca="1" si="142"/>
        <v>#N/A</v>
      </c>
      <c r="E348" s="406" t="e">
        <f t="shared" ca="1" si="142"/>
        <v>#N/A</v>
      </c>
      <c r="F348" s="406" t="e">
        <f t="shared" ca="1" si="142"/>
        <v>#N/A</v>
      </c>
      <c r="G348" s="406" t="e">
        <f t="shared" ca="1" si="142"/>
        <v>#N/A</v>
      </c>
      <c r="H348" s="406" t="e">
        <f t="shared" ca="1" si="142"/>
        <v>#N/A</v>
      </c>
      <c r="I348" s="406" t="e">
        <f t="shared" ref="D348:M373" ca="1" si="148">TRIM(INDIRECT("'" &amp; "TNX RTF" &amp; "'!" &amp; ADDRESS($A$3+$C348,I$1)))</f>
        <v>#N/A</v>
      </c>
      <c r="J348" s="406" t="e">
        <f t="shared" ca="1" si="148"/>
        <v>#N/A</v>
      </c>
      <c r="K348" s="406" t="e">
        <f t="shared" ca="1" si="148"/>
        <v>#N/A</v>
      </c>
      <c r="L348" s="406" t="e">
        <f t="shared" ca="1" si="148"/>
        <v>#N/A</v>
      </c>
      <c r="M348" s="406" t="e">
        <f t="shared" ca="1" si="148"/>
        <v>#N/A</v>
      </c>
      <c r="N348" s="406" t="e">
        <f t="shared" ca="1" si="146"/>
        <v>#N/A</v>
      </c>
      <c r="O348" s="406" t="e">
        <f t="shared" ca="1" si="146"/>
        <v>#N/A</v>
      </c>
      <c r="P348" s="406" t="e">
        <f t="shared" ca="1" si="146"/>
        <v>#N/A</v>
      </c>
      <c r="Q348" s="406" t="e">
        <f t="shared" ca="1" si="146"/>
        <v>#N/A</v>
      </c>
      <c r="R348" s="406" t="e">
        <f t="shared" ca="1" si="146"/>
        <v>#N/A</v>
      </c>
      <c r="S348" s="406" t="e">
        <f t="shared" ca="1" si="146"/>
        <v>#N/A</v>
      </c>
      <c r="T348" s="406" t="e">
        <f t="shared" ca="1" si="146"/>
        <v>#N/A</v>
      </c>
      <c r="U348" s="406" t="e">
        <f t="shared" ca="1" si="146"/>
        <v>#N/A</v>
      </c>
      <c r="V348" s="406" t="e">
        <f t="shared" ca="1" si="146"/>
        <v>#N/A</v>
      </c>
      <c r="W348" s="406" t="e">
        <f t="shared" ca="1" si="146"/>
        <v>#N/A</v>
      </c>
      <c r="X348" s="406" t="e">
        <f t="shared" ca="1" si="145"/>
        <v>#N/A</v>
      </c>
      <c r="Y348" s="406" t="e">
        <f t="shared" ca="1" si="145"/>
        <v>#N/A</v>
      </c>
      <c r="Z348" s="406" t="e">
        <f t="shared" ca="1" si="145"/>
        <v>#N/A</v>
      </c>
      <c r="AA348" s="406" t="e">
        <f t="shared" ca="1" si="145"/>
        <v>#N/A</v>
      </c>
      <c r="AB348" s="406" t="e">
        <f t="shared" ca="1" si="145"/>
        <v>#N/A</v>
      </c>
      <c r="AC348" s="406" t="e">
        <f t="shared" ca="1" si="145"/>
        <v>#N/A</v>
      </c>
      <c r="AD348" s="406" t="e">
        <f t="shared" ca="1" si="145"/>
        <v>#N/A</v>
      </c>
      <c r="AE348" s="406" t="e">
        <f t="shared" ca="1" si="145"/>
        <v>#N/A</v>
      </c>
      <c r="AF348" s="406" t="e">
        <f t="shared" ca="1" si="145"/>
        <v>#N/A</v>
      </c>
      <c r="AG348" s="406" t="e">
        <f t="shared" ca="1" si="145"/>
        <v>#N/A</v>
      </c>
      <c r="AH348" s="406" t="e">
        <f t="shared" ca="1" si="147"/>
        <v>#N/A</v>
      </c>
      <c r="AI348" s="406" t="e">
        <f t="shared" ca="1" si="147"/>
        <v>#N/A</v>
      </c>
      <c r="AJ348" s="406" t="e">
        <f t="shared" ca="1" si="147"/>
        <v>#N/A</v>
      </c>
      <c r="AK348" s="406" t="e">
        <f t="shared" ca="1" si="147"/>
        <v>#N/A</v>
      </c>
      <c r="AL348" s="406" t="e">
        <f t="shared" ca="1" si="147"/>
        <v>#N/A</v>
      </c>
      <c r="AM348" s="406" t="e">
        <f t="shared" ca="1" si="147"/>
        <v>#N/A</v>
      </c>
      <c r="AN348" s="406" t="e">
        <f t="shared" ca="1" si="147"/>
        <v>#N/A</v>
      </c>
      <c r="AO348" s="406" t="e">
        <f t="shared" ca="1" si="147"/>
        <v>#N/A</v>
      </c>
      <c r="AP348" s="406" t="e">
        <f t="shared" ca="1" si="147"/>
        <v>#N/A</v>
      </c>
      <c r="AQ348" s="406" t="e">
        <f t="shared" ca="1" si="147"/>
        <v>#N/A</v>
      </c>
      <c r="AR348" s="406" t="e">
        <f t="shared" ca="1" si="144"/>
        <v>#N/A</v>
      </c>
      <c r="AS348" s="406" t="e">
        <f t="shared" ca="1" si="144"/>
        <v>#N/A</v>
      </c>
      <c r="AT348" s="406" t="e">
        <f t="shared" ca="1" si="144"/>
        <v>#N/A</v>
      </c>
      <c r="AU348" s="406" t="e">
        <f t="shared" ca="1" si="144"/>
        <v>#N/A</v>
      </c>
      <c r="AV348" s="406" t="e">
        <f t="shared" ca="1" si="144"/>
        <v>#N/A</v>
      </c>
      <c r="AW348" s="406" t="e">
        <f t="shared" ca="1" si="144"/>
        <v>#N/A</v>
      </c>
      <c r="AX348" s="406" t="e">
        <f t="shared" ca="1" si="144"/>
        <v>#N/A</v>
      </c>
      <c r="AY348" s="406" t="e">
        <f t="shared" ca="1" si="144"/>
        <v>#N/A</v>
      </c>
      <c r="AZ348" s="406" t="e">
        <f t="shared" ca="1" si="144"/>
        <v>#N/A</v>
      </c>
      <c r="BA348" s="406" t="e">
        <f t="shared" ca="1" si="144"/>
        <v>#N/A</v>
      </c>
      <c r="BB348" s="408"/>
      <c r="BC348" s="408" t="str">
        <f t="shared" ca="1" si="141"/>
        <v/>
      </c>
      <c r="BD348" s="408" t="s">
        <v>1278</v>
      </c>
      <c r="BE348" s="408" t="s">
        <v>1278</v>
      </c>
    </row>
    <row r="349" spans="3:57" x14ac:dyDescent="0.25">
      <c r="C349" s="406">
        <f t="shared" si="143"/>
        <v>347</v>
      </c>
      <c r="D349" s="406" t="e">
        <f t="shared" ca="1" si="148"/>
        <v>#N/A</v>
      </c>
      <c r="E349" s="406" t="e">
        <f t="shared" ca="1" si="148"/>
        <v>#N/A</v>
      </c>
      <c r="F349" s="406" t="e">
        <f t="shared" ca="1" si="148"/>
        <v>#N/A</v>
      </c>
      <c r="G349" s="406" t="e">
        <f t="shared" ca="1" si="148"/>
        <v>#N/A</v>
      </c>
      <c r="H349" s="406" t="e">
        <f t="shared" ca="1" si="148"/>
        <v>#N/A</v>
      </c>
      <c r="I349" s="406" t="e">
        <f t="shared" ca="1" si="148"/>
        <v>#N/A</v>
      </c>
      <c r="J349" s="406" t="e">
        <f t="shared" ca="1" si="148"/>
        <v>#N/A</v>
      </c>
      <c r="K349" s="406" t="e">
        <f t="shared" ca="1" si="148"/>
        <v>#N/A</v>
      </c>
      <c r="L349" s="406" t="e">
        <f t="shared" ca="1" si="148"/>
        <v>#N/A</v>
      </c>
      <c r="M349" s="406" t="e">
        <f t="shared" ca="1" si="148"/>
        <v>#N/A</v>
      </c>
      <c r="N349" s="406" t="e">
        <f t="shared" ca="1" si="146"/>
        <v>#N/A</v>
      </c>
      <c r="O349" s="406" t="e">
        <f t="shared" ca="1" si="146"/>
        <v>#N/A</v>
      </c>
      <c r="P349" s="406" t="e">
        <f t="shared" ca="1" si="146"/>
        <v>#N/A</v>
      </c>
      <c r="Q349" s="406" t="e">
        <f t="shared" ca="1" si="146"/>
        <v>#N/A</v>
      </c>
      <c r="R349" s="406" t="e">
        <f t="shared" ca="1" si="146"/>
        <v>#N/A</v>
      </c>
      <c r="S349" s="406" t="e">
        <f t="shared" ca="1" si="146"/>
        <v>#N/A</v>
      </c>
      <c r="T349" s="406" t="e">
        <f t="shared" ca="1" si="146"/>
        <v>#N/A</v>
      </c>
      <c r="U349" s="406" t="e">
        <f t="shared" ca="1" si="146"/>
        <v>#N/A</v>
      </c>
      <c r="V349" s="406" t="e">
        <f t="shared" ca="1" si="146"/>
        <v>#N/A</v>
      </c>
      <c r="W349" s="406" t="e">
        <f t="shared" ca="1" si="146"/>
        <v>#N/A</v>
      </c>
      <c r="X349" s="406" t="e">
        <f t="shared" ca="1" si="145"/>
        <v>#N/A</v>
      </c>
      <c r="Y349" s="406" t="e">
        <f t="shared" ca="1" si="145"/>
        <v>#N/A</v>
      </c>
      <c r="Z349" s="406" t="e">
        <f t="shared" ca="1" si="145"/>
        <v>#N/A</v>
      </c>
      <c r="AA349" s="406" t="e">
        <f t="shared" ca="1" si="145"/>
        <v>#N/A</v>
      </c>
      <c r="AB349" s="406" t="e">
        <f t="shared" ca="1" si="145"/>
        <v>#N/A</v>
      </c>
      <c r="AC349" s="406" t="e">
        <f t="shared" ca="1" si="145"/>
        <v>#N/A</v>
      </c>
      <c r="AD349" s="406" t="e">
        <f t="shared" ca="1" si="145"/>
        <v>#N/A</v>
      </c>
      <c r="AE349" s="406" t="e">
        <f t="shared" ca="1" si="145"/>
        <v>#N/A</v>
      </c>
      <c r="AF349" s="406" t="e">
        <f t="shared" ca="1" si="145"/>
        <v>#N/A</v>
      </c>
      <c r="AG349" s="406" t="e">
        <f t="shared" ca="1" si="145"/>
        <v>#N/A</v>
      </c>
      <c r="AH349" s="406" t="e">
        <f t="shared" ca="1" si="147"/>
        <v>#N/A</v>
      </c>
      <c r="AI349" s="406" t="e">
        <f t="shared" ca="1" si="147"/>
        <v>#N/A</v>
      </c>
      <c r="AJ349" s="406" t="e">
        <f t="shared" ca="1" si="147"/>
        <v>#N/A</v>
      </c>
      <c r="AK349" s="406" t="e">
        <f t="shared" ca="1" si="147"/>
        <v>#N/A</v>
      </c>
      <c r="AL349" s="406" t="e">
        <f t="shared" ca="1" si="147"/>
        <v>#N/A</v>
      </c>
      <c r="AM349" s="406" t="e">
        <f t="shared" ca="1" si="147"/>
        <v>#N/A</v>
      </c>
      <c r="AN349" s="406" t="e">
        <f t="shared" ca="1" si="147"/>
        <v>#N/A</v>
      </c>
      <c r="AO349" s="406" t="e">
        <f t="shared" ca="1" si="147"/>
        <v>#N/A</v>
      </c>
      <c r="AP349" s="406" t="e">
        <f t="shared" ca="1" si="147"/>
        <v>#N/A</v>
      </c>
      <c r="AQ349" s="406" t="e">
        <f t="shared" ca="1" si="147"/>
        <v>#N/A</v>
      </c>
      <c r="AR349" s="406" t="e">
        <f t="shared" ca="1" si="144"/>
        <v>#N/A</v>
      </c>
      <c r="AS349" s="406" t="e">
        <f t="shared" ca="1" si="144"/>
        <v>#N/A</v>
      </c>
      <c r="AT349" s="406" t="e">
        <f t="shared" ca="1" si="144"/>
        <v>#N/A</v>
      </c>
      <c r="AU349" s="406" t="e">
        <f t="shared" ca="1" si="144"/>
        <v>#N/A</v>
      </c>
      <c r="AV349" s="406" t="e">
        <f t="shared" ca="1" si="144"/>
        <v>#N/A</v>
      </c>
      <c r="AW349" s="406" t="e">
        <f t="shared" ca="1" si="144"/>
        <v>#N/A</v>
      </c>
      <c r="AX349" s="406" t="e">
        <f t="shared" ca="1" si="144"/>
        <v>#N/A</v>
      </c>
      <c r="AY349" s="406" t="e">
        <f t="shared" ca="1" si="144"/>
        <v>#N/A</v>
      </c>
      <c r="AZ349" s="406" t="e">
        <f t="shared" ca="1" si="144"/>
        <v>#N/A</v>
      </c>
      <c r="BA349" s="406" t="e">
        <f t="shared" ca="1" si="144"/>
        <v>#N/A</v>
      </c>
      <c r="BB349" s="408"/>
      <c r="BC349" s="408" t="str">
        <f t="shared" ca="1" si="141"/>
        <v/>
      </c>
      <c r="BD349" s="408" t="s">
        <v>1278</v>
      </c>
      <c r="BE349" s="408" t="s">
        <v>1278</v>
      </c>
    </row>
    <row r="350" spans="3:57" x14ac:dyDescent="0.25">
      <c r="C350" s="406">
        <f t="shared" si="143"/>
        <v>348</v>
      </c>
      <c r="D350" s="406" t="e">
        <f t="shared" ca="1" si="148"/>
        <v>#N/A</v>
      </c>
      <c r="E350" s="406" t="e">
        <f t="shared" ca="1" si="148"/>
        <v>#N/A</v>
      </c>
      <c r="F350" s="406" t="e">
        <f t="shared" ca="1" si="148"/>
        <v>#N/A</v>
      </c>
      <c r="G350" s="406" t="e">
        <f t="shared" ca="1" si="148"/>
        <v>#N/A</v>
      </c>
      <c r="H350" s="406" t="e">
        <f t="shared" ca="1" si="148"/>
        <v>#N/A</v>
      </c>
      <c r="I350" s="406" t="e">
        <f t="shared" ca="1" si="148"/>
        <v>#N/A</v>
      </c>
      <c r="J350" s="406" t="e">
        <f t="shared" ca="1" si="148"/>
        <v>#N/A</v>
      </c>
      <c r="K350" s="406" t="e">
        <f t="shared" ca="1" si="148"/>
        <v>#N/A</v>
      </c>
      <c r="L350" s="406" t="e">
        <f t="shared" ca="1" si="148"/>
        <v>#N/A</v>
      </c>
      <c r="M350" s="406" t="e">
        <f t="shared" ca="1" si="148"/>
        <v>#N/A</v>
      </c>
      <c r="N350" s="406" t="e">
        <f t="shared" ca="1" si="146"/>
        <v>#N/A</v>
      </c>
      <c r="O350" s="406" t="e">
        <f t="shared" ca="1" si="146"/>
        <v>#N/A</v>
      </c>
      <c r="P350" s="406" t="e">
        <f t="shared" ca="1" si="146"/>
        <v>#N/A</v>
      </c>
      <c r="Q350" s="406" t="e">
        <f t="shared" ca="1" si="146"/>
        <v>#N/A</v>
      </c>
      <c r="R350" s="406" t="e">
        <f t="shared" ca="1" si="146"/>
        <v>#N/A</v>
      </c>
      <c r="S350" s="406" t="e">
        <f t="shared" ca="1" si="146"/>
        <v>#N/A</v>
      </c>
      <c r="T350" s="406" t="e">
        <f t="shared" ca="1" si="146"/>
        <v>#N/A</v>
      </c>
      <c r="U350" s="406" t="e">
        <f t="shared" ca="1" si="146"/>
        <v>#N/A</v>
      </c>
      <c r="V350" s="406" t="e">
        <f t="shared" ca="1" si="146"/>
        <v>#N/A</v>
      </c>
      <c r="W350" s="406" t="e">
        <f t="shared" ca="1" si="146"/>
        <v>#N/A</v>
      </c>
      <c r="X350" s="406" t="e">
        <f t="shared" ca="1" si="145"/>
        <v>#N/A</v>
      </c>
      <c r="Y350" s="406" t="e">
        <f t="shared" ca="1" si="145"/>
        <v>#N/A</v>
      </c>
      <c r="Z350" s="406" t="e">
        <f t="shared" ca="1" si="145"/>
        <v>#N/A</v>
      </c>
      <c r="AA350" s="406" t="e">
        <f t="shared" ca="1" si="145"/>
        <v>#N/A</v>
      </c>
      <c r="AB350" s="406" t="e">
        <f t="shared" ca="1" si="145"/>
        <v>#N/A</v>
      </c>
      <c r="AC350" s="406" t="e">
        <f t="shared" ca="1" si="145"/>
        <v>#N/A</v>
      </c>
      <c r="AD350" s="406" t="e">
        <f t="shared" ca="1" si="145"/>
        <v>#N/A</v>
      </c>
      <c r="AE350" s="406" t="e">
        <f t="shared" ca="1" si="145"/>
        <v>#N/A</v>
      </c>
      <c r="AF350" s="406" t="e">
        <f t="shared" ca="1" si="145"/>
        <v>#N/A</v>
      </c>
      <c r="AG350" s="406" t="e">
        <f t="shared" ca="1" si="145"/>
        <v>#N/A</v>
      </c>
      <c r="AH350" s="406" t="e">
        <f t="shared" ca="1" si="147"/>
        <v>#N/A</v>
      </c>
      <c r="AI350" s="406" t="e">
        <f t="shared" ca="1" si="147"/>
        <v>#N/A</v>
      </c>
      <c r="AJ350" s="406" t="e">
        <f t="shared" ca="1" si="147"/>
        <v>#N/A</v>
      </c>
      <c r="AK350" s="406" t="e">
        <f t="shared" ca="1" si="147"/>
        <v>#N/A</v>
      </c>
      <c r="AL350" s="406" t="e">
        <f t="shared" ca="1" si="147"/>
        <v>#N/A</v>
      </c>
      <c r="AM350" s="406" t="e">
        <f t="shared" ca="1" si="147"/>
        <v>#N/A</v>
      </c>
      <c r="AN350" s="406" t="e">
        <f t="shared" ca="1" si="147"/>
        <v>#N/A</v>
      </c>
      <c r="AO350" s="406" t="e">
        <f t="shared" ca="1" si="147"/>
        <v>#N/A</v>
      </c>
      <c r="AP350" s="406" t="e">
        <f t="shared" ca="1" si="147"/>
        <v>#N/A</v>
      </c>
      <c r="AQ350" s="406" t="e">
        <f t="shared" ca="1" si="147"/>
        <v>#N/A</v>
      </c>
      <c r="AR350" s="406" t="e">
        <f t="shared" ca="1" si="144"/>
        <v>#N/A</v>
      </c>
      <c r="AS350" s="406" t="e">
        <f t="shared" ca="1" si="144"/>
        <v>#N/A</v>
      </c>
      <c r="AT350" s="406" t="e">
        <f t="shared" ca="1" si="144"/>
        <v>#N/A</v>
      </c>
      <c r="AU350" s="406" t="e">
        <f t="shared" ca="1" si="144"/>
        <v>#N/A</v>
      </c>
      <c r="AV350" s="406" t="e">
        <f t="shared" ca="1" si="144"/>
        <v>#N/A</v>
      </c>
      <c r="AW350" s="406" t="e">
        <f t="shared" ca="1" si="144"/>
        <v>#N/A</v>
      </c>
      <c r="AX350" s="406" t="e">
        <f t="shared" ca="1" si="144"/>
        <v>#N/A</v>
      </c>
      <c r="AY350" s="406" t="e">
        <f t="shared" ca="1" si="144"/>
        <v>#N/A</v>
      </c>
      <c r="AZ350" s="406" t="e">
        <f t="shared" ca="1" si="144"/>
        <v>#N/A</v>
      </c>
      <c r="BA350" s="406" t="e">
        <f t="shared" ca="1" si="144"/>
        <v>#N/A</v>
      </c>
      <c r="BB350" s="408"/>
      <c r="BC350" s="408" t="str">
        <f t="shared" ca="1" si="141"/>
        <v/>
      </c>
      <c r="BD350" s="408" t="s">
        <v>1278</v>
      </c>
      <c r="BE350" s="408" t="s">
        <v>1278</v>
      </c>
    </row>
    <row r="351" spans="3:57" ht="15" customHeight="1" x14ac:dyDescent="0.25">
      <c r="C351" s="406">
        <f t="shared" si="143"/>
        <v>349</v>
      </c>
      <c r="D351" s="406" t="e">
        <f t="shared" ca="1" si="148"/>
        <v>#N/A</v>
      </c>
      <c r="E351" s="406" t="e">
        <f t="shared" ca="1" si="148"/>
        <v>#N/A</v>
      </c>
      <c r="F351" s="406" t="e">
        <f t="shared" ca="1" si="148"/>
        <v>#N/A</v>
      </c>
      <c r="G351" s="406" t="e">
        <f t="shared" ca="1" si="148"/>
        <v>#N/A</v>
      </c>
      <c r="H351" s="406" t="e">
        <f t="shared" ca="1" si="148"/>
        <v>#N/A</v>
      </c>
      <c r="I351" s="406" t="e">
        <f t="shared" ca="1" si="148"/>
        <v>#N/A</v>
      </c>
      <c r="J351" s="406" t="e">
        <f t="shared" ca="1" si="148"/>
        <v>#N/A</v>
      </c>
      <c r="K351" s="406" t="e">
        <f t="shared" ca="1" si="148"/>
        <v>#N/A</v>
      </c>
      <c r="L351" s="406" t="e">
        <f t="shared" ca="1" si="148"/>
        <v>#N/A</v>
      </c>
      <c r="M351" s="406" t="e">
        <f t="shared" ca="1" si="148"/>
        <v>#N/A</v>
      </c>
      <c r="N351" s="406" t="e">
        <f t="shared" ca="1" si="146"/>
        <v>#N/A</v>
      </c>
      <c r="O351" s="406" t="e">
        <f t="shared" ca="1" si="146"/>
        <v>#N/A</v>
      </c>
      <c r="P351" s="406" t="e">
        <f t="shared" ca="1" si="146"/>
        <v>#N/A</v>
      </c>
      <c r="Q351" s="406" t="e">
        <f t="shared" ca="1" si="146"/>
        <v>#N/A</v>
      </c>
      <c r="R351" s="406" t="e">
        <f t="shared" ca="1" si="146"/>
        <v>#N/A</v>
      </c>
      <c r="S351" s="406" t="e">
        <f t="shared" ca="1" si="146"/>
        <v>#N/A</v>
      </c>
      <c r="T351" s="406" t="e">
        <f t="shared" ca="1" si="146"/>
        <v>#N/A</v>
      </c>
      <c r="U351" s="406" t="e">
        <f t="shared" ca="1" si="146"/>
        <v>#N/A</v>
      </c>
      <c r="V351" s="406" t="e">
        <f t="shared" ca="1" si="146"/>
        <v>#N/A</v>
      </c>
      <c r="W351" s="406" t="e">
        <f t="shared" ca="1" si="146"/>
        <v>#N/A</v>
      </c>
      <c r="X351" s="406" t="e">
        <f t="shared" ca="1" si="145"/>
        <v>#N/A</v>
      </c>
      <c r="Y351" s="406" t="e">
        <f t="shared" ca="1" si="145"/>
        <v>#N/A</v>
      </c>
      <c r="Z351" s="406" t="e">
        <f t="shared" ca="1" si="145"/>
        <v>#N/A</v>
      </c>
      <c r="AA351" s="406" t="e">
        <f t="shared" ca="1" si="145"/>
        <v>#N/A</v>
      </c>
      <c r="AB351" s="406" t="e">
        <f t="shared" ca="1" si="145"/>
        <v>#N/A</v>
      </c>
      <c r="AC351" s="406" t="e">
        <f t="shared" ca="1" si="145"/>
        <v>#N/A</v>
      </c>
      <c r="AD351" s="406" t="e">
        <f t="shared" ca="1" si="145"/>
        <v>#N/A</v>
      </c>
      <c r="AE351" s="406" t="e">
        <f t="shared" ca="1" si="145"/>
        <v>#N/A</v>
      </c>
      <c r="AF351" s="406" t="e">
        <f t="shared" ca="1" si="145"/>
        <v>#N/A</v>
      </c>
      <c r="AG351" s="406" t="e">
        <f t="shared" ca="1" si="145"/>
        <v>#N/A</v>
      </c>
      <c r="AH351" s="406" t="e">
        <f t="shared" ca="1" si="147"/>
        <v>#N/A</v>
      </c>
      <c r="AI351" s="406" t="e">
        <f t="shared" ca="1" si="147"/>
        <v>#N/A</v>
      </c>
      <c r="AJ351" s="406" t="e">
        <f t="shared" ca="1" si="147"/>
        <v>#N/A</v>
      </c>
      <c r="AK351" s="406" t="e">
        <f t="shared" ca="1" si="147"/>
        <v>#N/A</v>
      </c>
      <c r="AL351" s="406" t="e">
        <f t="shared" ca="1" si="147"/>
        <v>#N/A</v>
      </c>
      <c r="AM351" s="406" t="e">
        <f t="shared" ca="1" si="147"/>
        <v>#N/A</v>
      </c>
      <c r="AN351" s="406" t="e">
        <f t="shared" ca="1" si="147"/>
        <v>#N/A</v>
      </c>
      <c r="AO351" s="406" t="e">
        <f t="shared" ca="1" si="147"/>
        <v>#N/A</v>
      </c>
      <c r="AP351" s="406" t="e">
        <f t="shared" ca="1" si="147"/>
        <v>#N/A</v>
      </c>
      <c r="AQ351" s="406" t="e">
        <f t="shared" ca="1" si="147"/>
        <v>#N/A</v>
      </c>
      <c r="AR351" s="406" t="e">
        <f t="shared" ca="1" si="144"/>
        <v>#N/A</v>
      </c>
      <c r="AS351" s="406" t="e">
        <f t="shared" ca="1" si="144"/>
        <v>#N/A</v>
      </c>
      <c r="AT351" s="406" t="e">
        <f t="shared" ca="1" si="144"/>
        <v>#N/A</v>
      </c>
      <c r="AU351" s="406" t="e">
        <f t="shared" ca="1" si="144"/>
        <v>#N/A</v>
      </c>
      <c r="AV351" s="406" t="e">
        <f t="shared" ca="1" si="144"/>
        <v>#N/A</v>
      </c>
      <c r="AW351" s="406" t="e">
        <f t="shared" ca="1" si="144"/>
        <v>#N/A</v>
      </c>
      <c r="AX351" s="406" t="e">
        <f t="shared" ca="1" si="144"/>
        <v>#N/A</v>
      </c>
      <c r="AY351" s="406" t="e">
        <f t="shared" ca="1" si="144"/>
        <v>#N/A</v>
      </c>
      <c r="AZ351" s="406" t="e">
        <f t="shared" ca="1" si="144"/>
        <v>#N/A</v>
      </c>
      <c r="BA351" s="406" t="e">
        <f t="shared" ca="1" si="144"/>
        <v>#N/A</v>
      </c>
      <c r="BB351" s="408"/>
      <c r="BC351" s="408" t="str">
        <f t="shared" ca="1" si="141"/>
        <v/>
      </c>
      <c r="BD351" s="408" t="s">
        <v>1278</v>
      </c>
      <c r="BE351" s="408" t="s">
        <v>1278</v>
      </c>
    </row>
    <row r="352" spans="3:57" x14ac:dyDescent="0.25">
      <c r="C352" s="406">
        <f t="shared" si="143"/>
        <v>350</v>
      </c>
      <c r="D352" s="406" t="e">
        <f t="shared" ca="1" si="148"/>
        <v>#N/A</v>
      </c>
      <c r="E352" s="406" t="e">
        <f t="shared" ca="1" si="148"/>
        <v>#N/A</v>
      </c>
      <c r="F352" s="406" t="e">
        <f t="shared" ca="1" si="148"/>
        <v>#N/A</v>
      </c>
      <c r="G352" s="406" t="e">
        <f t="shared" ca="1" si="148"/>
        <v>#N/A</v>
      </c>
      <c r="H352" s="406" t="e">
        <f t="shared" ca="1" si="148"/>
        <v>#N/A</v>
      </c>
      <c r="I352" s="406" t="e">
        <f t="shared" ca="1" si="148"/>
        <v>#N/A</v>
      </c>
      <c r="J352" s="406" t="e">
        <f t="shared" ca="1" si="148"/>
        <v>#N/A</v>
      </c>
      <c r="K352" s="406" t="e">
        <f t="shared" ca="1" si="148"/>
        <v>#N/A</v>
      </c>
      <c r="L352" s="406" t="e">
        <f t="shared" ca="1" si="148"/>
        <v>#N/A</v>
      </c>
      <c r="M352" s="406" t="e">
        <f t="shared" ca="1" si="148"/>
        <v>#N/A</v>
      </c>
      <c r="N352" s="406" t="e">
        <f t="shared" ca="1" si="146"/>
        <v>#N/A</v>
      </c>
      <c r="O352" s="406" t="e">
        <f t="shared" ca="1" si="146"/>
        <v>#N/A</v>
      </c>
      <c r="P352" s="406" t="e">
        <f t="shared" ca="1" si="146"/>
        <v>#N/A</v>
      </c>
      <c r="Q352" s="406" t="e">
        <f t="shared" ca="1" si="146"/>
        <v>#N/A</v>
      </c>
      <c r="R352" s="406" t="e">
        <f t="shared" ca="1" si="146"/>
        <v>#N/A</v>
      </c>
      <c r="S352" s="406" t="e">
        <f t="shared" ca="1" si="146"/>
        <v>#N/A</v>
      </c>
      <c r="T352" s="406" t="e">
        <f t="shared" ca="1" si="146"/>
        <v>#N/A</v>
      </c>
      <c r="U352" s="406" t="e">
        <f t="shared" ca="1" si="146"/>
        <v>#N/A</v>
      </c>
      <c r="V352" s="406" t="e">
        <f t="shared" ca="1" si="146"/>
        <v>#N/A</v>
      </c>
      <c r="W352" s="406" t="e">
        <f t="shared" ca="1" si="146"/>
        <v>#N/A</v>
      </c>
      <c r="X352" s="406" t="e">
        <f t="shared" ca="1" si="145"/>
        <v>#N/A</v>
      </c>
      <c r="Y352" s="406" t="e">
        <f t="shared" ca="1" si="145"/>
        <v>#N/A</v>
      </c>
      <c r="Z352" s="406" t="e">
        <f t="shared" ca="1" si="145"/>
        <v>#N/A</v>
      </c>
      <c r="AA352" s="406" t="e">
        <f t="shared" ca="1" si="145"/>
        <v>#N/A</v>
      </c>
      <c r="AB352" s="406" t="e">
        <f t="shared" ca="1" si="145"/>
        <v>#N/A</v>
      </c>
      <c r="AC352" s="406" t="e">
        <f t="shared" ca="1" si="145"/>
        <v>#N/A</v>
      </c>
      <c r="AD352" s="406" t="e">
        <f t="shared" ca="1" si="145"/>
        <v>#N/A</v>
      </c>
      <c r="AE352" s="406" t="e">
        <f t="shared" ca="1" si="145"/>
        <v>#N/A</v>
      </c>
      <c r="AF352" s="406" t="e">
        <f t="shared" ca="1" si="145"/>
        <v>#N/A</v>
      </c>
      <c r="AG352" s="406" t="e">
        <f t="shared" ca="1" si="145"/>
        <v>#N/A</v>
      </c>
      <c r="AH352" s="406" t="e">
        <f t="shared" ca="1" si="147"/>
        <v>#N/A</v>
      </c>
      <c r="AI352" s="406" t="e">
        <f t="shared" ca="1" si="147"/>
        <v>#N/A</v>
      </c>
      <c r="AJ352" s="406" t="e">
        <f t="shared" ca="1" si="147"/>
        <v>#N/A</v>
      </c>
      <c r="AK352" s="406" t="e">
        <f t="shared" ca="1" si="147"/>
        <v>#N/A</v>
      </c>
      <c r="AL352" s="406" t="e">
        <f t="shared" ca="1" si="147"/>
        <v>#N/A</v>
      </c>
      <c r="AM352" s="406" t="e">
        <f t="shared" ca="1" si="147"/>
        <v>#N/A</v>
      </c>
      <c r="AN352" s="406" t="e">
        <f t="shared" ca="1" si="147"/>
        <v>#N/A</v>
      </c>
      <c r="AO352" s="406" t="e">
        <f t="shared" ca="1" si="147"/>
        <v>#N/A</v>
      </c>
      <c r="AP352" s="406" t="e">
        <f t="shared" ca="1" si="147"/>
        <v>#N/A</v>
      </c>
      <c r="AQ352" s="406" t="e">
        <f t="shared" ca="1" si="147"/>
        <v>#N/A</v>
      </c>
      <c r="AR352" s="406" t="e">
        <f t="shared" ca="1" si="144"/>
        <v>#N/A</v>
      </c>
      <c r="AS352" s="406" t="e">
        <f t="shared" ca="1" si="144"/>
        <v>#N/A</v>
      </c>
      <c r="AT352" s="406" t="e">
        <f t="shared" ca="1" si="144"/>
        <v>#N/A</v>
      </c>
      <c r="AU352" s="406" t="e">
        <f t="shared" ca="1" si="144"/>
        <v>#N/A</v>
      </c>
      <c r="AV352" s="406" t="e">
        <f t="shared" ca="1" si="144"/>
        <v>#N/A</v>
      </c>
      <c r="AW352" s="406" t="e">
        <f t="shared" ca="1" si="144"/>
        <v>#N/A</v>
      </c>
      <c r="AX352" s="406" t="e">
        <f t="shared" ca="1" si="144"/>
        <v>#N/A</v>
      </c>
      <c r="AY352" s="406" t="e">
        <f t="shared" ca="1" si="144"/>
        <v>#N/A</v>
      </c>
      <c r="AZ352" s="406" t="e">
        <f t="shared" ca="1" si="144"/>
        <v>#N/A</v>
      </c>
      <c r="BA352" s="406" t="e">
        <f t="shared" ca="1" si="144"/>
        <v>#N/A</v>
      </c>
      <c r="BB352" s="408"/>
      <c r="BC352" s="408" t="str">
        <f t="shared" ca="1" si="141"/>
        <v/>
      </c>
      <c r="BD352" s="408" t="s">
        <v>1278</v>
      </c>
      <c r="BE352" s="408" t="s">
        <v>1278</v>
      </c>
    </row>
    <row r="353" spans="3:57" x14ac:dyDescent="0.25">
      <c r="C353" s="406">
        <f t="shared" si="143"/>
        <v>351</v>
      </c>
      <c r="D353" s="406" t="e">
        <f t="shared" ca="1" si="148"/>
        <v>#N/A</v>
      </c>
      <c r="E353" s="406" t="e">
        <f t="shared" ca="1" si="148"/>
        <v>#N/A</v>
      </c>
      <c r="F353" s="406" t="e">
        <f t="shared" ca="1" si="148"/>
        <v>#N/A</v>
      </c>
      <c r="G353" s="406" t="e">
        <f t="shared" ca="1" si="148"/>
        <v>#N/A</v>
      </c>
      <c r="H353" s="406" t="e">
        <f t="shared" ca="1" si="148"/>
        <v>#N/A</v>
      </c>
      <c r="I353" s="406" t="e">
        <f t="shared" ca="1" si="148"/>
        <v>#N/A</v>
      </c>
      <c r="J353" s="406" t="e">
        <f t="shared" ca="1" si="148"/>
        <v>#N/A</v>
      </c>
      <c r="K353" s="406" t="e">
        <f t="shared" ca="1" si="148"/>
        <v>#N/A</v>
      </c>
      <c r="L353" s="406" t="e">
        <f t="shared" ca="1" si="148"/>
        <v>#N/A</v>
      </c>
      <c r="M353" s="406" t="e">
        <f t="shared" ca="1" si="148"/>
        <v>#N/A</v>
      </c>
      <c r="N353" s="406" t="e">
        <f t="shared" ca="1" si="146"/>
        <v>#N/A</v>
      </c>
      <c r="O353" s="406" t="e">
        <f t="shared" ca="1" si="146"/>
        <v>#N/A</v>
      </c>
      <c r="P353" s="406" t="e">
        <f t="shared" ca="1" si="146"/>
        <v>#N/A</v>
      </c>
      <c r="Q353" s="406" t="e">
        <f t="shared" ca="1" si="146"/>
        <v>#N/A</v>
      </c>
      <c r="R353" s="406" t="e">
        <f t="shared" ca="1" si="146"/>
        <v>#N/A</v>
      </c>
      <c r="S353" s="406" t="e">
        <f t="shared" ca="1" si="146"/>
        <v>#N/A</v>
      </c>
      <c r="T353" s="406" t="e">
        <f t="shared" ca="1" si="146"/>
        <v>#N/A</v>
      </c>
      <c r="U353" s="406" t="e">
        <f t="shared" ca="1" si="146"/>
        <v>#N/A</v>
      </c>
      <c r="V353" s="406" t="e">
        <f t="shared" ca="1" si="146"/>
        <v>#N/A</v>
      </c>
      <c r="W353" s="406" t="e">
        <f t="shared" ca="1" si="146"/>
        <v>#N/A</v>
      </c>
      <c r="X353" s="406" t="e">
        <f t="shared" ca="1" si="145"/>
        <v>#N/A</v>
      </c>
      <c r="Y353" s="406" t="e">
        <f t="shared" ca="1" si="145"/>
        <v>#N/A</v>
      </c>
      <c r="Z353" s="406" t="e">
        <f t="shared" ca="1" si="145"/>
        <v>#N/A</v>
      </c>
      <c r="AA353" s="406" t="e">
        <f t="shared" ca="1" si="145"/>
        <v>#N/A</v>
      </c>
      <c r="AB353" s="406" t="e">
        <f t="shared" ca="1" si="145"/>
        <v>#N/A</v>
      </c>
      <c r="AC353" s="406" t="e">
        <f t="shared" ca="1" si="145"/>
        <v>#N/A</v>
      </c>
      <c r="AD353" s="406" t="e">
        <f t="shared" ca="1" si="145"/>
        <v>#N/A</v>
      </c>
      <c r="AE353" s="406" t="e">
        <f t="shared" ca="1" si="145"/>
        <v>#N/A</v>
      </c>
      <c r="AF353" s="406" t="e">
        <f t="shared" ca="1" si="145"/>
        <v>#N/A</v>
      </c>
      <c r="AG353" s="406" t="e">
        <f t="shared" ca="1" si="145"/>
        <v>#N/A</v>
      </c>
      <c r="AH353" s="406" t="e">
        <f t="shared" ca="1" si="147"/>
        <v>#N/A</v>
      </c>
      <c r="AI353" s="406" t="e">
        <f t="shared" ca="1" si="147"/>
        <v>#N/A</v>
      </c>
      <c r="AJ353" s="406" t="e">
        <f t="shared" ca="1" si="147"/>
        <v>#N/A</v>
      </c>
      <c r="AK353" s="406" t="e">
        <f t="shared" ca="1" si="147"/>
        <v>#N/A</v>
      </c>
      <c r="AL353" s="406" t="e">
        <f t="shared" ca="1" si="147"/>
        <v>#N/A</v>
      </c>
      <c r="AM353" s="406" t="e">
        <f t="shared" ca="1" si="147"/>
        <v>#N/A</v>
      </c>
      <c r="AN353" s="406" t="e">
        <f t="shared" ca="1" si="147"/>
        <v>#N/A</v>
      </c>
      <c r="AO353" s="406" t="e">
        <f t="shared" ca="1" si="147"/>
        <v>#N/A</v>
      </c>
      <c r="AP353" s="406" t="e">
        <f t="shared" ca="1" si="147"/>
        <v>#N/A</v>
      </c>
      <c r="AQ353" s="406" t="e">
        <f t="shared" ca="1" si="147"/>
        <v>#N/A</v>
      </c>
      <c r="AR353" s="406" t="e">
        <f t="shared" ca="1" si="144"/>
        <v>#N/A</v>
      </c>
      <c r="AS353" s="406" t="e">
        <f t="shared" ca="1" si="144"/>
        <v>#N/A</v>
      </c>
      <c r="AT353" s="406" t="e">
        <f t="shared" ca="1" si="144"/>
        <v>#N/A</v>
      </c>
      <c r="AU353" s="406" t="e">
        <f t="shared" ca="1" si="144"/>
        <v>#N/A</v>
      </c>
      <c r="AV353" s="406" t="e">
        <f t="shared" ca="1" si="144"/>
        <v>#N/A</v>
      </c>
      <c r="AW353" s="406" t="e">
        <f t="shared" ca="1" si="144"/>
        <v>#N/A</v>
      </c>
      <c r="AX353" s="406" t="e">
        <f t="shared" ca="1" si="144"/>
        <v>#N/A</v>
      </c>
      <c r="AY353" s="406" t="e">
        <f t="shared" ca="1" si="144"/>
        <v>#N/A</v>
      </c>
      <c r="AZ353" s="406" t="e">
        <f t="shared" ca="1" si="144"/>
        <v>#N/A</v>
      </c>
      <c r="BA353" s="406" t="e">
        <f t="shared" ca="1" si="144"/>
        <v>#N/A</v>
      </c>
      <c r="BB353" s="408"/>
      <c r="BC353" s="408" t="str">
        <f t="shared" ca="1" si="141"/>
        <v/>
      </c>
      <c r="BD353" s="408" t="s">
        <v>1278</v>
      </c>
      <c r="BE353" s="408" t="s">
        <v>1278</v>
      </c>
    </row>
    <row r="354" spans="3:57" ht="15" customHeight="1" x14ac:dyDescent="0.25">
      <c r="C354" s="406">
        <f t="shared" si="143"/>
        <v>352</v>
      </c>
      <c r="D354" s="406" t="e">
        <f t="shared" ca="1" si="148"/>
        <v>#N/A</v>
      </c>
      <c r="E354" s="406" t="e">
        <f t="shared" ca="1" si="148"/>
        <v>#N/A</v>
      </c>
      <c r="F354" s="406" t="e">
        <f t="shared" ca="1" si="148"/>
        <v>#N/A</v>
      </c>
      <c r="G354" s="406" t="e">
        <f t="shared" ca="1" si="148"/>
        <v>#N/A</v>
      </c>
      <c r="H354" s="406" t="e">
        <f t="shared" ca="1" si="148"/>
        <v>#N/A</v>
      </c>
      <c r="I354" s="406" t="e">
        <f t="shared" ca="1" si="148"/>
        <v>#N/A</v>
      </c>
      <c r="J354" s="406" t="e">
        <f t="shared" ca="1" si="148"/>
        <v>#N/A</v>
      </c>
      <c r="K354" s="406" t="e">
        <f t="shared" ca="1" si="148"/>
        <v>#N/A</v>
      </c>
      <c r="L354" s="406" t="e">
        <f t="shared" ca="1" si="148"/>
        <v>#N/A</v>
      </c>
      <c r="M354" s="406" t="e">
        <f t="shared" ca="1" si="148"/>
        <v>#N/A</v>
      </c>
      <c r="N354" s="406" t="e">
        <f t="shared" ca="1" si="146"/>
        <v>#N/A</v>
      </c>
      <c r="O354" s="406" t="e">
        <f t="shared" ca="1" si="146"/>
        <v>#N/A</v>
      </c>
      <c r="P354" s="406" t="e">
        <f t="shared" ca="1" si="146"/>
        <v>#N/A</v>
      </c>
      <c r="Q354" s="406" t="e">
        <f t="shared" ca="1" si="146"/>
        <v>#N/A</v>
      </c>
      <c r="R354" s="406" t="e">
        <f t="shared" ca="1" si="146"/>
        <v>#N/A</v>
      </c>
      <c r="S354" s="406" t="e">
        <f t="shared" ca="1" si="146"/>
        <v>#N/A</v>
      </c>
      <c r="T354" s="406" t="e">
        <f t="shared" ca="1" si="146"/>
        <v>#N/A</v>
      </c>
      <c r="U354" s="406" t="e">
        <f t="shared" ca="1" si="146"/>
        <v>#N/A</v>
      </c>
      <c r="V354" s="406" t="e">
        <f t="shared" ca="1" si="146"/>
        <v>#N/A</v>
      </c>
      <c r="W354" s="406" t="e">
        <f t="shared" ca="1" si="146"/>
        <v>#N/A</v>
      </c>
      <c r="X354" s="406" t="e">
        <f t="shared" ca="1" si="145"/>
        <v>#N/A</v>
      </c>
      <c r="Y354" s="406" t="e">
        <f t="shared" ca="1" si="145"/>
        <v>#N/A</v>
      </c>
      <c r="Z354" s="406" t="e">
        <f t="shared" ca="1" si="145"/>
        <v>#N/A</v>
      </c>
      <c r="AA354" s="406" t="e">
        <f t="shared" ca="1" si="145"/>
        <v>#N/A</v>
      </c>
      <c r="AB354" s="406" t="e">
        <f t="shared" ca="1" si="145"/>
        <v>#N/A</v>
      </c>
      <c r="AC354" s="406" t="e">
        <f t="shared" ca="1" si="145"/>
        <v>#N/A</v>
      </c>
      <c r="AD354" s="406" t="e">
        <f t="shared" ca="1" si="145"/>
        <v>#N/A</v>
      </c>
      <c r="AE354" s="406" t="e">
        <f t="shared" ca="1" si="145"/>
        <v>#N/A</v>
      </c>
      <c r="AF354" s="406" t="e">
        <f t="shared" ca="1" si="145"/>
        <v>#N/A</v>
      </c>
      <c r="AG354" s="406" t="e">
        <f t="shared" ca="1" si="145"/>
        <v>#N/A</v>
      </c>
      <c r="AH354" s="406" t="e">
        <f t="shared" ca="1" si="147"/>
        <v>#N/A</v>
      </c>
      <c r="AI354" s="406" t="e">
        <f t="shared" ca="1" si="147"/>
        <v>#N/A</v>
      </c>
      <c r="AJ354" s="406" t="e">
        <f t="shared" ca="1" si="147"/>
        <v>#N/A</v>
      </c>
      <c r="AK354" s="406" t="e">
        <f t="shared" ca="1" si="147"/>
        <v>#N/A</v>
      </c>
      <c r="AL354" s="406" t="e">
        <f t="shared" ca="1" si="147"/>
        <v>#N/A</v>
      </c>
      <c r="AM354" s="406" t="e">
        <f t="shared" ca="1" si="147"/>
        <v>#N/A</v>
      </c>
      <c r="AN354" s="406" t="e">
        <f t="shared" ca="1" si="147"/>
        <v>#N/A</v>
      </c>
      <c r="AO354" s="406" t="e">
        <f t="shared" ca="1" si="147"/>
        <v>#N/A</v>
      </c>
      <c r="AP354" s="406" t="e">
        <f t="shared" ca="1" si="147"/>
        <v>#N/A</v>
      </c>
      <c r="AQ354" s="406" t="e">
        <f t="shared" ca="1" si="147"/>
        <v>#N/A</v>
      </c>
      <c r="AR354" s="406" t="e">
        <f t="shared" ca="1" si="144"/>
        <v>#N/A</v>
      </c>
      <c r="AS354" s="406" t="e">
        <f t="shared" ca="1" si="144"/>
        <v>#N/A</v>
      </c>
      <c r="AT354" s="406" t="e">
        <f t="shared" ca="1" si="144"/>
        <v>#N/A</v>
      </c>
      <c r="AU354" s="406" t="e">
        <f t="shared" ca="1" si="144"/>
        <v>#N/A</v>
      </c>
      <c r="AV354" s="406" t="e">
        <f t="shared" ca="1" si="144"/>
        <v>#N/A</v>
      </c>
      <c r="AW354" s="406" t="e">
        <f t="shared" ca="1" si="144"/>
        <v>#N/A</v>
      </c>
      <c r="AX354" s="406" t="e">
        <f t="shared" ca="1" si="144"/>
        <v>#N/A</v>
      </c>
      <c r="AY354" s="406" t="e">
        <f t="shared" ca="1" si="144"/>
        <v>#N/A</v>
      </c>
      <c r="AZ354" s="406" t="e">
        <f t="shared" ca="1" si="144"/>
        <v>#N/A</v>
      </c>
      <c r="BA354" s="406" t="e">
        <f t="shared" ca="1" si="144"/>
        <v>#N/A</v>
      </c>
      <c r="BB354" s="408"/>
      <c r="BC354" s="408" t="str">
        <f t="shared" ca="1" si="141"/>
        <v/>
      </c>
      <c r="BD354" s="408" t="s">
        <v>1278</v>
      </c>
      <c r="BE354" s="408" t="s">
        <v>1278</v>
      </c>
    </row>
    <row r="355" spans="3:57" x14ac:dyDescent="0.25">
      <c r="C355" s="406">
        <f t="shared" si="143"/>
        <v>353</v>
      </c>
      <c r="D355" s="406" t="e">
        <f t="shared" ca="1" si="148"/>
        <v>#N/A</v>
      </c>
      <c r="E355" s="406" t="e">
        <f t="shared" ca="1" si="148"/>
        <v>#N/A</v>
      </c>
      <c r="F355" s="406" t="e">
        <f t="shared" ca="1" si="148"/>
        <v>#N/A</v>
      </c>
      <c r="G355" s="406" t="e">
        <f t="shared" ca="1" si="148"/>
        <v>#N/A</v>
      </c>
      <c r="H355" s="406" t="e">
        <f t="shared" ca="1" si="148"/>
        <v>#N/A</v>
      </c>
      <c r="I355" s="406" t="e">
        <f t="shared" ca="1" si="148"/>
        <v>#N/A</v>
      </c>
      <c r="J355" s="406" t="e">
        <f t="shared" ca="1" si="148"/>
        <v>#N/A</v>
      </c>
      <c r="K355" s="406" t="e">
        <f t="shared" ca="1" si="148"/>
        <v>#N/A</v>
      </c>
      <c r="L355" s="406" t="e">
        <f t="shared" ca="1" si="148"/>
        <v>#N/A</v>
      </c>
      <c r="M355" s="406" t="e">
        <f t="shared" ca="1" si="148"/>
        <v>#N/A</v>
      </c>
      <c r="N355" s="406" t="e">
        <f t="shared" ca="1" si="146"/>
        <v>#N/A</v>
      </c>
      <c r="O355" s="406" t="e">
        <f t="shared" ca="1" si="146"/>
        <v>#N/A</v>
      </c>
      <c r="P355" s="406" t="e">
        <f t="shared" ca="1" si="146"/>
        <v>#N/A</v>
      </c>
      <c r="Q355" s="406" t="e">
        <f t="shared" ca="1" si="146"/>
        <v>#N/A</v>
      </c>
      <c r="R355" s="406" t="e">
        <f t="shared" ca="1" si="146"/>
        <v>#N/A</v>
      </c>
      <c r="S355" s="406" t="e">
        <f t="shared" ca="1" si="146"/>
        <v>#N/A</v>
      </c>
      <c r="T355" s="406" t="e">
        <f t="shared" ca="1" si="146"/>
        <v>#N/A</v>
      </c>
      <c r="U355" s="406" t="e">
        <f t="shared" ca="1" si="146"/>
        <v>#N/A</v>
      </c>
      <c r="V355" s="406" t="e">
        <f t="shared" ca="1" si="146"/>
        <v>#N/A</v>
      </c>
      <c r="W355" s="406" t="e">
        <f t="shared" ca="1" si="146"/>
        <v>#N/A</v>
      </c>
      <c r="X355" s="406" t="e">
        <f t="shared" ca="1" si="145"/>
        <v>#N/A</v>
      </c>
      <c r="Y355" s="406" t="e">
        <f t="shared" ca="1" si="145"/>
        <v>#N/A</v>
      </c>
      <c r="Z355" s="406" t="e">
        <f t="shared" ca="1" si="145"/>
        <v>#N/A</v>
      </c>
      <c r="AA355" s="406" t="e">
        <f t="shared" ca="1" si="145"/>
        <v>#N/A</v>
      </c>
      <c r="AB355" s="406" t="e">
        <f t="shared" ca="1" si="145"/>
        <v>#N/A</v>
      </c>
      <c r="AC355" s="406" t="e">
        <f t="shared" ca="1" si="145"/>
        <v>#N/A</v>
      </c>
      <c r="AD355" s="406" t="e">
        <f t="shared" ca="1" si="145"/>
        <v>#N/A</v>
      </c>
      <c r="AE355" s="406" t="e">
        <f t="shared" ca="1" si="145"/>
        <v>#N/A</v>
      </c>
      <c r="AF355" s="406" t="e">
        <f t="shared" ca="1" si="145"/>
        <v>#N/A</v>
      </c>
      <c r="AG355" s="406" t="e">
        <f t="shared" ca="1" si="145"/>
        <v>#N/A</v>
      </c>
      <c r="AH355" s="406" t="e">
        <f t="shared" ca="1" si="147"/>
        <v>#N/A</v>
      </c>
      <c r="AI355" s="406" t="e">
        <f t="shared" ca="1" si="147"/>
        <v>#N/A</v>
      </c>
      <c r="AJ355" s="406" t="e">
        <f t="shared" ca="1" si="147"/>
        <v>#N/A</v>
      </c>
      <c r="AK355" s="406" t="e">
        <f t="shared" ca="1" si="147"/>
        <v>#N/A</v>
      </c>
      <c r="AL355" s="406" t="e">
        <f t="shared" ca="1" si="147"/>
        <v>#N/A</v>
      </c>
      <c r="AM355" s="406" t="e">
        <f t="shared" ca="1" si="147"/>
        <v>#N/A</v>
      </c>
      <c r="AN355" s="406" t="e">
        <f t="shared" ca="1" si="147"/>
        <v>#N/A</v>
      </c>
      <c r="AO355" s="406" t="e">
        <f t="shared" ca="1" si="147"/>
        <v>#N/A</v>
      </c>
      <c r="AP355" s="406" t="e">
        <f t="shared" ca="1" si="147"/>
        <v>#N/A</v>
      </c>
      <c r="AQ355" s="406" t="e">
        <f t="shared" ca="1" si="147"/>
        <v>#N/A</v>
      </c>
      <c r="AR355" s="406" t="e">
        <f t="shared" ca="1" si="144"/>
        <v>#N/A</v>
      </c>
      <c r="AS355" s="406" t="e">
        <f t="shared" ca="1" si="144"/>
        <v>#N/A</v>
      </c>
      <c r="AT355" s="406" t="e">
        <f t="shared" ca="1" si="144"/>
        <v>#N/A</v>
      </c>
      <c r="AU355" s="406" t="e">
        <f t="shared" ca="1" si="144"/>
        <v>#N/A</v>
      </c>
      <c r="AV355" s="406" t="e">
        <f t="shared" ca="1" si="144"/>
        <v>#N/A</v>
      </c>
      <c r="AW355" s="406" t="e">
        <f t="shared" ca="1" si="144"/>
        <v>#N/A</v>
      </c>
      <c r="AX355" s="406" t="e">
        <f t="shared" ca="1" si="144"/>
        <v>#N/A</v>
      </c>
      <c r="AY355" s="406" t="e">
        <f t="shared" ca="1" si="144"/>
        <v>#N/A</v>
      </c>
      <c r="AZ355" s="406" t="e">
        <f t="shared" ca="1" si="144"/>
        <v>#N/A</v>
      </c>
      <c r="BA355" s="406" t="e">
        <f t="shared" ca="1" si="144"/>
        <v>#N/A</v>
      </c>
      <c r="BB355" s="408"/>
      <c r="BC355" s="408" t="str">
        <f t="shared" ca="1" si="141"/>
        <v/>
      </c>
      <c r="BD355" s="408" t="s">
        <v>1278</v>
      </c>
      <c r="BE355" s="408" t="s">
        <v>1278</v>
      </c>
    </row>
    <row r="356" spans="3:57" x14ac:dyDescent="0.25">
      <c r="C356" s="406">
        <f t="shared" si="143"/>
        <v>354</v>
      </c>
      <c r="D356" s="406" t="e">
        <f t="shared" ca="1" si="148"/>
        <v>#N/A</v>
      </c>
      <c r="E356" s="406" t="e">
        <f t="shared" ca="1" si="148"/>
        <v>#N/A</v>
      </c>
      <c r="F356" s="406" t="e">
        <f t="shared" ca="1" si="148"/>
        <v>#N/A</v>
      </c>
      <c r="G356" s="406" t="e">
        <f t="shared" ca="1" si="148"/>
        <v>#N/A</v>
      </c>
      <c r="H356" s="406" t="e">
        <f t="shared" ca="1" si="148"/>
        <v>#N/A</v>
      </c>
      <c r="I356" s="406" t="e">
        <f t="shared" ca="1" si="148"/>
        <v>#N/A</v>
      </c>
      <c r="J356" s="406" t="e">
        <f t="shared" ca="1" si="148"/>
        <v>#N/A</v>
      </c>
      <c r="K356" s="406" t="e">
        <f t="shared" ca="1" si="148"/>
        <v>#N/A</v>
      </c>
      <c r="L356" s="406" t="e">
        <f t="shared" ca="1" si="148"/>
        <v>#N/A</v>
      </c>
      <c r="M356" s="406" t="e">
        <f t="shared" ca="1" si="148"/>
        <v>#N/A</v>
      </c>
      <c r="N356" s="406" t="e">
        <f t="shared" ca="1" si="146"/>
        <v>#N/A</v>
      </c>
      <c r="O356" s="406" t="e">
        <f t="shared" ca="1" si="146"/>
        <v>#N/A</v>
      </c>
      <c r="P356" s="406" t="e">
        <f t="shared" ca="1" si="146"/>
        <v>#N/A</v>
      </c>
      <c r="Q356" s="406" t="e">
        <f t="shared" ca="1" si="146"/>
        <v>#N/A</v>
      </c>
      <c r="R356" s="406" t="e">
        <f t="shared" ca="1" si="146"/>
        <v>#N/A</v>
      </c>
      <c r="S356" s="406" t="e">
        <f t="shared" ca="1" si="146"/>
        <v>#N/A</v>
      </c>
      <c r="T356" s="406" t="e">
        <f t="shared" ca="1" si="146"/>
        <v>#N/A</v>
      </c>
      <c r="U356" s="406" t="e">
        <f t="shared" ca="1" si="146"/>
        <v>#N/A</v>
      </c>
      <c r="V356" s="406" t="e">
        <f t="shared" ca="1" si="146"/>
        <v>#N/A</v>
      </c>
      <c r="W356" s="406" t="e">
        <f t="shared" ca="1" si="146"/>
        <v>#N/A</v>
      </c>
      <c r="X356" s="406" t="e">
        <f t="shared" ca="1" si="145"/>
        <v>#N/A</v>
      </c>
      <c r="Y356" s="406" t="e">
        <f t="shared" ca="1" si="145"/>
        <v>#N/A</v>
      </c>
      <c r="Z356" s="406" t="e">
        <f t="shared" ca="1" si="145"/>
        <v>#N/A</v>
      </c>
      <c r="AA356" s="406" t="e">
        <f t="shared" ca="1" si="145"/>
        <v>#N/A</v>
      </c>
      <c r="AB356" s="406" t="e">
        <f t="shared" ca="1" si="145"/>
        <v>#N/A</v>
      </c>
      <c r="AC356" s="406" t="e">
        <f t="shared" ca="1" si="145"/>
        <v>#N/A</v>
      </c>
      <c r="AD356" s="406" t="e">
        <f t="shared" ca="1" si="145"/>
        <v>#N/A</v>
      </c>
      <c r="AE356" s="406" t="e">
        <f t="shared" ca="1" si="145"/>
        <v>#N/A</v>
      </c>
      <c r="AF356" s="406" t="e">
        <f t="shared" ca="1" si="145"/>
        <v>#N/A</v>
      </c>
      <c r="AG356" s="406" t="e">
        <f t="shared" ca="1" si="145"/>
        <v>#N/A</v>
      </c>
      <c r="AH356" s="406" t="e">
        <f t="shared" ca="1" si="147"/>
        <v>#N/A</v>
      </c>
      <c r="AI356" s="406" t="e">
        <f t="shared" ca="1" si="147"/>
        <v>#N/A</v>
      </c>
      <c r="AJ356" s="406" t="e">
        <f t="shared" ca="1" si="147"/>
        <v>#N/A</v>
      </c>
      <c r="AK356" s="406" t="e">
        <f t="shared" ca="1" si="147"/>
        <v>#N/A</v>
      </c>
      <c r="AL356" s="406" t="e">
        <f t="shared" ca="1" si="147"/>
        <v>#N/A</v>
      </c>
      <c r="AM356" s="406" t="e">
        <f t="shared" ca="1" si="147"/>
        <v>#N/A</v>
      </c>
      <c r="AN356" s="406" t="e">
        <f t="shared" ca="1" si="147"/>
        <v>#N/A</v>
      </c>
      <c r="AO356" s="406" t="e">
        <f t="shared" ca="1" si="147"/>
        <v>#N/A</v>
      </c>
      <c r="AP356" s="406" t="e">
        <f t="shared" ca="1" si="147"/>
        <v>#N/A</v>
      </c>
      <c r="AQ356" s="406" t="e">
        <f t="shared" ca="1" si="147"/>
        <v>#N/A</v>
      </c>
      <c r="AR356" s="406" t="e">
        <f t="shared" ca="1" si="144"/>
        <v>#N/A</v>
      </c>
      <c r="AS356" s="406" t="e">
        <f t="shared" ca="1" si="144"/>
        <v>#N/A</v>
      </c>
      <c r="AT356" s="406" t="e">
        <f t="shared" ca="1" si="144"/>
        <v>#N/A</v>
      </c>
      <c r="AU356" s="406" t="e">
        <f t="shared" ca="1" si="144"/>
        <v>#N/A</v>
      </c>
      <c r="AV356" s="406" t="e">
        <f t="shared" ca="1" si="144"/>
        <v>#N/A</v>
      </c>
      <c r="AW356" s="406" t="e">
        <f t="shared" ca="1" si="144"/>
        <v>#N/A</v>
      </c>
      <c r="AX356" s="406" t="e">
        <f t="shared" ca="1" si="144"/>
        <v>#N/A</v>
      </c>
      <c r="AY356" s="406" t="e">
        <f t="shared" ca="1" si="144"/>
        <v>#N/A</v>
      </c>
      <c r="AZ356" s="406" t="e">
        <f t="shared" ca="1" si="144"/>
        <v>#N/A</v>
      </c>
      <c r="BA356" s="406" t="e">
        <f t="shared" ca="1" si="144"/>
        <v>#N/A</v>
      </c>
      <c r="BB356" s="408"/>
      <c r="BC356" s="408" t="str">
        <f t="shared" ca="1" si="141"/>
        <v/>
      </c>
      <c r="BD356" s="408" t="s">
        <v>1278</v>
      </c>
      <c r="BE356" s="408" t="s">
        <v>1278</v>
      </c>
    </row>
    <row r="357" spans="3:57" ht="15" customHeight="1" x14ac:dyDescent="0.25">
      <c r="C357" s="406">
        <f t="shared" si="143"/>
        <v>355</v>
      </c>
      <c r="D357" s="406" t="e">
        <f t="shared" ca="1" si="148"/>
        <v>#N/A</v>
      </c>
      <c r="E357" s="406" t="e">
        <f t="shared" ca="1" si="148"/>
        <v>#N/A</v>
      </c>
      <c r="F357" s="406" t="e">
        <f t="shared" ca="1" si="148"/>
        <v>#N/A</v>
      </c>
      <c r="G357" s="406" t="e">
        <f t="shared" ca="1" si="148"/>
        <v>#N/A</v>
      </c>
      <c r="H357" s="406" t="e">
        <f t="shared" ca="1" si="148"/>
        <v>#N/A</v>
      </c>
      <c r="I357" s="406" t="e">
        <f t="shared" ca="1" si="148"/>
        <v>#N/A</v>
      </c>
      <c r="J357" s="406" t="e">
        <f t="shared" ca="1" si="148"/>
        <v>#N/A</v>
      </c>
      <c r="K357" s="406" t="e">
        <f t="shared" ca="1" si="148"/>
        <v>#N/A</v>
      </c>
      <c r="L357" s="406" t="e">
        <f t="shared" ca="1" si="148"/>
        <v>#N/A</v>
      </c>
      <c r="M357" s="406" t="e">
        <f t="shared" ca="1" si="148"/>
        <v>#N/A</v>
      </c>
      <c r="N357" s="406" t="e">
        <f t="shared" ca="1" si="146"/>
        <v>#N/A</v>
      </c>
      <c r="O357" s="406" t="e">
        <f t="shared" ca="1" si="146"/>
        <v>#N/A</v>
      </c>
      <c r="P357" s="406" t="e">
        <f t="shared" ca="1" si="146"/>
        <v>#N/A</v>
      </c>
      <c r="Q357" s="406" t="e">
        <f t="shared" ca="1" si="146"/>
        <v>#N/A</v>
      </c>
      <c r="R357" s="406" t="e">
        <f t="shared" ca="1" si="146"/>
        <v>#N/A</v>
      </c>
      <c r="S357" s="406" t="e">
        <f t="shared" ca="1" si="146"/>
        <v>#N/A</v>
      </c>
      <c r="T357" s="406" t="e">
        <f t="shared" ca="1" si="146"/>
        <v>#N/A</v>
      </c>
      <c r="U357" s="406" t="e">
        <f t="shared" ca="1" si="146"/>
        <v>#N/A</v>
      </c>
      <c r="V357" s="406" t="e">
        <f t="shared" ca="1" si="146"/>
        <v>#N/A</v>
      </c>
      <c r="W357" s="406" t="e">
        <f t="shared" ca="1" si="146"/>
        <v>#N/A</v>
      </c>
      <c r="X357" s="406" t="e">
        <f t="shared" ca="1" si="145"/>
        <v>#N/A</v>
      </c>
      <c r="Y357" s="406" t="e">
        <f t="shared" ca="1" si="145"/>
        <v>#N/A</v>
      </c>
      <c r="Z357" s="406" t="e">
        <f t="shared" ca="1" si="145"/>
        <v>#N/A</v>
      </c>
      <c r="AA357" s="406" t="e">
        <f t="shared" ca="1" si="145"/>
        <v>#N/A</v>
      </c>
      <c r="AB357" s="406" t="e">
        <f t="shared" ca="1" si="145"/>
        <v>#N/A</v>
      </c>
      <c r="AC357" s="406" t="e">
        <f t="shared" ca="1" si="145"/>
        <v>#N/A</v>
      </c>
      <c r="AD357" s="406" t="e">
        <f t="shared" ca="1" si="145"/>
        <v>#N/A</v>
      </c>
      <c r="AE357" s="406" t="e">
        <f t="shared" ca="1" si="145"/>
        <v>#N/A</v>
      </c>
      <c r="AF357" s="406" t="e">
        <f t="shared" ca="1" si="145"/>
        <v>#N/A</v>
      </c>
      <c r="AG357" s="406" t="e">
        <f t="shared" ca="1" si="145"/>
        <v>#N/A</v>
      </c>
      <c r="AH357" s="406" t="e">
        <f t="shared" ca="1" si="147"/>
        <v>#N/A</v>
      </c>
      <c r="AI357" s="406" t="e">
        <f t="shared" ca="1" si="147"/>
        <v>#N/A</v>
      </c>
      <c r="AJ357" s="406" t="e">
        <f t="shared" ca="1" si="147"/>
        <v>#N/A</v>
      </c>
      <c r="AK357" s="406" t="e">
        <f t="shared" ca="1" si="147"/>
        <v>#N/A</v>
      </c>
      <c r="AL357" s="406" t="e">
        <f t="shared" ca="1" si="147"/>
        <v>#N/A</v>
      </c>
      <c r="AM357" s="406" t="e">
        <f t="shared" ca="1" si="147"/>
        <v>#N/A</v>
      </c>
      <c r="AN357" s="406" t="e">
        <f t="shared" ca="1" si="147"/>
        <v>#N/A</v>
      </c>
      <c r="AO357" s="406" t="e">
        <f t="shared" ca="1" si="147"/>
        <v>#N/A</v>
      </c>
      <c r="AP357" s="406" t="e">
        <f t="shared" ca="1" si="147"/>
        <v>#N/A</v>
      </c>
      <c r="AQ357" s="406" t="e">
        <f t="shared" ca="1" si="147"/>
        <v>#N/A</v>
      </c>
      <c r="AR357" s="406" t="e">
        <f t="shared" ca="1" si="144"/>
        <v>#N/A</v>
      </c>
      <c r="AS357" s="406" t="e">
        <f t="shared" ca="1" si="144"/>
        <v>#N/A</v>
      </c>
      <c r="AT357" s="406" t="e">
        <f t="shared" ca="1" si="144"/>
        <v>#N/A</v>
      </c>
      <c r="AU357" s="406" t="e">
        <f t="shared" ca="1" si="144"/>
        <v>#N/A</v>
      </c>
      <c r="AV357" s="406" t="e">
        <f t="shared" ca="1" si="144"/>
        <v>#N/A</v>
      </c>
      <c r="AW357" s="406" t="e">
        <f t="shared" ca="1" si="144"/>
        <v>#N/A</v>
      </c>
      <c r="AX357" s="406" t="e">
        <f t="shared" ca="1" si="144"/>
        <v>#N/A</v>
      </c>
      <c r="AY357" s="406" t="e">
        <f t="shared" ca="1" si="144"/>
        <v>#N/A</v>
      </c>
      <c r="AZ357" s="406" t="e">
        <f t="shared" ca="1" si="144"/>
        <v>#N/A</v>
      </c>
      <c r="BA357" s="406" t="e">
        <f t="shared" ca="1" si="144"/>
        <v>#N/A</v>
      </c>
      <c r="BB357" s="408"/>
      <c r="BC357" s="408" t="str">
        <f t="shared" ca="1" si="141"/>
        <v/>
      </c>
      <c r="BD357" s="408" t="s">
        <v>1278</v>
      </c>
      <c r="BE357" s="408" t="s">
        <v>1278</v>
      </c>
    </row>
    <row r="358" spans="3:57" x14ac:dyDescent="0.25">
      <c r="C358" s="406">
        <f t="shared" si="143"/>
        <v>356</v>
      </c>
      <c r="D358" s="406" t="e">
        <f t="shared" ca="1" si="148"/>
        <v>#N/A</v>
      </c>
      <c r="E358" s="406" t="e">
        <f t="shared" ca="1" si="148"/>
        <v>#N/A</v>
      </c>
      <c r="F358" s="406" t="e">
        <f t="shared" ca="1" si="148"/>
        <v>#N/A</v>
      </c>
      <c r="G358" s="406" t="e">
        <f t="shared" ca="1" si="148"/>
        <v>#N/A</v>
      </c>
      <c r="H358" s="406" t="e">
        <f t="shared" ca="1" si="148"/>
        <v>#N/A</v>
      </c>
      <c r="I358" s="406" t="e">
        <f t="shared" ca="1" si="148"/>
        <v>#N/A</v>
      </c>
      <c r="J358" s="406" t="e">
        <f t="shared" ca="1" si="148"/>
        <v>#N/A</v>
      </c>
      <c r="K358" s="406" t="e">
        <f t="shared" ca="1" si="148"/>
        <v>#N/A</v>
      </c>
      <c r="L358" s="406" t="e">
        <f t="shared" ca="1" si="148"/>
        <v>#N/A</v>
      </c>
      <c r="M358" s="406" t="e">
        <f t="shared" ca="1" si="148"/>
        <v>#N/A</v>
      </c>
      <c r="N358" s="406" t="e">
        <f t="shared" ca="1" si="146"/>
        <v>#N/A</v>
      </c>
      <c r="O358" s="406" t="e">
        <f t="shared" ca="1" si="146"/>
        <v>#N/A</v>
      </c>
      <c r="P358" s="406" t="e">
        <f t="shared" ca="1" si="146"/>
        <v>#N/A</v>
      </c>
      <c r="Q358" s="406" t="e">
        <f t="shared" ca="1" si="146"/>
        <v>#N/A</v>
      </c>
      <c r="R358" s="406" t="e">
        <f t="shared" ca="1" si="146"/>
        <v>#N/A</v>
      </c>
      <c r="S358" s="406" t="e">
        <f t="shared" ca="1" si="146"/>
        <v>#N/A</v>
      </c>
      <c r="T358" s="406" t="e">
        <f t="shared" ca="1" si="146"/>
        <v>#N/A</v>
      </c>
      <c r="U358" s="406" t="e">
        <f t="shared" ca="1" si="146"/>
        <v>#N/A</v>
      </c>
      <c r="V358" s="406" t="e">
        <f t="shared" ca="1" si="146"/>
        <v>#N/A</v>
      </c>
      <c r="W358" s="406" t="e">
        <f t="shared" ca="1" si="146"/>
        <v>#N/A</v>
      </c>
      <c r="X358" s="406" t="e">
        <f t="shared" ca="1" si="145"/>
        <v>#N/A</v>
      </c>
      <c r="Y358" s="406" t="e">
        <f t="shared" ca="1" si="145"/>
        <v>#N/A</v>
      </c>
      <c r="Z358" s="406" t="e">
        <f t="shared" ca="1" si="145"/>
        <v>#N/A</v>
      </c>
      <c r="AA358" s="406" t="e">
        <f t="shared" ca="1" si="145"/>
        <v>#N/A</v>
      </c>
      <c r="AB358" s="406" t="e">
        <f t="shared" ca="1" si="145"/>
        <v>#N/A</v>
      </c>
      <c r="AC358" s="406" t="e">
        <f t="shared" ca="1" si="145"/>
        <v>#N/A</v>
      </c>
      <c r="AD358" s="406" t="e">
        <f t="shared" ca="1" si="145"/>
        <v>#N/A</v>
      </c>
      <c r="AE358" s="406" t="e">
        <f t="shared" ca="1" si="145"/>
        <v>#N/A</v>
      </c>
      <c r="AF358" s="406" t="e">
        <f t="shared" ca="1" si="145"/>
        <v>#N/A</v>
      </c>
      <c r="AG358" s="406" t="e">
        <f t="shared" ca="1" si="145"/>
        <v>#N/A</v>
      </c>
      <c r="AH358" s="406" t="e">
        <f t="shared" ca="1" si="147"/>
        <v>#N/A</v>
      </c>
      <c r="AI358" s="406" t="e">
        <f t="shared" ca="1" si="147"/>
        <v>#N/A</v>
      </c>
      <c r="AJ358" s="406" t="e">
        <f t="shared" ca="1" si="147"/>
        <v>#N/A</v>
      </c>
      <c r="AK358" s="406" t="e">
        <f t="shared" ca="1" si="147"/>
        <v>#N/A</v>
      </c>
      <c r="AL358" s="406" t="e">
        <f t="shared" ca="1" si="147"/>
        <v>#N/A</v>
      </c>
      <c r="AM358" s="406" t="e">
        <f t="shared" ca="1" si="147"/>
        <v>#N/A</v>
      </c>
      <c r="AN358" s="406" t="e">
        <f t="shared" ca="1" si="147"/>
        <v>#N/A</v>
      </c>
      <c r="AO358" s="406" t="e">
        <f t="shared" ca="1" si="147"/>
        <v>#N/A</v>
      </c>
      <c r="AP358" s="406" t="e">
        <f t="shared" ca="1" si="147"/>
        <v>#N/A</v>
      </c>
      <c r="AQ358" s="406" t="e">
        <f t="shared" ca="1" si="147"/>
        <v>#N/A</v>
      </c>
      <c r="AR358" s="406" t="e">
        <f t="shared" ca="1" si="144"/>
        <v>#N/A</v>
      </c>
      <c r="AS358" s="406" t="e">
        <f t="shared" ca="1" si="144"/>
        <v>#N/A</v>
      </c>
      <c r="AT358" s="406" t="e">
        <f t="shared" ca="1" si="144"/>
        <v>#N/A</v>
      </c>
      <c r="AU358" s="406" t="e">
        <f t="shared" ca="1" si="144"/>
        <v>#N/A</v>
      </c>
      <c r="AV358" s="406" t="e">
        <f t="shared" ca="1" si="144"/>
        <v>#N/A</v>
      </c>
      <c r="AW358" s="406" t="e">
        <f t="shared" ca="1" si="144"/>
        <v>#N/A</v>
      </c>
      <c r="AX358" s="406" t="e">
        <f t="shared" ca="1" si="144"/>
        <v>#N/A</v>
      </c>
      <c r="AY358" s="406" t="e">
        <f t="shared" ca="1" si="144"/>
        <v>#N/A</v>
      </c>
      <c r="AZ358" s="406" t="e">
        <f t="shared" ca="1" si="144"/>
        <v>#N/A</v>
      </c>
      <c r="BA358" s="406" t="e">
        <f t="shared" ca="1" si="144"/>
        <v>#N/A</v>
      </c>
      <c r="BB358" s="408"/>
      <c r="BC358" s="408" t="str">
        <f t="shared" ca="1" si="141"/>
        <v/>
      </c>
      <c r="BD358" s="408" t="s">
        <v>1278</v>
      </c>
      <c r="BE358" s="408" t="s">
        <v>1278</v>
      </c>
    </row>
    <row r="359" spans="3:57" x14ac:dyDescent="0.25">
      <c r="C359" s="406">
        <f t="shared" si="143"/>
        <v>357</v>
      </c>
      <c r="D359" s="406" t="e">
        <f t="shared" ca="1" si="148"/>
        <v>#N/A</v>
      </c>
      <c r="E359" s="406" t="e">
        <f t="shared" ca="1" si="148"/>
        <v>#N/A</v>
      </c>
      <c r="F359" s="406" t="e">
        <f t="shared" ca="1" si="148"/>
        <v>#N/A</v>
      </c>
      <c r="G359" s="406" t="e">
        <f t="shared" ca="1" si="148"/>
        <v>#N/A</v>
      </c>
      <c r="H359" s="406" t="e">
        <f t="shared" ca="1" si="148"/>
        <v>#N/A</v>
      </c>
      <c r="I359" s="406" t="e">
        <f t="shared" ca="1" si="148"/>
        <v>#N/A</v>
      </c>
      <c r="J359" s="406" t="e">
        <f t="shared" ca="1" si="148"/>
        <v>#N/A</v>
      </c>
      <c r="K359" s="406" t="e">
        <f t="shared" ca="1" si="148"/>
        <v>#N/A</v>
      </c>
      <c r="L359" s="406" t="e">
        <f t="shared" ca="1" si="148"/>
        <v>#N/A</v>
      </c>
      <c r="M359" s="406" t="e">
        <f t="shared" ca="1" si="148"/>
        <v>#N/A</v>
      </c>
      <c r="N359" s="406" t="e">
        <f t="shared" ca="1" si="146"/>
        <v>#N/A</v>
      </c>
      <c r="O359" s="406" t="e">
        <f t="shared" ca="1" si="146"/>
        <v>#N/A</v>
      </c>
      <c r="P359" s="406" t="e">
        <f t="shared" ca="1" si="146"/>
        <v>#N/A</v>
      </c>
      <c r="Q359" s="406" t="e">
        <f t="shared" ca="1" si="146"/>
        <v>#N/A</v>
      </c>
      <c r="R359" s="406" t="e">
        <f t="shared" ca="1" si="146"/>
        <v>#N/A</v>
      </c>
      <c r="S359" s="406" t="e">
        <f t="shared" ca="1" si="146"/>
        <v>#N/A</v>
      </c>
      <c r="T359" s="406" t="e">
        <f t="shared" ca="1" si="146"/>
        <v>#N/A</v>
      </c>
      <c r="U359" s="406" t="e">
        <f t="shared" ca="1" si="146"/>
        <v>#N/A</v>
      </c>
      <c r="V359" s="406" t="e">
        <f t="shared" ca="1" si="146"/>
        <v>#N/A</v>
      </c>
      <c r="W359" s="406" t="e">
        <f t="shared" ca="1" si="146"/>
        <v>#N/A</v>
      </c>
      <c r="X359" s="406" t="e">
        <f t="shared" ca="1" si="145"/>
        <v>#N/A</v>
      </c>
      <c r="Y359" s="406" t="e">
        <f t="shared" ca="1" si="145"/>
        <v>#N/A</v>
      </c>
      <c r="Z359" s="406" t="e">
        <f t="shared" ca="1" si="145"/>
        <v>#N/A</v>
      </c>
      <c r="AA359" s="406" t="e">
        <f t="shared" ca="1" si="145"/>
        <v>#N/A</v>
      </c>
      <c r="AB359" s="406" t="e">
        <f t="shared" ca="1" si="145"/>
        <v>#N/A</v>
      </c>
      <c r="AC359" s="406" t="e">
        <f t="shared" ca="1" si="145"/>
        <v>#N/A</v>
      </c>
      <c r="AD359" s="406" t="e">
        <f t="shared" ca="1" si="145"/>
        <v>#N/A</v>
      </c>
      <c r="AE359" s="406" t="e">
        <f t="shared" ca="1" si="145"/>
        <v>#N/A</v>
      </c>
      <c r="AF359" s="406" t="e">
        <f t="shared" ca="1" si="145"/>
        <v>#N/A</v>
      </c>
      <c r="AG359" s="406" t="e">
        <f t="shared" ca="1" si="145"/>
        <v>#N/A</v>
      </c>
      <c r="AH359" s="406" t="e">
        <f t="shared" ca="1" si="147"/>
        <v>#N/A</v>
      </c>
      <c r="AI359" s="406" t="e">
        <f t="shared" ca="1" si="147"/>
        <v>#N/A</v>
      </c>
      <c r="AJ359" s="406" t="e">
        <f t="shared" ca="1" si="147"/>
        <v>#N/A</v>
      </c>
      <c r="AK359" s="406" t="e">
        <f t="shared" ca="1" si="147"/>
        <v>#N/A</v>
      </c>
      <c r="AL359" s="406" t="e">
        <f t="shared" ca="1" si="147"/>
        <v>#N/A</v>
      </c>
      <c r="AM359" s="406" t="e">
        <f t="shared" ca="1" si="147"/>
        <v>#N/A</v>
      </c>
      <c r="AN359" s="406" t="e">
        <f t="shared" ca="1" si="147"/>
        <v>#N/A</v>
      </c>
      <c r="AO359" s="406" t="e">
        <f t="shared" ca="1" si="147"/>
        <v>#N/A</v>
      </c>
      <c r="AP359" s="406" t="e">
        <f t="shared" ca="1" si="147"/>
        <v>#N/A</v>
      </c>
      <c r="AQ359" s="406" t="e">
        <f t="shared" ca="1" si="147"/>
        <v>#N/A</v>
      </c>
      <c r="AR359" s="406" t="e">
        <f t="shared" ca="1" si="144"/>
        <v>#N/A</v>
      </c>
      <c r="AS359" s="406" t="e">
        <f t="shared" ca="1" si="144"/>
        <v>#N/A</v>
      </c>
      <c r="AT359" s="406" t="e">
        <f t="shared" ca="1" si="144"/>
        <v>#N/A</v>
      </c>
      <c r="AU359" s="406" t="e">
        <f t="shared" ca="1" si="144"/>
        <v>#N/A</v>
      </c>
      <c r="AV359" s="406" t="e">
        <f t="shared" ca="1" si="144"/>
        <v>#N/A</v>
      </c>
      <c r="AW359" s="406" t="e">
        <f t="shared" ca="1" si="144"/>
        <v>#N/A</v>
      </c>
      <c r="AX359" s="406" t="e">
        <f t="shared" ca="1" si="144"/>
        <v>#N/A</v>
      </c>
      <c r="AY359" s="406" t="e">
        <f t="shared" ca="1" si="144"/>
        <v>#N/A</v>
      </c>
      <c r="AZ359" s="406" t="e">
        <f t="shared" ca="1" si="144"/>
        <v>#N/A</v>
      </c>
      <c r="BA359" s="406" t="e">
        <f t="shared" ca="1" si="144"/>
        <v>#N/A</v>
      </c>
      <c r="BB359" s="408"/>
      <c r="BC359" s="408" t="str">
        <f t="shared" ca="1" si="141"/>
        <v/>
      </c>
      <c r="BD359" s="408" t="s">
        <v>1278</v>
      </c>
      <c r="BE359" s="408" t="s">
        <v>1278</v>
      </c>
    </row>
    <row r="360" spans="3:57" ht="15" customHeight="1" x14ac:dyDescent="0.25">
      <c r="C360" s="406">
        <f t="shared" si="143"/>
        <v>358</v>
      </c>
      <c r="D360" s="406" t="e">
        <f t="shared" ca="1" si="148"/>
        <v>#N/A</v>
      </c>
      <c r="E360" s="406" t="e">
        <f t="shared" ca="1" si="148"/>
        <v>#N/A</v>
      </c>
      <c r="F360" s="406" t="e">
        <f t="shared" ca="1" si="148"/>
        <v>#N/A</v>
      </c>
      <c r="G360" s="406" t="e">
        <f t="shared" ca="1" si="148"/>
        <v>#N/A</v>
      </c>
      <c r="H360" s="406" t="e">
        <f t="shared" ca="1" si="148"/>
        <v>#N/A</v>
      </c>
      <c r="I360" s="406" t="e">
        <f t="shared" ca="1" si="148"/>
        <v>#N/A</v>
      </c>
      <c r="J360" s="406" t="e">
        <f t="shared" ca="1" si="148"/>
        <v>#N/A</v>
      </c>
      <c r="K360" s="406" t="e">
        <f t="shared" ca="1" si="148"/>
        <v>#N/A</v>
      </c>
      <c r="L360" s="406" t="e">
        <f t="shared" ca="1" si="148"/>
        <v>#N/A</v>
      </c>
      <c r="M360" s="406" t="e">
        <f t="shared" ca="1" si="148"/>
        <v>#N/A</v>
      </c>
      <c r="N360" s="406" t="e">
        <f t="shared" ca="1" si="146"/>
        <v>#N/A</v>
      </c>
      <c r="O360" s="406" t="e">
        <f t="shared" ca="1" si="146"/>
        <v>#N/A</v>
      </c>
      <c r="P360" s="406" t="e">
        <f t="shared" ca="1" si="146"/>
        <v>#N/A</v>
      </c>
      <c r="Q360" s="406" t="e">
        <f t="shared" ca="1" si="146"/>
        <v>#N/A</v>
      </c>
      <c r="R360" s="406" t="e">
        <f t="shared" ca="1" si="146"/>
        <v>#N/A</v>
      </c>
      <c r="S360" s="406" t="e">
        <f t="shared" ca="1" si="146"/>
        <v>#N/A</v>
      </c>
      <c r="T360" s="406" t="e">
        <f t="shared" ca="1" si="146"/>
        <v>#N/A</v>
      </c>
      <c r="U360" s="406" t="e">
        <f t="shared" ca="1" si="146"/>
        <v>#N/A</v>
      </c>
      <c r="V360" s="406" t="e">
        <f t="shared" ca="1" si="146"/>
        <v>#N/A</v>
      </c>
      <c r="W360" s="406" t="e">
        <f t="shared" ca="1" si="146"/>
        <v>#N/A</v>
      </c>
      <c r="X360" s="406" t="e">
        <f t="shared" ca="1" si="145"/>
        <v>#N/A</v>
      </c>
      <c r="Y360" s="406" t="e">
        <f t="shared" ca="1" si="145"/>
        <v>#N/A</v>
      </c>
      <c r="Z360" s="406" t="e">
        <f t="shared" ca="1" si="145"/>
        <v>#N/A</v>
      </c>
      <c r="AA360" s="406" t="e">
        <f t="shared" ca="1" si="145"/>
        <v>#N/A</v>
      </c>
      <c r="AB360" s="406" t="e">
        <f t="shared" ca="1" si="145"/>
        <v>#N/A</v>
      </c>
      <c r="AC360" s="406" t="e">
        <f t="shared" ca="1" si="145"/>
        <v>#N/A</v>
      </c>
      <c r="AD360" s="406" t="e">
        <f t="shared" ca="1" si="145"/>
        <v>#N/A</v>
      </c>
      <c r="AE360" s="406" t="e">
        <f t="shared" ca="1" si="145"/>
        <v>#N/A</v>
      </c>
      <c r="AF360" s="406" t="e">
        <f t="shared" ca="1" si="145"/>
        <v>#N/A</v>
      </c>
      <c r="AG360" s="406" t="e">
        <f t="shared" ca="1" si="145"/>
        <v>#N/A</v>
      </c>
      <c r="AH360" s="406" t="e">
        <f t="shared" ca="1" si="147"/>
        <v>#N/A</v>
      </c>
      <c r="AI360" s="406" t="e">
        <f t="shared" ca="1" si="147"/>
        <v>#N/A</v>
      </c>
      <c r="AJ360" s="406" t="e">
        <f t="shared" ca="1" si="147"/>
        <v>#N/A</v>
      </c>
      <c r="AK360" s="406" t="e">
        <f t="shared" ca="1" si="147"/>
        <v>#N/A</v>
      </c>
      <c r="AL360" s="406" t="e">
        <f t="shared" ca="1" si="147"/>
        <v>#N/A</v>
      </c>
      <c r="AM360" s="406" t="e">
        <f t="shared" ca="1" si="147"/>
        <v>#N/A</v>
      </c>
      <c r="AN360" s="406" t="e">
        <f t="shared" ca="1" si="147"/>
        <v>#N/A</v>
      </c>
      <c r="AO360" s="406" t="e">
        <f t="shared" ca="1" si="147"/>
        <v>#N/A</v>
      </c>
      <c r="AP360" s="406" t="e">
        <f t="shared" ca="1" si="147"/>
        <v>#N/A</v>
      </c>
      <c r="AQ360" s="406" t="e">
        <f t="shared" ca="1" si="147"/>
        <v>#N/A</v>
      </c>
      <c r="AR360" s="406" t="e">
        <f t="shared" ca="1" si="144"/>
        <v>#N/A</v>
      </c>
      <c r="AS360" s="406" t="e">
        <f t="shared" ca="1" si="144"/>
        <v>#N/A</v>
      </c>
      <c r="AT360" s="406" t="e">
        <f t="shared" ca="1" si="144"/>
        <v>#N/A</v>
      </c>
      <c r="AU360" s="406" t="e">
        <f t="shared" ca="1" si="144"/>
        <v>#N/A</v>
      </c>
      <c r="AV360" s="406" t="e">
        <f t="shared" ca="1" si="144"/>
        <v>#N/A</v>
      </c>
      <c r="AW360" s="406" t="e">
        <f t="shared" ca="1" si="144"/>
        <v>#N/A</v>
      </c>
      <c r="AX360" s="406" t="e">
        <f t="shared" ca="1" si="144"/>
        <v>#N/A</v>
      </c>
      <c r="AY360" s="406" t="e">
        <f t="shared" ca="1" si="144"/>
        <v>#N/A</v>
      </c>
      <c r="AZ360" s="406" t="e">
        <f t="shared" ca="1" si="144"/>
        <v>#N/A</v>
      </c>
      <c r="BA360" s="406" t="e">
        <f t="shared" ca="1" si="144"/>
        <v>#N/A</v>
      </c>
      <c r="BB360" s="408"/>
      <c r="BC360" s="408" t="str">
        <f t="shared" ca="1" si="141"/>
        <v/>
      </c>
      <c r="BD360" s="408" t="s">
        <v>1278</v>
      </c>
      <c r="BE360" s="408" t="s">
        <v>1278</v>
      </c>
    </row>
    <row r="361" spans="3:57" x14ac:dyDescent="0.25">
      <c r="C361" s="406">
        <f t="shared" si="143"/>
        <v>359</v>
      </c>
      <c r="D361" s="406" t="e">
        <f t="shared" ca="1" si="148"/>
        <v>#N/A</v>
      </c>
      <c r="E361" s="406" t="e">
        <f t="shared" ca="1" si="148"/>
        <v>#N/A</v>
      </c>
      <c r="F361" s="406" t="e">
        <f t="shared" ca="1" si="148"/>
        <v>#N/A</v>
      </c>
      <c r="G361" s="406" t="e">
        <f t="shared" ca="1" si="148"/>
        <v>#N/A</v>
      </c>
      <c r="H361" s="406" t="e">
        <f t="shared" ca="1" si="148"/>
        <v>#N/A</v>
      </c>
      <c r="I361" s="406" t="e">
        <f t="shared" ca="1" si="148"/>
        <v>#N/A</v>
      </c>
      <c r="J361" s="406" t="e">
        <f t="shared" ca="1" si="148"/>
        <v>#N/A</v>
      </c>
      <c r="K361" s="406" t="e">
        <f t="shared" ca="1" si="148"/>
        <v>#N/A</v>
      </c>
      <c r="L361" s="406" t="e">
        <f t="shared" ca="1" si="148"/>
        <v>#N/A</v>
      </c>
      <c r="M361" s="406" t="e">
        <f t="shared" ca="1" si="148"/>
        <v>#N/A</v>
      </c>
      <c r="N361" s="406" t="e">
        <f t="shared" ca="1" si="146"/>
        <v>#N/A</v>
      </c>
      <c r="O361" s="406" t="e">
        <f t="shared" ca="1" si="146"/>
        <v>#N/A</v>
      </c>
      <c r="P361" s="406" t="e">
        <f t="shared" ca="1" si="146"/>
        <v>#N/A</v>
      </c>
      <c r="Q361" s="406" t="e">
        <f t="shared" ca="1" si="146"/>
        <v>#N/A</v>
      </c>
      <c r="R361" s="406" t="e">
        <f t="shared" ca="1" si="146"/>
        <v>#N/A</v>
      </c>
      <c r="S361" s="406" t="e">
        <f t="shared" ca="1" si="146"/>
        <v>#N/A</v>
      </c>
      <c r="T361" s="406" t="e">
        <f t="shared" ca="1" si="146"/>
        <v>#N/A</v>
      </c>
      <c r="U361" s="406" t="e">
        <f t="shared" ca="1" si="146"/>
        <v>#N/A</v>
      </c>
      <c r="V361" s="406" t="e">
        <f t="shared" ca="1" si="146"/>
        <v>#N/A</v>
      </c>
      <c r="W361" s="406" t="e">
        <f t="shared" ca="1" si="146"/>
        <v>#N/A</v>
      </c>
      <c r="X361" s="406" t="e">
        <f t="shared" ca="1" si="145"/>
        <v>#N/A</v>
      </c>
      <c r="Y361" s="406" t="e">
        <f t="shared" ca="1" si="145"/>
        <v>#N/A</v>
      </c>
      <c r="Z361" s="406" t="e">
        <f t="shared" ca="1" si="145"/>
        <v>#N/A</v>
      </c>
      <c r="AA361" s="406" t="e">
        <f t="shared" ca="1" si="145"/>
        <v>#N/A</v>
      </c>
      <c r="AB361" s="406" t="e">
        <f t="shared" ca="1" si="145"/>
        <v>#N/A</v>
      </c>
      <c r="AC361" s="406" t="e">
        <f t="shared" ca="1" si="145"/>
        <v>#N/A</v>
      </c>
      <c r="AD361" s="406" t="e">
        <f t="shared" ca="1" si="145"/>
        <v>#N/A</v>
      </c>
      <c r="AE361" s="406" t="e">
        <f t="shared" ca="1" si="145"/>
        <v>#N/A</v>
      </c>
      <c r="AF361" s="406" t="e">
        <f t="shared" ca="1" si="145"/>
        <v>#N/A</v>
      </c>
      <c r="AG361" s="406" t="e">
        <f t="shared" ca="1" si="145"/>
        <v>#N/A</v>
      </c>
      <c r="AH361" s="406" t="e">
        <f t="shared" ca="1" si="147"/>
        <v>#N/A</v>
      </c>
      <c r="AI361" s="406" t="e">
        <f t="shared" ca="1" si="147"/>
        <v>#N/A</v>
      </c>
      <c r="AJ361" s="406" t="e">
        <f t="shared" ca="1" si="147"/>
        <v>#N/A</v>
      </c>
      <c r="AK361" s="406" t="e">
        <f t="shared" ca="1" si="147"/>
        <v>#N/A</v>
      </c>
      <c r="AL361" s="406" t="e">
        <f t="shared" ca="1" si="147"/>
        <v>#N/A</v>
      </c>
      <c r="AM361" s="406" t="e">
        <f t="shared" ca="1" si="147"/>
        <v>#N/A</v>
      </c>
      <c r="AN361" s="406" t="e">
        <f t="shared" ca="1" si="147"/>
        <v>#N/A</v>
      </c>
      <c r="AO361" s="406" t="e">
        <f t="shared" ca="1" si="147"/>
        <v>#N/A</v>
      </c>
      <c r="AP361" s="406" t="e">
        <f t="shared" ca="1" si="147"/>
        <v>#N/A</v>
      </c>
      <c r="AQ361" s="406" t="e">
        <f t="shared" ca="1" si="147"/>
        <v>#N/A</v>
      </c>
      <c r="AR361" s="406" t="e">
        <f t="shared" ca="1" si="144"/>
        <v>#N/A</v>
      </c>
      <c r="AS361" s="406" t="e">
        <f t="shared" ca="1" si="144"/>
        <v>#N/A</v>
      </c>
      <c r="AT361" s="406" t="e">
        <f t="shared" ca="1" si="144"/>
        <v>#N/A</v>
      </c>
      <c r="AU361" s="406" t="e">
        <f t="shared" ca="1" si="144"/>
        <v>#N/A</v>
      </c>
      <c r="AV361" s="406" t="e">
        <f t="shared" ca="1" si="144"/>
        <v>#N/A</v>
      </c>
      <c r="AW361" s="406" t="e">
        <f t="shared" ca="1" si="144"/>
        <v>#N/A</v>
      </c>
      <c r="AX361" s="406" t="e">
        <f t="shared" ca="1" si="144"/>
        <v>#N/A</v>
      </c>
      <c r="AY361" s="406" t="e">
        <f t="shared" ca="1" si="144"/>
        <v>#N/A</v>
      </c>
      <c r="AZ361" s="406" t="e">
        <f t="shared" ref="AR361:BA387" ca="1" si="149">TRIM(INDIRECT("'" &amp; "TNX RTF" &amp; "'!" &amp; ADDRESS($A$3+$C361,AZ$1)))</f>
        <v>#N/A</v>
      </c>
      <c r="BA361" s="406" t="e">
        <f t="shared" ca="1" si="149"/>
        <v>#N/A</v>
      </c>
      <c r="BB361" s="408"/>
      <c r="BC361" s="408" t="str">
        <f t="shared" ca="1" si="141"/>
        <v/>
      </c>
      <c r="BD361" s="408" t="s">
        <v>1278</v>
      </c>
      <c r="BE361" s="408" t="s">
        <v>1278</v>
      </c>
    </row>
    <row r="362" spans="3:57" x14ac:dyDescent="0.25">
      <c r="C362" s="406">
        <f t="shared" si="143"/>
        <v>360</v>
      </c>
      <c r="D362" s="406" t="e">
        <f t="shared" ca="1" si="148"/>
        <v>#N/A</v>
      </c>
      <c r="E362" s="406" t="e">
        <f t="shared" ca="1" si="148"/>
        <v>#N/A</v>
      </c>
      <c r="F362" s="406" t="e">
        <f t="shared" ca="1" si="148"/>
        <v>#N/A</v>
      </c>
      <c r="G362" s="406" t="e">
        <f t="shared" ca="1" si="148"/>
        <v>#N/A</v>
      </c>
      <c r="H362" s="406" t="e">
        <f t="shared" ca="1" si="148"/>
        <v>#N/A</v>
      </c>
      <c r="I362" s="406" t="e">
        <f t="shared" ca="1" si="148"/>
        <v>#N/A</v>
      </c>
      <c r="J362" s="406" t="e">
        <f t="shared" ca="1" si="148"/>
        <v>#N/A</v>
      </c>
      <c r="K362" s="406" t="e">
        <f t="shared" ca="1" si="148"/>
        <v>#N/A</v>
      </c>
      <c r="L362" s="406" t="e">
        <f t="shared" ca="1" si="148"/>
        <v>#N/A</v>
      </c>
      <c r="M362" s="406" t="e">
        <f t="shared" ca="1" si="148"/>
        <v>#N/A</v>
      </c>
      <c r="N362" s="406" t="e">
        <f t="shared" ca="1" si="146"/>
        <v>#N/A</v>
      </c>
      <c r="O362" s="406" t="e">
        <f t="shared" ca="1" si="146"/>
        <v>#N/A</v>
      </c>
      <c r="P362" s="406" t="e">
        <f t="shared" ca="1" si="146"/>
        <v>#N/A</v>
      </c>
      <c r="Q362" s="406" t="e">
        <f t="shared" ca="1" si="146"/>
        <v>#N/A</v>
      </c>
      <c r="R362" s="406" t="e">
        <f t="shared" ca="1" si="146"/>
        <v>#N/A</v>
      </c>
      <c r="S362" s="406" t="e">
        <f t="shared" ca="1" si="146"/>
        <v>#N/A</v>
      </c>
      <c r="T362" s="406" t="e">
        <f t="shared" ca="1" si="146"/>
        <v>#N/A</v>
      </c>
      <c r="U362" s="406" t="e">
        <f t="shared" ca="1" si="146"/>
        <v>#N/A</v>
      </c>
      <c r="V362" s="406" t="e">
        <f t="shared" ca="1" si="146"/>
        <v>#N/A</v>
      </c>
      <c r="W362" s="406" t="e">
        <f t="shared" ca="1" si="146"/>
        <v>#N/A</v>
      </c>
      <c r="X362" s="406" t="e">
        <f t="shared" ca="1" si="145"/>
        <v>#N/A</v>
      </c>
      <c r="Y362" s="406" t="e">
        <f t="shared" ca="1" si="145"/>
        <v>#N/A</v>
      </c>
      <c r="Z362" s="406" t="e">
        <f t="shared" ca="1" si="145"/>
        <v>#N/A</v>
      </c>
      <c r="AA362" s="406" t="e">
        <f t="shared" ca="1" si="145"/>
        <v>#N/A</v>
      </c>
      <c r="AB362" s="406" t="e">
        <f t="shared" ca="1" si="145"/>
        <v>#N/A</v>
      </c>
      <c r="AC362" s="406" t="e">
        <f t="shared" ca="1" si="145"/>
        <v>#N/A</v>
      </c>
      <c r="AD362" s="406" t="e">
        <f t="shared" ca="1" si="145"/>
        <v>#N/A</v>
      </c>
      <c r="AE362" s="406" t="e">
        <f t="shared" ca="1" si="145"/>
        <v>#N/A</v>
      </c>
      <c r="AF362" s="406" t="e">
        <f t="shared" ca="1" si="145"/>
        <v>#N/A</v>
      </c>
      <c r="AG362" s="406" t="e">
        <f t="shared" ca="1" si="145"/>
        <v>#N/A</v>
      </c>
      <c r="AH362" s="406" t="e">
        <f t="shared" ca="1" si="147"/>
        <v>#N/A</v>
      </c>
      <c r="AI362" s="406" t="e">
        <f t="shared" ca="1" si="147"/>
        <v>#N/A</v>
      </c>
      <c r="AJ362" s="406" t="e">
        <f t="shared" ca="1" si="147"/>
        <v>#N/A</v>
      </c>
      <c r="AK362" s="406" t="e">
        <f t="shared" ca="1" si="147"/>
        <v>#N/A</v>
      </c>
      <c r="AL362" s="406" t="e">
        <f t="shared" ca="1" si="147"/>
        <v>#N/A</v>
      </c>
      <c r="AM362" s="406" t="e">
        <f t="shared" ca="1" si="147"/>
        <v>#N/A</v>
      </c>
      <c r="AN362" s="406" t="e">
        <f t="shared" ca="1" si="147"/>
        <v>#N/A</v>
      </c>
      <c r="AO362" s="406" t="e">
        <f t="shared" ca="1" si="147"/>
        <v>#N/A</v>
      </c>
      <c r="AP362" s="406" t="e">
        <f t="shared" ca="1" si="147"/>
        <v>#N/A</v>
      </c>
      <c r="AQ362" s="406" t="e">
        <f t="shared" ca="1" si="147"/>
        <v>#N/A</v>
      </c>
      <c r="AR362" s="406" t="e">
        <f t="shared" ca="1" si="149"/>
        <v>#N/A</v>
      </c>
      <c r="AS362" s="406" t="e">
        <f t="shared" ca="1" si="149"/>
        <v>#N/A</v>
      </c>
      <c r="AT362" s="406" t="e">
        <f t="shared" ca="1" si="149"/>
        <v>#N/A</v>
      </c>
      <c r="AU362" s="406" t="e">
        <f t="shared" ca="1" si="149"/>
        <v>#N/A</v>
      </c>
      <c r="AV362" s="406" t="e">
        <f t="shared" ca="1" si="149"/>
        <v>#N/A</v>
      </c>
      <c r="AW362" s="406" t="e">
        <f t="shared" ca="1" si="149"/>
        <v>#N/A</v>
      </c>
      <c r="AX362" s="406" t="e">
        <f t="shared" ca="1" si="149"/>
        <v>#N/A</v>
      </c>
      <c r="AY362" s="406" t="e">
        <f t="shared" ca="1" si="149"/>
        <v>#N/A</v>
      </c>
      <c r="AZ362" s="406" t="e">
        <f t="shared" ca="1" si="149"/>
        <v>#N/A</v>
      </c>
      <c r="BA362" s="406" t="e">
        <f t="shared" ca="1" si="149"/>
        <v>#N/A</v>
      </c>
      <c r="BB362" s="408"/>
      <c r="BC362" s="408" t="str">
        <f t="shared" ca="1" si="141"/>
        <v/>
      </c>
      <c r="BD362" s="408" t="s">
        <v>1278</v>
      </c>
      <c r="BE362" s="408" t="s">
        <v>1278</v>
      </c>
    </row>
    <row r="363" spans="3:57" x14ac:dyDescent="0.25">
      <c r="C363" s="406">
        <f t="shared" si="143"/>
        <v>361</v>
      </c>
      <c r="D363" s="406" t="e">
        <f t="shared" ca="1" si="148"/>
        <v>#N/A</v>
      </c>
      <c r="E363" s="406" t="e">
        <f t="shared" ca="1" si="148"/>
        <v>#N/A</v>
      </c>
      <c r="F363" s="406" t="e">
        <f t="shared" ca="1" si="148"/>
        <v>#N/A</v>
      </c>
      <c r="G363" s="406" t="e">
        <f t="shared" ca="1" si="148"/>
        <v>#N/A</v>
      </c>
      <c r="H363" s="406" t="e">
        <f t="shared" ca="1" si="148"/>
        <v>#N/A</v>
      </c>
      <c r="I363" s="406" t="e">
        <f t="shared" ca="1" si="148"/>
        <v>#N/A</v>
      </c>
      <c r="J363" s="406" t="e">
        <f t="shared" ca="1" si="148"/>
        <v>#N/A</v>
      </c>
      <c r="K363" s="406" t="e">
        <f t="shared" ca="1" si="148"/>
        <v>#N/A</v>
      </c>
      <c r="L363" s="406" t="e">
        <f t="shared" ca="1" si="148"/>
        <v>#N/A</v>
      </c>
      <c r="M363" s="406" t="e">
        <f t="shared" ca="1" si="148"/>
        <v>#N/A</v>
      </c>
      <c r="N363" s="406" t="e">
        <f t="shared" ca="1" si="146"/>
        <v>#N/A</v>
      </c>
      <c r="O363" s="406" t="e">
        <f t="shared" ca="1" si="146"/>
        <v>#N/A</v>
      </c>
      <c r="P363" s="406" t="e">
        <f t="shared" ca="1" si="146"/>
        <v>#N/A</v>
      </c>
      <c r="Q363" s="406" t="e">
        <f t="shared" ca="1" si="146"/>
        <v>#N/A</v>
      </c>
      <c r="R363" s="406" t="e">
        <f t="shared" ca="1" si="146"/>
        <v>#N/A</v>
      </c>
      <c r="S363" s="406" t="e">
        <f t="shared" ca="1" si="146"/>
        <v>#N/A</v>
      </c>
      <c r="T363" s="406" t="e">
        <f t="shared" ca="1" si="146"/>
        <v>#N/A</v>
      </c>
      <c r="U363" s="406" t="e">
        <f t="shared" ca="1" si="146"/>
        <v>#N/A</v>
      </c>
      <c r="V363" s="406" t="e">
        <f t="shared" ca="1" si="146"/>
        <v>#N/A</v>
      </c>
      <c r="W363" s="406" t="e">
        <f t="shared" ca="1" si="146"/>
        <v>#N/A</v>
      </c>
      <c r="X363" s="406" t="e">
        <f t="shared" ca="1" si="145"/>
        <v>#N/A</v>
      </c>
      <c r="Y363" s="406" t="e">
        <f t="shared" ca="1" si="145"/>
        <v>#N/A</v>
      </c>
      <c r="Z363" s="406" t="e">
        <f t="shared" ca="1" si="145"/>
        <v>#N/A</v>
      </c>
      <c r="AA363" s="406" t="e">
        <f t="shared" ca="1" si="145"/>
        <v>#N/A</v>
      </c>
      <c r="AB363" s="406" t="e">
        <f t="shared" ca="1" si="145"/>
        <v>#N/A</v>
      </c>
      <c r="AC363" s="406" t="e">
        <f t="shared" ca="1" si="145"/>
        <v>#N/A</v>
      </c>
      <c r="AD363" s="406" t="e">
        <f t="shared" ca="1" si="145"/>
        <v>#N/A</v>
      </c>
      <c r="AE363" s="406" t="e">
        <f t="shared" ca="1" si="145"/>
        <v>#N/A</v>
      </c>
      <c r="AF363" s="406" t="e">
        <f t="shared" ca="1" si="145"/>
        <v>#N/A</v>
      </c>
      <c r="AG363" s="406" t="e">
        <f t="shared" ca="1" si="145"/>
        <v>#N/A</v>
      </c>
      <c r="AH363" s="406" t="e">
        <f t="shared" ca="1" si="147"/>
        <v>#N/A</v>
      </c>
      <c r="AI363" s="406" t="e">
        <f t="shared" ca="1" si="147"/>
        <v>#N/A</v>
      </c>
      <c r="AJ363" s="406" t="e">
        <f t="shared" ca="1" si="147"/>
        <v>#N/A</v>
      </c>
      <c r="AK363" s="406" t="e">
        <f t="shared" ca="1" si="147"/>
        <v>#N/A</v>
      </c>
      <c r="AL363" s="406" t="e">
        <f t="shared" ca="1" si="147"/>
        <v>#N/A</v>
      </c>
      <c r="AM363" s="406" t="e">
        <f t="shared" ca="1" si="147"/>
        <v>#N/A</v>
      </c>
      <c r="AN363" s="406" t="e">
        <f t="shared" ca="1" si="147"/>
        <v>#N/A</v>
      </c>
      <c r="AO363" s="406" t="e">
        <f t="shared" ca="1" si="147"/>
        <v>#N/A</v>
      </c>
      <c r="AP363" s="406" t="e">
        <f t="shared" ca="1" si="147"/>
        <v>#N/A</v>
      </c>
      <c r="AQ363" s="406" t="e">
        <f t="shared" ca="1" si="147"/>
        <v>#N/A</v>
      </c>
      <c r="AR363" s="406" t="e">
        <f t="shared" ca="1" si="149"/>
        <v>#N/A</v>
      </c>
      <c r="AS363" s="406" t="e">
        <f t="shared" ca="1" si="149"/>
        <v>#N/A</v>
      </c>
      <c r="AT363" s="406" t="e">
        <f t="shared" ca="1" si="149"/>
        <v>#N/A</v>
      </c>
      <c r="AU363" s="406" t="e">
        <f t="shared" ca="1" si="149"/>
        <v>#N/A</v>
      </c>
      <c r="AV363" s="406" t="e">
        <f t="shared" ca="1" si="149"/>
        <v>#N/A</v>
      </c>
      <c r="AW363" s="406" t="e">
        <f t="shared" ca="1" si="149"/>
        <v>#N/A</v>
      </c>
      <c r="AX363" s="406" t="e">
        <f t="shared" ca="1" si="149"/>
        <v>#N/A</v>
      </c>
      <c r="AY363" s="406" t="e">
        <f t="shared" ca="1" si="149"/>
        <v>#N/A</v>
      </c>
      <c r="AZ363" s="406" t="e">
        <f t="shared" ca="1" si="149"/>
        <v>#N/A</v>
      </c>
      <c r="BA363" s="406" t="e">
        <f t="shared" ca="1" si="149"/>
        <v>#N/A</v>
      </c>
      <c r="BB363" s="408"/>
      <c r="BC363" s="408" t="str">
        <f t="shared" ca="1" si="141"/>
        <v/>
      </c>
      <c r="BD363" s="408" t="s">
        <v>1278</v>
      </c>
      <c r="BE363" s="408" t="s">
        <v>1278</v>
      </c>
    </row>
    <row r="364" spans="3:57" x14ac:dyDescent="0.25">
      <c r="C364" s="406">
        <f t="shared" si="143"/>
        <v>362</v>
      </c>
      <c r="D364" s="406" t="e">
        <f t="shared" ca="1" si="148"/>
        <v>#N/A</v>
      </c>
      <c r="E364" s="406" t="e">
        <f t="shared" ca="1" si="148"/>
        <v>#N/A</v>
      </c>
      <c r="F364" s="406" t="e">
        <f t="shared" ca="1" si="148"/>
        <v>#N/A</v>
      </c>
      <c r="G364" s="406" t="e">
        <f t="shared" ca="1" si="148"/>
        <v>#N/A</v>
      </c>
      <c r="H364" s="406" t="e">
        <f t="shared" ca="1" si="148"/>
        <v>#N/A</v>
      </c>
      <c r="I364" s="406" t="e">
        <f t="shared" ca="1" si="148"/>
        <v>#N/A</v>
      </c>
      <c r="J364" s="406" t="e">
        <f t="shared" ca="1" si="148"/>
        <v>#N/A</v>
      </c>
      <c r="K364" s="406" t="e">
        <f t="shared" ca="1" si="148"/>
        <v>#N/A</v>
      </c>
      <c r="L364" s="406" t="e">
        <f t="shared" ca="1" si="148"/>
        <v>#N/A</v>
      </c>
      <c r="M364" s="406" t="e">
        <f t="shared" ca="1" si="148"/>
        <v>#N/A</v>
      </c>
      <c r="N364" s="406" t="e">
        <f t="shared" ca="1" si="146"/>
        <v>#N/A</v>
      </c>
      <c r="O364" s="406" t="e">
        <f t="shared" ca="1" si="146"/>
        <v>#N/A</v>
      </c>
      <c r="P364" s="406" t="e">
        <f t="shared" ca="1" si="146"/>
        <v>#N/A</v>
      </c>
      <c r="Q364" s="406" t="e">
        <f t="shared" ca="1" si="146"/>
        <v>#N/A</v>
      </c>
      <c r="R364" s="406" t="e">
        <f t="shared" ca="1" si="146"/>
        <v>#N/A</v>
      </c>
      <c r="S364" s="406" t="e">
        <f t="shared" ca="1" si="146"/>
        <v>#N/A</v>
      </c>
      <c r="T364" s="406" t="e">
        <f t="shared" ca="1" si="146"/>
        <v>#N/A</v>
      </c>
      <c r="U364" s="406" t="e">
        <f t="shared" ca="1" si="146"/>
        <v>#N/A</v>
      </c>
      <c r="V364" s="406" t="e">
        <f t="shared" ca="1" si="146"/>
        <v>#N/A</v>
      </c>
      <c r="W364" s="406" t="e">
        <f t="shared" ca="1" si="146"/>
        <v>#N/A</v>
      </c>
      <c r="X364" s="406" t="e">
        <f t="shared" ca="1" si="145"/>
        <v>#N/A</v>
      </c>
      <c r="Y364" s="406" t="e">
        <f t="shared" ca="1" si="145"/>
        <v>#N/A</v>
      </c>
      <c r="Z364" s="406" t="e">
        <f t="shared" ca="1" si="145"/>
        <v>#N/A</v>
      </c>
      <c r="AA364" s="406" t="e">
        <f t="shared" ca="1" si="145"/>
        <v>#N/A</v>
      </c>
      <c r="AB364" s="406" t="e">
        <f t="shared" ca="1" si="145"/>
        <v>#N/A</v>
      </c>
      <c r="AC364" s="406" t="e">
        <f t="shared" ca="1" si="145"/>
        <v>#N/A</v>
      </c>
      <c r="AD364" s="406" t="e">
        <f t="shared" ca="1" si="145"/>
        <v>#N/A</v>
      </c>
      <c r="AE364" s="406" t="e">
        <f t="shared" ca="1" si="145"/>
        <v>#N/A</v>
      </c>
      <c r="AF364" s="406" t="e">
        <f t="shared" ca="1" si="145"/>
        <v>#N/A</v>
      </c>
      <c r="AG364" s="406" t="e">
        <f t="shared" ca="1" si="145"/>
        <v>#N/A</v>
      </c>
      <c r="AH364" s="406" t="e">
        <f t="shared" ca="1" si="147"/>
        <v>#N/A</v>
      </c>
      <c r="AI364" s="406" t="e">
        <f t="shared" ca="1" si="147"/>
        <v>#N/A</v>
      </c>
      <c r="AJ364" s="406" t="e">
        <f t="shared" ca="1" si="147"/>
        <v>#N/A</v>
      </c>
      <c r="AK364" s="406" t="e">
        <f t="shared" ca="1" si="147"/>
        <v>#N/A</v>
      </c>
      <c r="AL364" s="406" t="e">
        <f t="shared" ca="1" si="147"/>
        <v>#N/A</v>
      </c>
      <c r="AM364" s="406" t="e">
        <f t="shared" ca="1" si="147"/>
        <v>#N/A</v>
      </c>
      <c r="AN364" s="406" t="e">
        <f t="shared" ca="1" si="147"/>
        <v>#N/A</v>
      </c>
      <c r="AO364" s="406" t="e">
        <f t="shared" ca="1" si="147"/>
        <v>#N/A</v>
      </c>
      <c r="AP364" s="406" t="e">
        <f t="shared" ca="1" si="147"/>
        <v>#N/A</v>
      </c>
      <c r="AQ364" s="406" t="e">
        <f t="shared" ca="1" si="147"/>
        <v>#N/A</v>
      </c>
      <c r="AR364" s="406" t="e">
        <f t="shared" ca="1" si="149"/>
        <v>#N/A</v>
      </c>
      <c r="AS364" s="406" t="e">
        <f t="shared" ca="1" si="149"/>
        <v>#N/A</v>
      </c>
      <c r="AT364" s="406" t="e">
        <f t="shared" ca="1" si="149"/>
        <v>#N/A</v>
      </c>
      <c r="AU364" s="406" t="e">
        <f t="shared" ca="1" si="149"/>
        <v>#N/A</v>
      </c>
      <c r="AV364" s="406" t="e">
        <f t="shared" ca="1" si="149"/>
        <v>#N/A</v>
      </c>
      <c r="AW364" s="406" t="e">
        <f t="shared" ca="1" si="149"/>
        <v>#N/A</v>
      </c>
      <c r="AX364" s="406" t="e">
        <f t="shared" ca="1" si="149"/>
        <v>#N/A</v>
      </c>
      <c r="AY364" s="406" t="e">
        <f t="shared" ca="1" si="149"/>
        <v>#N/A</v>
      </c>
      <c r="AZ364" s="406" t="e">
        <f t="shared" ca="1" si="149"/>
        <v>#N/A</v>
      </c>
      <c r="BA364" s="406" t="e">
        <f t="shared" ca="1" si="149"/>
        <v>#N/A</v>
      </c>
      <c r="BB364" s="408"/>
      <c r="BC364" s="408" t="str">
        <f t="shared" ca="1" si="141"/>
        <v/>
      </c>
      <c r="BD364" s="408" t="s">
        <v>1278</v>
      </c>
      <c r="BE364" s="408" t="s">
        <v>1278</v>
      </c>
    </row>
    <row r="365" spans="3:57" x14ac:dyDescent="0.25">
      <c r="C365" s="406">
        <f t="shared" si="143"/>
        <v>363</v>
      </c>
      <c r="D365" s="406" t="e">
        <f t="shared" ca="1" si="148"/>
        <v>#N/A</v>
      </c>
      <c r="E365" s="406" t="e">
        <f t="shared" ca="1" si="148"/>
        <v>#N/A</v>
      </c>
      <c r="F365" s="406" t="e">
        <f t="shared" ca="1" si="148"/>
        <v>#N/A</v>
      </c>
      <c r="G365" s="406" t="e">
        <f t="shared" ca="1" si="148"/>
        <v>#N/A</v>
      </c>
      <c r="H365" s="406" t="e">
        <f t="shared" ca="1" si="148"/>
        <v>#N/A</v>
      </c>
      <c r="I365" s="406" t="e">
        <f t="shared" ca="1" si="148"/>
        <v>#N/A</v>
      </c>
      <c r="J365" s="406" t="e">
        <f t="shared" ca="1" si="148"/>
        <v>#N/A</v>
      </c>
      <c r="K365" s="406" t="e">
        <f t="shared" ca="1" si="148"/>
        <v>#N/A</v>
      </c>
      <c r="L365" s="406" t="e">
        <f t="shared" ca="1" si="148"/>
        <v>#N/A</v>
      </c>
      <c r="M365" s="406" t="e">
        <f t="shared" ca="1" si="148"/>
        <v>#N/A</v>
      </c>
      <c r="N365" s="406" t="e">
        <f t="shared" ca="1" si="146"/>
        <v>#N/A</v>
      </c>
      <c r="O365" s="406" t="e">
        <f t="shared" ca="1" si="146"/>
        <v>#N/A</v>
      </c>
      <c r="P365" s="406" t="e">
        <f t="shared" ca="1" si="146"/>
        <v>#N/A</v>
      </c>
      <c r="Q365" s="406" t="e">
        <f t="shared" ca="1" si="146"/>
        <v>#N/A</v>
      </c>
      <c r="R365" s="406" t="e">
        <f t="shared" ca="1" si="146"/>
        <v>#N/A</v>
      </c>
      <c r="S365" s="406" t="e">
        <f t="shared" ca="1" si="146"/>
        <v>#N/A</v>
      </c>
      <c r="T365" s="406" t="e">
        <f t="shared" ca="1" si="146"/>
        <v>#N/A</v>
      </c>
      <c r="U365" s="406" t="e">
        <f t="shared" ca="1" si="146"/>
        <v>#N/A</v>
      </c>
      <c r="V365" s="406" t="e">
        <f t="shared" ca="1" si="146"/>
        <v>#N/A</v>
      </c>
      <c r="W365" s="406" t="e">
        <f t="shared" ca="1" si="146"/>
        <v>#N/A</v>
      </c>
      <c r="X365" s="406" t="e">
        <f t="shared" ca="1" si="145"/>
        <v>#N/A</v>
      </c>
      <c r="Y365" s="406" t="e">
        <f t="shared" ca="1" si="145"/>
        <v>#N/A</v>
      </c>
      <c r="Z365" s="406" t="e">
        <f t="shared" ca="1" si="145"/>
        <v>#N/A</v>
      </c>
      <c r="AA365" s="406" t="e">
        <f t="shared" ca="1" si="145"/>
        <v>#N/A</v>
      </c>
      <c r="AB365" s="406" t="e">
        <f t="shared" ca="1" si="145"/>
        <v>#N/A</v>
      </c>
      <c r="AC365" s="406" t="e">
        <f t="shared" ca="1" si="145"/>
        <v>#N/A</v>
      </c>
      <c r="AD365" s="406" t="e">
        <f t="shared" ref="X365:AG391" ca="1" si="150">TRIM(INDIRECT("'" &amp; "TNX RTF" &amp; "'!" &amp; ADDRESS($A$3+$C365,AD$1)))</f>
        <v>#N/A</v>
      </c>
      <c r="AE365" s="406" t="e">
        <f t="shared" ca="1" si="150"/>
        <v>#N/A</v>
      </c>
      <c r="AF365" s="406" t="e">
        <f t="shared" ca="1" si="150"/>
        <v>#N/A</v>
      </c>
      <c r="AG365" s="406" t="e">
        <f t="shared" ca="1" si="150"/>
        <v>#N/A</v>
      </c>
      <c r="AH365" s="406" t="e">
        <f t="shared" ca="1" si="147"/>
        <v>#N/A</v>
      </c>
      <c r="AI365" s="406" t="e">
        <f t="shared" ca="1" si="147"/>
        <v>#N/A</v>
      </c>
      <c r="AJ365" s="406" t="e">
        <f t="shared" ca="1" si="147"/>
        <v>#N/A</v>
      </c>
      <c r="AK365" s="406" t="e">
        <f t="shared" ca="1" si="147"/>
        <v>#N/A</v>
      </c>
      <c r="AL365" s="406" t="e">
        <f t="shared" ca="1" si="147"/>
        <v>#N/A</v>
      </c>
      <c r="AM365" s="406" t="e">
        <f t="shared" ca="1" si="147"/>
        <v>#N/A</v>
      </c>
      <c r="AN365" s="406" t="e">
        <f t="shared" ca="1" si="147"/>
        <v>#N/A</v>
      </c>
      <c r="AO365" s="406" t="e">
        <f t="shared" ca="1" si="147"/>
        <v>#N/A</v>
      </c>
      <c r="AP365" s="406" t="e">
        <f t="shared" ca="1" si="147"/>
        <v>#N/A</v>
      </c>
      <c r="AQ365" s="406" t="e">
        <f t="shared" ca="1" si="147"/>
        <v>#N/A</v>
      </c>
      <c r="AR365" s="406" t="e">
        <f t="shared" ca="1" si="149"/>
        <v>#N/A</v>
      </c>
      <c r="AS365" s="406" t="e">
        <f t="shared" ca="1" si="149"/>
        <v>#N/A</v>
      </c>
      <c r="AT365" s="406" t="e">
        <f t="shared" ca="1" si="149"/>
        <v>#N/A</v>
      </c>
      <c r="AU365" s="406" t="e">
        <f t="shared" ca="1" si="149"/>
        <v>#N/A</v>
      </c>
      <c r="AV365" s="406" t="e">
        <f t="shared" ca="1" si="149"/>
        <v>#N/A</v>
      </c>
      <c r="AW365" s="406" t="e">
        <f t="shared" ca="1" si="149"/>
        <v>#N/A</v>
      </c>
      <c r="AX365" s="406" t="e">
        <f t="shared" ca="1" si="149"/>
        <v>#N/A</v>
      </c>
      <c r="AY365" s="406" t="e">
        <f t="shared" ca="1" si="149"/>
        <v>#N/A</v>
      </c>
      <c r="AZ365" s="406" t="e">
        <f t="shared" ca="1" si="149"/>
        <v>#N/A</v>
      </c>
      <c r="BA365" s="406" t="e">
        <f t="shared" ca="1" si="149"/>
        <v>#N/A</v>
      </c>
      <c r="BB365" s="408"/>
      <c r="BC365" s="408" t="str">
        <f t="shared" ca="1" si="141"/>
        <v/>
      </c>
      <c r="BD365" s="408" t="s">
        <v>1278</v>
      </c>
      <c r="BE365" s="408" t="s">
        <v>1278</v>
      </c>
    </row>
    <row r="366" spans="3:57" x14ac:dyDescent="0.25">
      <c r="C366" s="406">
        <f t="shared" si="143"/>
        <v>364</v>
      </c>
      <c r="D366" s="406" t="e">
        <f t="shared" ca="1" si="148"/>
        <v>#N/A</v>
      </c>
      <c r="E366" s="406" t="e">
        <f t="shared" ca="1" si="148"/>
        <v>#N/A</v>
      </c>
      <c r="F366" s="406" t="e">
        <f t="shared" ca="1" si="148"/>
        <v>#N/A</v>
      </c>
      <c r="G366" s="406" t="e">
        <f t="shared" ca="1" si="148"/>
        <v>#N/A</v>
      </c>
      <c r="H366" s="406" t="e">
        <f t="shared" ca="1" si="148"/>
        <v>#N/A</v>
      </c>
      <c r="I366" s="406" t="e">
        <f t="shared" ca="1" si="148"/>
        <v>#N/A</v>
      </c>
      <c r="J366" s="406" t="e">
        <f t="shared" ca="1" si="148"/>
        <v>#N/A</v>
      </c>
      <c r="K366" s="406" t="e">
        <f t="shared" ca="1" si="148"/>
        <v>#N/A</v>
      </c>
      <c r="L366" s="406" t="e">
        <f t="shared" ca="1" si="148"/>
        <v>#N/A</v>
      </c>
      <c r="M366" s="406" t="e">
        <f t="shared" ca="1" si="148"/>
        <v>#N/A</v>
      </c>
      <c r="N366" s="406" t="e">
        <f t="shared" ca="1" si="146"/>
        <v>#N/A</v>
      </c>
      <c r="O366" s="406" t="e">
        <f t="shared" ca="1" si="146"/>
        <v>#N/A</v>
      </c>
      <c r="P366" s="406" t="e">
        <f t="shared" ca="1" si="146"/>
        <v>#N/A</v>
      </c>
      <c r="Q366" s="406" t="e">
        <f t="shared" ca="1" si="146"/>
        <v>#N/A</v>
      </c>
      <c r="R366" s="406" t="e">
        <f t="shared" ca="1" si="146"/>
        <v>#N/A</v>
      </c>
      <c r="S366" s="406" t="e">
        <f t="shared" ca="1" si="146"/>
        <v>#N/A</v>
      </c>
      <c r="T366" s="406" t="e">
        <f t="shared" ca="1" si="146"/>
        <v>#N/A</v>
      </c>
      <c r="U366" s="406" t="e">
        <f t="shared" ca="1" si="146"/>
        <v>#N/A</v>
      </c>
      <c r="V366" s="406" t="e">
        <f t="shared" ca="1" si="146"/>
        <v>#N/A</v>
      </c>
      <c r="W366" s="406" t="e">
        <f t="shared" ca="1" si="146"/>
        <v>#N/A</v>
      </c>
      <c r="X366" s="406" t="e">
        <f t="shared" ca="1" si="150"/>
        <v>#N/A</v>
      </c>
      <c r="Y366" s="406" t="e">
        <f t="shared" ca="1" si="150"/>
        <v>#N/A</v>
      </c>
      <c r="Z366" s="406" t="e">
        <f t="shared" ca="1" si="150"/>
        <v>#N/A</v>
      </c>
      <c r="AA366" s="406" t="e">
        <f t="shared" ca="1" si="150"/>
        <v>#N/A</v>
      </c>
      <c r="AB366" s="406" t="e">
        <f t="shared" ca="1" si="150"/>
        <v>#N/A</v>
      </c>
      <c r="AC366" s="406" t="e">
        <f t="shared" ca="1" si="150"/>
        <v>#N/A</v>
      </c>
      <c r="AD366" s="406" t="e">
        <f t="shared" ca="1" si="150"/>
        <v>#N/A</v>
      </c>
      <c r="AE366" s="406" t="e">
        <f t="shared" ca="1" si="150"/>
        <v>#N/A</v>
      </c>
      <c r="AF366" s="406" t="e">
        <f t="shared" ca="1" si="150"/>
        <v>#N/A</v>
      </c>
      <c r="AG366" s="406" t="e">
        <f t="shared" ca="1" si="150"/>
        <v>#N/A</v>
      </c>
      <c r="AH366" s="406" t="e">
        <f t="shared" ca="1" si="147"/>
        <v>#N/A</v>
      </c>
      <c r="AI366" s="406" t="e">
        <f t="shared" ca="1" si="147"/>
        <v>#N/A</v>
      </c>
      <c r="AJ366" s="406" t="e">
        <f t="shared" ca="1" si="147"/>
        <v>#N/A</v>
      </c>
      <c r="AK366" s="406" t="e">
        <f t="shared" ca="1" si="147"/>
        <v>#N/A</v>
      </c>
      <c r="AL366" s="406" t="e">
        <f t="shared" ca="1" si="147"/>
        <v>#N/A</v>
      </c>
      <c r="AM366" s="406" t="e">
        <f t="shared" ca="1" si="147"/>
        <v>#N/A</v>
      </c>
      <c r="AN366" s="406" t="e">
        <f t="shared" ca="1" si="147"/>
        <v>#N/A</v>
      </c>
      <c r="AO366" s="406" t="e">
        <f t="shared" ca="1" si="147"/>
        <v>#N/A</v>
      </c>
      <c r="AP366" s="406" t="e">
        <f t="shared" ca="1" si="147"/>
        <v>#N/A</v>
      </c>
      <c r="AQ366" s="406" t="e">
        <f t="shared" ca="1" si="147"/>
        <v>#N/A</v>
      </c>
      <c r="AR366" s="406" t="e">
        <f t="shared" ca="1" si="149"/>
        <v>#N/A</v>
      </c>
      <c r="AS366" s="406" t="e">
        <f t="shared" ca="1" si="149"/>
        <v>#N/A</v>
      </c>
      <c r="AT366" s="406" t="e">
        <f t="shared" ca="1" si="149"/>
        <v>#N/A</v>
      </c>
      <c r="AU366" s="406" t="e">
        <f t="shared" ca="1" si="149"/>
        <v>#N/A</v>
      </c>
      <c r="AV366" s="406" t="e">
        <f t="shared" ca="1" si="149"/>
        <v>#N/A</v>
      </c>
      <c r="AW366" s="406" t="e">
        <f t="shared" ca="1" si="149"/>
        <v>#N/A</v>
      </c>
      <c r="AX366" s="406" t="e">
        <f t="shared" ca="1" si="149"/>
        <v>#N/A</v>
      </c>
      <c r="AY366" s="406" t="e">
        <f t="shared" ca="1" si="149"/>
        <v>#N/A</v>
      </c>
      <c r="AZ366" s="406" t="e">
        <f t="shared" ca="1" si="149"/>
        <v>#N/A</v>
      </c>
      <c r="BA366" s="406" t="e">
        <f t="shared" ca="1" si="149"/>
        <v>#N/A</v>
      </c>
      <c r="BB366" s="408"/>
      <c r="BC366" s="408" t="str">
        <f t="shared" ca="1" si="141"/>
        <v/>
      </c>
      <c r="BD366" s="408" t="s">
        <v>1278</v>
      </c>
      <c r="BE366" s="408" t="s">
        <v>1278</v>
      </c>
    </row>
    <row r="367" spans="3:57" x14ac:dyDescent="0.25">
      <c r="C367" s="406">
        <f t="shared" si="143"/>
        <v>365</v>
      </c>
      <c r="D367" s="406" t="e">
        <f t="shared" ca="1" si="148"/>
        <v>#N/A</v>
      </c>
      <c r="E367" s="406" t="e">
        <f t="shared" ca="1" si="148"/>
        <v>#N/A</v>
      </c>
      <c r="F367" s="406" t="e">
        <f t="shared" ca="1" si="148"/>
        <v>#N/A</v>
      </c>
      <c r="G367" s="406" t="e">
        <f t="shared" ca="1" si="148"/>
        <v>#N/A</v>
      </c>
      <c r="H367" s="406" t="e">
        <f t="shared" ca="1" si="148"/>
        <v>#N/A</v>
      </c>
      <c r="I367" s="406" t="e">
        <f t="shared" ca="1" si="148"/>
        <v>#N/A</v>
      </c>
      <c r="J367" s="406" t="e">
        <f t="shared" ca="1" si="148"/>
        <v>#N/A</v>
      </c>
      <c r="K367" s="406" t="e">
        <f t="shared" ca="1" si="148"/>
        <v>#N/A</v>
      </c>
      <c r="L367" s="406" t="e">
        <f t="shared" ca="1" si="148"/>
        <v>#N/A</v>
      </c>
      <c r="M367" s="406" t="e">
        <f t="shared" ca="1" si="148"/>
        <v>#N/A</v>
      </c>
      <c r="N367" s="406" t="e">
        <f t="shared" ca="1" si="146"/>
        <v>#N/A</v>
      </c>
      <c r="O367" s="406" t="e">
        <f t="shared" ca="1" si="146"/>
        <v>#N/A</v>
      </c>
      <c r="P367" s="406" t="e">
        <f t="shared" ca="1" si="146"/>
        <v>#N/A</v>
      </c>
      <c r="Q367" s="406" t="e">
        <f t="shared" ca="1" si="146"/>
        <v>#N/A</v>
      </c>
      <c r="R367" s="406" t="e">
        <f t="shared" ca="1" si="146"/>
        <v>#N/A</v>
      </c>
      <c r="S367" s="406" t="e">
        <f t="shared" ca="1" si="146"/>
        <v>#N/A</v>
      </c>
      <c r="T367" s="406" t="e">
        <f t="shared" ca="1" si="146"/>
        <v>#N/A</v>
      </c>
      <c r="U367" s="406" t="e">
        <f t="shared" ca="1" si="146"/>
        <v>#N/A</v>
      </c>
      <c r="V367" s="406" t="e">
        <f t="shared" ca="1" si="146"/>
        <v>#N/A</v>
      </c>
      <c r="W367" s="406" t="e">
        <f t="shared" ca="1" si="146"/>
        <v>#N/A</v>
      </c>
      <c r="X367" s="406" t="e">
        <f t="shared" ca="1" si="150"/>
        <v>#N/A</v>
      </c>
      <c r="Y367" s="406" t="e">
        <f t="shared" ca="1" si="150"/>
        <v>#N/A</v>
      </c>
      <c r="Z367" s="406" t="e">
        <f t="shared" ca="1" si="150"/>
        <v>#N/A</v>
      </c>
      <c r="AA367" s="406" t="e">
        <f t="shared" ca="1" si="150"/>
        <v>#N/A</v>
      </c>
      <c r="AB367" s="406" t="e">
        <f t="shared" ca="1" si="150"/>
        <v>#N/A</v>
      </c>
      <c r="AC367" s="406" t="e">
        <f t="shared" ca="1" si="150"/>
        <v>#N/A</v>
      </c>
      <c r="AD367" s="406" t="e">
        <f t="shared" ca="1" si="150"/>
        <v>#N/A</v>
      </c>
      <c r="AE367" s="406" t="e">
        <f t="shared" ca="1" si="150"/>
        <v>#N/A</v>
      </c>
      <c r="AF367" s="406" t="e">
        <f t="shared" ca="1" si="150"/>
        <v>#N/A</v>
      </c>
      <c r="AG367" s="406" t="e">
        <f t="shared" ca="1" si="150"/>
        <v>#N/A</v>
      </c>
      <c r="AH367" s="406" t="e">
        <f t="shared" ca="1" si="147"/>
        <v>#N/A</v>
      </c>
      <c r="AI367" s="406" t="e">
        <f t="shared" ca="1" si="147"/>
        <v>#N/A</v>
      </c>
      <c r="AJ367" s="406" t="e">
        <f t="shared" ca="1" si="147"/>
        <v>#N/A</v>
      </c>
      <c r="AK367" s="406" t="e">
        <f t="shared" ca="1" si="147"/>
        <v>#N/A</v>
      </c>
      <c r="AL367" s="406" t="e">
        <f t="shared" ca="1" si="147"/>
        <v>#N/A</v>
      </c>
      <c r="AM367" s="406" t="e">
        <f t="shared" ca="1" si="147"/>
        <v>#N/A</v>
      </c>
      <c r="AN367" s="406" t="e">
        <f t="shared" ca="1" si="147"/>
        <v>#N/A</v>
      </c>
      <c r="AO367" s="406" t="e">
        <f t="shared" ca="1" si="147"/>
        <v>#N/A</v>
      </c>
      <c r="AP367" s="406" t="e">
        <f t="shared" ca="1" si="147"/>
        <v>#N/A</v>
      </c>
      <c r="AQ367" s="406" t="e">
        <f t="shared" ca="1" si="147"/>
        <v>#N/A</v>
      </c>
      <c r="AR367" s="406" t="e">
        <f t="shared" ca="1" si="149"/>
        <v>#N/A</v>
      </c>
      <c r="AS367" s="406" t="e">
        <f t="shared" ca="1" si="149"/>
        <v>#N/A</v>
      </c>
      <c r="AT367" s="406" t="e">
        <f t="shared" ca="1" si="149"/>
        <v>#N/A</v>
      </c>
      <c r="AU367" s="406" t="e">
        <f t="shared" ca="1" si="149"/>
        <v>#N/A</v>
      </c>
      <c r="AV367" s="406" t="e">
        <f t="shared" ca="1" si="149"/>
        <v>#N/A</v>
      </c>
      <c r="AW367" s="406" t="e">
        <f t="shared" ca="1" si="149"/>
        <v>#N/A</v>
      </c>
      <c r="AX367" s="406" t="e">
        <f t="shared" ca="1" si="149"/>
        <v>#N/A</v>
      </c>
      <c r="AY367" s="406" t="e">
        <f t="shared" ca="1" si="149"/>
        <v>#N/A</v>
      </c>
      <c r="AZ367" s="406" t="e">
        <f t="shared" ca="1" si="149"/>
        <v>#N/A</v>
      </c>
      <c r="BA367" s="406" t="e">
        <f t="shared" ca="1" si="149"/>
        <v>#N/A</v>
      </c>
      <c r="BB367" s="408"/>
      <c r="BC367" s="408" t="str">
        <f t="shared" ca="1" si="141"/>
        <v/>
      </c>
      <c r="BD367" s="408" t="s">
        <v>1278</v>
      </c>
      <c r="BE367" s="408" t="s">
        <v>1278</v>
      </c>
    </row>
    <row r="368" spans="3:57" x14ac:dyDescent="0.25">
      <c r="C368" s="406">
        <f t="shared" si="143"/>
        <v>366</v>
      </c>
      <c r="D368" s="406" t="e">
        <f t="shared" ca="1" si="148"/>
        <v>#N/A</v>
      </c>
      <c r="E368" s="406" t="e">
        <f t="shared" ca="1" si="148"/>
        <v>#N/A</v>
      </c>
      <c r="F368" s="406" t="e">
        <f t="shared" ca="1" si="148"/>
        <v>#N/A</v>
      </c>
      <c r="G368" s="406" t="e">
        <f t="shared" ca="1" si="148"/>
        <v>#N/A</v>
      </c>
      <c r="H368" s="406" t="e">
        <f t="shared" ca="1" si="148"/>
        <v>#N/A</v>
      </c>
      <c r="I368" s="406" t="e">
        <f t="shared" ca="1" si="148"/>
        <v>#N/A</v>
      </c>
      <c r="J368" s="406" t="e">
        <f t="shared" ca="1" si="148"/>
        <v>#N/A</v>
      </c>
      <c r="K368" s="406" t="e">
        <f t="shared" ca="1" si="148"/>
        <v>#N/A</v>
      </c>
      <c r="L368" s="406" t="e">
        <f t="shared" ca="1" si="148"/>
        <v>#N/A</v>
      </c>
      <c r="M368" s="406" t="e">
        <f t="shared" ca="1" si="148"/>
        <v>#N/A</v>
      </c>
      <c r="N368" s="406" t="e">
        <f t="shared" ca="1" si="146"/>
        <v>#N/A</v>
      </c>
      <c r="O368" s="406" t="e">
        <f t="shared" ca="1" si="146"/>
        <v>#N/A</v>
      </c>
      <c r="P368" s="406" t="e">
        <f t="shared" ca="1" si="146"/>
        <v>#N/A</v>
      </c>
      <c r="Q368" s="406" t="e">
        <f t="shared" ca="1" si="146"/>
        <v>#N/A</v>
      </c>
      <c r="R368" s="406" t="e">
        <f t="shared" ca="1" si="146"/>
        <v>#N/A</v>
      </c>
      <c r="S368" s="406" t="e">
        <f t="shared" ca="1" si="146"/>
        <v>#N/A</v>
      </c>
      <c r="T368" s="406" t="e">
        <f t="shared" ca="1" si="146"/>
        <v>#N/A</v>
      </c>
      <c r="U368" s="406" t="e">
        <f t="shared" ca="1" si="146"/>
        <v>#N/A</v>
      </c>
      <c r="V368" s="406" t="e">
        <f t="shared" ca="1" si="146"/>
        <v>#N/A</v>
      </c>
      <c r="W368" s="406" t="e">
        <f t="shared" ca="1" si="146"/>
        <v>#N/A</v>
      </c>
      <c r="X368" s="406" t="e">
        <f t="shared" ca="1" si="150"/>
        <v>#N/A</v>
      </c>
      <c r="Y368" s="406" t="e">
        <f t="shared" ca="1" si="150"/>
        <v>#N/A</v>
      </c>
      <c r="Z368" s="406" t="e">
        <f t="shared" ca="1" si="150"/>
        <v>#N/A</v>
      </c>
      <c r="AA368" s="406" t="e">
        <f t="shared" ca="1" si="150"/>
        <v>#N/A</v>
      </c>
      <c r="AB368" s="406" t="e">
        <f t="shared" ca="1" si="150"/>
        <v>#N/A</v>
      </c>
      <c r="AC368" s="406" t="e">
        <f t="shared" ca="1" si="150"/>
        <v>#N/A</v>
      </c>
      <c r="AD368" s="406" t="e">
        <f t="shared" ca="1" si="150"/>
        <v>#N/A</v>
      </c>
      <c r="AE368" s="406" t="e">
        <f t="shared" ca="1" si="150"/>
        <v>#N/A</v>
      </c>
      <c r="AF368" s="406" t="e">
        <f t="shared" ca="1" si="150"/>
        <v>#N/A</v>
      </c>
      <c r="AG368" s="406" t="e">
        <f t="shared" ca="1" si="150"/>
        <v>#N/A</v>
      </c>
      <c r="AH368" s="406" t="e">
        <f t="shared" ca="1" si="147"/>
        <v>#N/A</v>
      </c>
      <c r="AI368" s="406" t="e">
        <f t="shared" ca="1" si="147"/>
        <v>#N/A</v>
      </c>
      <c r="AJ368" s="406" t="e">
        <f t="shared" ca="1" si="147"/>
        <v>#N/A</v>
      </c>
      <c r="AK368" s="406" t="e">
        <f t="shared" ca="1" si="147"/>
        <v>#N/A</v>
      </c>
      <c r="AL368" s="406" t="e">
        <f t="shared" ca="1" si="147"/>
        <v>#N/A</v>
      </c>
      <c r="AM368" s="406" t="e">
        <f t="shared" ca="1" si="147"/>
        <v>#N/A</v>
      </c>
      <c r="AN368" s="406" t="e">
        <f t="shared" ca="1" si="147"/>
        <v>#N/A</v>
      </c>
      <c r="AO368" s="406" t="e">
        <f t="shared" ca="1" si="147"/>
        <v>#N/A</v>
      </c>
      <c r="AP368" s="406" t="e">
        <f t="shared" ca="1" si="147"/>
        <v>#N/A</v>
      </c>
      <c r="AQ368" s="406" t="e">
        <f t="shared" ca="1" si="147"/>
        <v>#N/A</v>
      </c>
      <c r="AR368" s="406" t="e">
        <f t="shared" ca="1" si="149"/>
        <v>#N/A</v>
      </c>
      <c r="AS368" s="406" t="e">
        <f t="shared" ca="1" si="149"/>
        <v>#N/A</v>
      </c>
      <c r="AT368" s="406" t="e">
        <f t="shared" ca="1" si="149"/>
        <v>#N/A</v>
      </c>
      <c r="AU368" s="406" t="e">
        <f t="shared" ca="1" si="149"/>
        <v>#N/A</v>
      </c>
      <c r="AV368" s="406" t="e">
        <f t="shared" ca="1" si="149"/>
        <v>#N/A</v>
      </c>
      <c r="AW368" s="406" t="e">
        <f t="shared" ca="1" si="149"/>
        <v>#N/A</v>
      </c>
      <c r="AX368" s="406" t="e">
        <f t="shared" ca="1" si="149"/>
        <v>#N/A</v>
      </c>
      <c r="AY368" s="406" t="e">
        <f t="shared" ca="1" si="149"/>
        <v>#N/A</v>
      </c>
      <c r="AZ368" s="406" t="e">
        <f t="shared" ca="1" si="149"/>
        <v>#N/A</v>
      </c>
      <c r="BA368" s="406" t="e">
        <f t="shared" ca="1" si="149"/>
        <v>#N/A</v>
      </c>
      <c r="BB368" s="408"/>
      <c r="BC368" s="408" t="str">
        <f t="shared" ca="1" si="141"/>
        <v/>
      </c>
      <c r="BD368" s="408" t="s">
        <v>1278</v>
      </c>
      <c r="BE368" s="408" t="s">
        <v>1278</v>
      </c>
    </row>
    <row r="369" spans="3:57" x14ac:dyDescent="0.25">
      <c r="C369" s="406">
        <f t="shared" si="143"/>
        <v>367</v>
      </c>
      <c r="D369" s="406" t="e">
        <f t="shared" ca="1" si="148"/>
        <v>#N/A</v>
      </c>
      <c r="E369" s="406" t="e">
        <f t="shared" ca="1" si="148"/>
        <v>#N/A</v>
      </c>
      <c r="F369" s="406" t="e">
        <f t="shared" ca="1" si="148"/>
        <v>#N/A</v>
      </c>
      <c r="G369" s="406" t="e">
        <f t="shared" ca="1" si="148"/>
        <v>#N/A</v>
      </c>
      <c r="H369" s="406" t="e">
        <f t="shared" ca="1" si="148"/>
        <v>#N/A</v>
      </c>
      <c r="I369" s="406" t="e">
        <f t="shared" ca="1" si="148"/>
        <v>#N/A</v>
      </c>
      <c r="J369" s="406" t="e">
        <f t="shared" ca="1" si="148"/>
        <v>#N/A</v>
      </c>
      <c r="K369" s="406" t="e">
        <f t="shared" ca="1" si="148"/>
        <v>#N/A</v>
      </c>
      <c r="L369" s="406" t="e">
        <f t="shared" ca="1" si="148"/>
        <v>#N/A</v>
      </c>
      <c r="M369" s="406" t="e">
        <f t="shared" ca="1" si="148"/>
        <v>#N/A</v>
      </c>
      <c r="N369" s="406" t="e">
        <f t="shared" ca="1" si="146"/>
        <v>#N/A</v>
      </c>
      <c r="O369" s="406" t="e">
        <f t="shared" ca="1" si="146"/>
        <v>#N/A</v>
      </c>
      <c r="P369" s="406" t="e">
        <f t="shared" ca="1" si="146"/>
        <v>#N/A</v>
      </c>
      <c r="Q369" s="406" t="e">
        <f t="shared" ca="1" si="146"/>
        <v>#N/A</v>
      </c>
      <c r="R369" s="406" t="e">
        <f t="shared" ca="1" si="146"/>
        <v>#N/A</v>
      </c>
      <c r="S369" s="406" t="e">
        <f t="shared" ca="1" si="146"/>
        <v>#N/A</v>
      </c>
      <c r="T369" s="406" t="e">
        <f t="shared" ca="1" si="146"/>
        <v>#N/A</v>
      </c>
      <c r="U369" s="406" t="e">
        <f t="shared" ca="1" si="146"/>
        <v>#N/A</v>
      </c>
      <c r="V369" s="406" t="e">
        <f t="shared" ca="1" si="146"/>
        <v>#N/A</v>
      </c>
      <c r="W369" s="406" t="e">
        <f t="shared" ca="1" si="146"/>
        <v>#N/A</v>
      </c>
      <c r="X369" s="406" t="e">
        <f t="shared" ca="1" si="150"/>
        <v>#N/A</v>
      </c>
      <c r="Y369" s="406" t="e">
        <f t="shared" ca="1" si="150"/>
        <v>#N/A</v>
      </c>
      <c r="Z369" s="406" t="e">
        <f t="shared" ca="1" si="150"/>
        <v>#N/A</v>
      </c>
      <c r="AA369" s="406" t="e">
        <f t="shared" ca="1" si="150"/>
        <v>#N/A</v>
      </c>
      <c r="AB369" s="406" t="e">
        <f t="shared" ca="1" si="150"/>
        <v>#N/A</v>
      </c>
      <c r="AC369" s="406" t="e">
        <f t="shared" ca="1" si="150"/>
        <v>#N/A</v>
      </c>
      <c r="AD369" s="406" t="e">
        <f t="shared" ca="1" si="150"/>
        <v>#N/A</v>
      </c>
      <c r="AE369" s="406" t="e">
        <f t="shared" ca="1" si="150"/>
        <v>#N/A</v>
      </c>
      <c r="AF369" s="406" t="e">
        <f t="shared" ca="1" si="150"/>
        <v>#N/A</v>
      </c>
      <c r="AG369" s="406" t="e">
        <f t="shared" ca="1" si="150"/>
        <v>#N/A</v>
      </c>
      <c r="AH369" s="406" t="e">
        <f t="shared" ca="1" si="147"/>
        <v>#N/A</v>
      </c>
      <c r="AI369" s="406" t="e">
        <f t="shared" ca="1" si="147"/>
        <v>#N/A</v>
      </c>
      <c r="AJ369" s="406" t="e">
        <f t="shared" ca="1" si="147"/>
        <v>#N/A</v>
      </c>
      <c r="AK369" s="406" t="e">
        <f t="shared" ca="1" si="147"/>
        <v>#N/A</v>
      </c>
      <c r="AL369" s="406" t="e">
        <f t="shared" ca="1" si="147"/>
        <v>#N/A</v>
      </c>
      <c r="AM369" s="406" t="e">
        <f t="shared" ca="1" si="147"/>
        <v>#N/A</v>
      </c>
      <c r="AN369" s="406" t="e">
        <f t="shared" ca="1" si="147"/>
        <v>#N/A</v>
      </c>
      <c r="AO369" s="406" t="e">
        <f t="shared" ca="1" si="147"/>
        <v>#N/A</v>
      </c>
      <c r="AP369" s="406" t="e">
        <f t="shared" ca="1" si="147"/>
        <v>#N/A</v>
      </c>
      <c r="AQ369" s="406" t="e">
        <f t="shared" ca="1" si="147"/>
        <v>#N/A</v>
      </c>
      <c r="AR369" s="406" t="e">
        <f t="shared" ca="1" si="149"/>
        <v>#N/A</v>
      </c>
      <c r="AS369" s="406" t="e">
        <f t="shared" ca="1" si="149"/>
        <v>#N/A</v>
      </c>
      <c r="AT369" s="406" t="e">
        <f t="shared" ca="1" si="149"/>
        <v>#N/A</v>
      </c>
      <c r="AU369" s="406" t="e">
        <f t="shared" ca="1" si="149"/>
        <v>#N/A</v>
      </c>
      <c r="AV369" s="406" t="e">
        <f t="shared" ca="1" si="149"/>
        <v>#N/A</v>
      </c>
      <c r="AW369" s="406" t="e">
        <f t="shared" ca="1" si="149"/>
        <v>#N/A</v>
      </c>
      <c r="AX369" s="406" t="e">
        <f t="shared" ca="1" si="149"/>
        <v>#N/A</v>
      </c>
      <c r="AY369" s="406" t="e">
        <f t="shared" ca="1" si="149"/>
        <v>#N/A</v>
      </c>
      <c r="AZ369" s="406" t="e">
        <f t="shared" ca="1" si="149"/>
        <v>#N/A</v>
      </c>
      <c r="BA369" s="406" t="e">
        <f t="shared" ca="1" si="149"/>
        <v>#N/A</v>
      </c>
      <c r="BB369" s="408"/>
      <c r="BC369" s="408" t="str">
        <f t="shared" ca="1" si="141"/>
        <v/>
      </c>
      <c r="BD369" s="408" t="s">
        <v>1278</v>
      </c>
      <c r="BE369" s="408" t="s">
        <v>1278</v>
      </c>
    </row>
    <row r="370" spans="3:57" x14ac:dyDescent="0.25">
      <c r="C370" s="406">
        <f t="shared" si="143"/>
        <v>368</v>
      </c>
      <c r="D370" s="406" t="e">
        <f t="shared" ca="1" si="148"/>
        <v>#N/A</v>
      </c>
      <c r="E370" s="406" t="e">
        <f t="shared" ca="1" si="148"/>
        <v>#N/A</v>
      </c>
      <c r="F370" s="406" t="e">
        <f t="shared" ca="1" si="148"/>
        <v>#N/A</v>
      </c>
      <c r="G370" s="406" t="e">
        <f t="shared" ca="1" si="148"/>
        <v>#N/A</v>
      </c>
      <c r="H370" s="406" t="e">
        <f t="shared" ca="1" si="148"/>
        <v>#N/A</v>
      </c>
      <c r="I370" s="406" t="e">
        <f t="shared" ca="1" si="148"/>
        <v>#N/A</v>
      </c>
      <c r="J370" s="406" t="e">
        <f t="shared" ca="1" si="148"/>
        <v>#N/A</v>
      </c>
      <c r="K370" s="406" t="e">
        <f t="shared" ca="1" si="148"/>
        <v>#N/A</v>
      </c>
      <c r="L370" s="406" t="e">
        <f t="shared" ca="1" si="148"/>
        <v>#N/A</v>
      </c>
      <c r="M370" s="406" t="e">
        <f t="shared" ca="1" si="148"/>
        <v>#N/A</v>
      </c>
      <c r="N370" s="406" t="e">
        <f t="shared" ca="1" si="146"/>
        <v>#N/A</v>
      </c>
      <c r="O370" s="406" t="e">
        <f t="shared" ca="1" si="146"/>
        <v>#N/A</v>
      </c>
      <c r="P370" s="406" t="e">
        <f t="shared" ca="1" si="146"/>
        <v>#N/A</v>
      </c>
      <c r="Q370" s="406" t="e">
        <f t="shared" ca="1" si="146"/>
        <v>#N/A</v>
      </c>
      <c r="R370" s="406" t="e">
        <f t="shared" ca="1" si="146"/>
        <v>#N/A</v>
      </c>
      <c r="S370" s="406" t="e">
        <f t="shared" ca="1" si="146"/>
        <v>#N/A</v>
      </c>
      <c r="T370" s="406" t="e">
        <f t="shared" ca="1" si="146"/>
        <v>#N/A</v>
      </c>
      <c r="U370" s="406" t="e">
        <f t="shared" ca="1" si="146"/>
        <v>#N/A</v>
      </c>
      <c r="V370" s="406" t="e">
        <f t="shared" ca="1" si="146"/>
        <v>#N/A</v>
      </c>
      <c r="W370" s="406" t="e">
        <f t="shared" ca="1" si="146"/>
        <v>#N/A</v>
      </c>
      <c r="X370" s="406" t="e">
        <f t="shared" ca="1" si="150"/>
        <v>#N/A</v>
      </c>
      <c r="Y370" s="406" t="e">
        <f t="shared" ca="1" si="150"/>
        <v>#N/A</v>
      </c>
      <c r="Z370" s="406" t="e">
        <f t="shared" ca="1" si="150"/>
        <v>#N/A</v>
      </c>
      <c r="AA370" s="406" t="e">
        <f t="shared" ca="1" si="150"/>
        <v>#N/A</v>
      </c>
      <c r="AB370" s="406" t="e">
        <f t="shared" ca="1" si="150"/>
        <v>#N/A</v>
      </c>
      <c r="AC370" s="406" t="e">
        <f t="shared" ca="1" si="150"/>
        <v>#N/A</v>
      </c>
      <c r="AD370" s="406" t="e">
        <f t="shared" ca="1" si="150"/>
        <v>#N/A</v>
      </c>
      <c r="AE370" s="406" t="e">
        <f t="shared" ca="1" si="150"/>
        <v>#N/A</v>
      </c>
      <c r="AF370" s="406" t="e">
        <f t="shared" ca="1" si="150"/>
        <v>#N/A</v>
      </c>
      <c r="AG370" s="406" t="e">
        <f t="shared" ca="1" si="150"/>
        <v>#N/A</v>
      </c>
      <c r="AH370" s="406" t="e">
        <f t="shared" ca="1" si="147"/>
        <v>#N/A</v>
      </c>
      <c r="AI370" s="406" t="e">
        <f t="shared" ca="1" si="147"/>
        <v>#N/A</v>
      </c>
      <c r="AJ370" s="406" t="e">
        <f t="shared" ca="1" si="147"/>
        <v>#N/A</v>
      </c>
      <c r="AK370" s="406" t="e">
        <f t="shared" ca="1" si="147"/>
        <v>#N/A</v>
      </c>
      <c r="AL370" s="406" t="e">
        <f t="shared" ca="1" si="147"/>
        <v>#N/A</v>
      </c>
      <c r="AM370" s="406" t="e">
        <f t="shared" ca="1" si="147"/>
        <v>#N/A</v>
      </c>
      <c r="AN370" s="406" t="e">
        <f t="shared" ca="1" si="147"/>
        <v>#N/A</v>
      </c>
      <c r="AO370" s="406" t="e">
        <f t="shared" ca="1" si="147"/>
        <v>#N/A</v>
      </c>
      <c r="AP370" s="406" t="e">
        <f t="shared" ca="1" si="147"/>
        <v>#N/A</v>
      </c>
      <c r="AQ370" s="406" t="e">
        <f t="shared" ca="1" si="147"/>
        <v>#N/A</v>
      </c>
      <c r="AR370" s="406" t="e">
        <f t="shared" ca="1" si="149"/>
        <v>#N/A</v>
      </c>
      <c r="AS370" s="406" t="e">
        <f t="shared" ca="1" si="149"/>
        <v>#N/A</v>
      </c>
      <c r="AT370" s="406" t="e">
        <f t="shared" ca="1" si="149"/>
        <v>#N/A</v>
      </c>
      <c r="AU370" s="406" t="e">
        <f t="shared" ca="1" si="149"/>
        <v>#N/A</v>
      </c>
      <c r="AV370" s="406" t="e">
        <f t="shared" ca="1" si="149"/>
        <v>#N/A</v>
      </c>
      <c r="AW370" s="406" t="e">
        <f t="shared" ca="1" si="149"/>
        <v>#N/A</v>
      </c>
      <c r="AX370" s="406" t="e">
        <f t="shared" ca="1" si="149"/>
        <v>#N/A</v>
      </c>
      <c r="AY370" s="406" t="e">
        <f t="shared" ca="1" si="149"/>
        <v>#N/A</v>
      </c>
      <c r="AZ370" s="406" t="e">
        <f t="shared" ca="1" si="149"/>
        <v>#N/A</v>
      </c>
      <c r="BA370" s="406" t="e">
        <f t="shared" ca="1" si="149"/>
        <v>#N/A</v>
      </c>
      <c r="BB370" s="408"/>
      <c r="BC370" s="408" t="str">
        <f t="shared" ca="1" si="141"/>
        <v/>
      </c>
      <c r="BD370" s="408" t="s">
        <v>1278</v>
      </c>
      <c r="BE370" s="408" t="s">
        <v>1278</v>
      </c>
    </row>
    <row r="371" spans="3:57" x14ac:dyDescent="0.25">
      <c r="C371" s="406">
        <f t="shared" si="143"/>
        <v>369</v>
      </c>
      <c r="D371" s="406" t="e">
        <f t="shared" ca="1" si="148"/>
        <v>#N/A</v>
      </c>
      <c r="E371" s="406" t="e">
        <f t="shared" ca="1" si="148"/>
        <v>#N/A</v>
      </c>
      <c r="F371" s="406" t="e">
        <f t="shared" ca="1" si="148"/>
        <v>#N/A</v>
      </c>
      <c r="G371" s="406" t="e">
        <f t="shared" ca="1" si="148"/>
        <v>#N/A</v>
      </c>
      <c r="H371" s="406" t="e">
        <f t="shared" ca="1" si="148"/>
        <v>#N/A</v>
      </c>
      <c r="I371" s="406" t="e">
        <f t="shared" ca="1" si="148"/>
        <v>#N/A</v>
      </c>
      <c r="J371" s="406" t="e">
        <f t="shared" ca="1" si="148"/>
        <v>#N/A</v>
      </c>
      <c r="K371" s="406" t="e">
        <f t="shared" ca="1" si="148"/>
        <v>#N/A</v>
      </c>
      <c r="L371" s="406" t="e">
        <f t="shared" ca="1" si="148"/>
        <v>#N/A</v>
      </c>
      <c r="M371" s="406" t="e">
        <f t="shared" ca="1" si="148"/>
        <v>#N/A</v>
      </c>
      <c r="N371" s="406" t="e">
        <f t="shared" ca="1" si="146"/>
        <v>#N/A</v>
      </c>
      <c r="O371" s="406" t="e">
        <f t="shared" ca="1" si="146"/>
        <v>#N/A</v>
      </c>
      <c r="P371" s="406" t="e">
        <f t="shared" ca="1" si="146"/>
        <v>#N/A</v>
      </c>
      <c r="Q371" s="406" t="e">
        <f t="shared" ca="1" si="146"/>
        <v>#N/A</v>
      </c>
      <c r="R371" s="406" t="e">
        <f t="shared" ca="1" si="146"/>
        <v>#N/A</v>
      </c>
      <c r="S371" s="406" t="e">
        <f t="shared" ca="1" si="146"/>
        <v>#N/A</v>
      </c>
      <c r="T371" s="406" t="e">
        <f t="shared" ca="1" si="146"/>
        <v>#N/A</v>
      </c>
      <c r="U371" s="406" t="e">
        <f t="shared" ca="1" si="146"/>
        <v>#N/A</v>
      </c>
      <c r="V371" s="406" t="e">
        <f t="shared" ca="1" si="146"/>
        <v>#N/A</v>
      </c>
      <c r="W371" s="406" t="e">
        <f t="shared" ca="1" si="146"/>
        <v>#N/A</v>
      </c>
      <c r="X371" s="406" t="e">
        <f t="shared" ca="1" si="150"/>
        <v>#N/A</v>
      </c>
      <c r="Y371" s="406" t="e">
        <f t="shared" ca="1" si="150"/>
        <v>#N/A</v>
      </c>
      <c r="Z371" s="406" t="e">
        <f t="shared" ca="1" si="150"/>
        <v>#N/A</v>
      </c>
      <c r="AA371" s="406" t="e">
        <f t="shared" ca="1" si="150"/>
        <v>#N/A</v>
      </c>
      <c r="AB371" s="406" t="e">
        <f t="shared" ca="1" si="150"/>
        <v>#N/A</v>
      </c>
      <c r="AC371" s="406" t="e">
        <f t="shared" ca="1" si="150"/>
        <v>#N/A</v>
      </c>
      <c r="AD371" s="406" t="e">
        <f t="shared" ca="1" si="150"/>
        <v>#N/A</v>
      </c>
      <c r="AE371" s="406" t="e">
        <f t="shared" ca="1" si="150"/>
        <v>#N/A</v>
      </c>
      <c r="AF371" s="406" t="e">
        <f t="shared" ca="1" si="150"/>
        <v>#N/A</v>
      </c>
      <c r="AG371" s="406" t="e">
        <f t="shared" ca="1" si="150"/>
        <v>#N/A</v>
      </c>
      <c r="AH371" s="406" t="e">
        <f t="shared" ca="1" si="147"/>
        <v>#N/A</v>
      </c>
      <c r="AI371" s="406" t="e">
        <f t="shared" ca="1" si="147"/>
        <v>#N/A</v>
      </c>
      <c r="AJ371" s="406" t="e">
        <f t="shared" ca="1" si="147"/>
        <v>#N/A</v>
      </c>
      <c r="AK371" s="406" t="e">
        <f t="shared" ca="1" si="147"/>
        <v>#N/A</v>
      </c>
      <c r="AL371" s="406" t="e">
        <f t="shared" ca="1" si="147"/>
        <v>#N/A</v>
      </c>
      <c r="AM371" s="406" t="e">
        <f t="shared" ca="1" si="147"/>
        <v>#N/A</v>
      </c>
      <c r="AN371" s="406" t="e">
        <f t="shared" ca="1" si="147"/>
        <v>#N/A</v>
      </c>
      <c r="AO371" s="406" t="e">
        <f t="shared" ca="1" si="147"/>
        <v>#N/A</v>
      </c>
      <c r="AP371" s="406" t="e">
        <f t="shared" ca="1" si="147"/>
        <v>#N/A</v>
      </c>
      <c r="AQ371" s="406" t="e">
        <f t="shared" ca="1" si="147"/>
        <v>#N/A</v>
      </c>
      <c r="AR371" s="406" t="e">
        <f t="shared" ca="1" si="149"/>
        <v>#N/A</v>
      </c>
      <c r="AS371" s="406" t="e">
        <f t="shared" ca="1" si="149"/>
        <v>#N/A</v>
      </c>
      <c r="AT371" s="406" t="e">
        <f t="shared" ca="1" si="149"/>
        <v>#N/A</v>
      </c>
      <c r="AU371" s="406" t="e">
        <f t="shared" ca="1" si="149"/>
        <v>#N/A</v>
      </c>
      <c r="AV371" s="406" t="e">
        <f t="shared" ca="1" si="149"/>
        <v>#N/A</v>
      </c>
      <c r="AW371" s="406" t="e">
        <f t="shared" ca="1" si="149"/>
        <v>#N/A</v>
      </c>
      <c r="AX371" s="406" t="e">
        <f t="shared" ca="1" si="149"/>
        <v>#N/A</v>
      </c>
      <c r="AY371" s="406" t="e">
        <f t="shared" ca="1" si="149"/>
        <v>#N/A</v>
      </c>
      <c r="AZ371" s="406" t="e">
        <f t="shared" ca="1" si="149"/>
        <v>#N/A</v>
      </c>
      <c r="BA371" s="406" t="e">
        <f t="shared" ca="1" si="149"/>
        <v>#N/A</v>
      </c>
      <c r="BB371" s="408"/>
      <c r="BC371" s="408" t="str">
        <f t="shared" ca="1" si="141"/>
        <v/>
      </c>
      <c r="BD371" s="408" t="s">
        <v>1278</v>
      </c>
      <c r="BE371" s="408" t="s">
        <v>1278</v>
      </c>
    </row>
    <row r="372" spans="3:57" x14ac:dyDescent="0.25">
      <c r="C372" s="406">
        <f t="shared" si="143"/>
        <v>370</v>
      </c>
      <c r="D372" s="406" t="e">
        <f t="shared" ca="1" si="148"/>
        <v>#N/A</v>
      </c>
      <c r="E372" s="406" t="e">
        <f t="shared" ca="1" si="148"/>
        <v>#N/A</v>
      </c>
      <c r="F372" s="406" t="e">
        <f t="shared" ca="1" si="148"/>
        <v>#N/A</v>
      </c>
      <c r="G372" s="406" t="e">
        <f t="shared" ca="1" si="148"/>
        <v>#N/A</v>
      </c>
      <c r="H372" s="406" t="e">
        <f t="shared" ca="1" si="148"/>
        <v>#N/A</v>
      </c>
      <c r="I372" s="406" t="e">
        <f t="shared" ca="1" si="148"/>
        <v>#N/A</v>
      </c>
      <c r="J372" s="406" t="e">
        <f t="shared" ca="1" si="148"/>
        <v>#N/A</v>
      </c>
      <c r="K372" s="406" t="e">
        <f t="shared" ca="1" si="148"/>
        <v>#N/A</v>
      </c>
      <c r="L372" s="406" t="e">
        <f t="shared" ca="1" si="148"/>
        <v>#N/A</v>
      </c>
      <c r="M372" s="406" t="e">
        <f t="shared" ca="1" si="148"/>
        <v>#N/A</v>
      </c>
      <c r="N372" s="406" t="e">
        <f t="shared" ca="1" si="146"/>
        <v>#N/A</v>
      </c>
      <c r="O372" s="406" t="e">
        <f t="shared" ca="1" si="146"/>
        <v>#N/A</v>
      </c>
      <c r="P372" s="406" t="e">
        <f t="shared" ca="1" si="146"/>
        <v>#N/A</v>
      </c>
      <c r="Q372" s="406" t="e">
        <f t="shared" ca="1" si="146"/>
        <v>#N/A</v>
      </c>
      <c r="R372" s="406" t="e">
        <f t="shared" ref="N372:W397" ca="1" si="151">TRIM(INDIRECT("'" &amp; "TNX RTF" &amp; "'!" &amp; ADDRESS($A$3+$C372,R$1)))</f>
        <v>#N/A</v>
      </c>
      <c r="S372" s="406" t="e">
        <f t="shared" ca="1" si="151"/>
        <v>#N/A</v>
      </c>
      <c r="T372" s="406" t="e">
        <f t="shared" ca="1" si="151"/>
        <v>#N/A</v>
      </c>
      <c r="U372" s="406" t="e">
        <f t="shared" ca="1" si="151"/>
        <v>#N/A</v>
      </c>
      <c r="V372" s="406" t="e">
        <f t="shared" ca="1" si="151"/>
        <v>#N/A</v>
      </c>
      <c r="W372" s="406" t="e">
        <f t="shared" ca="1" si="151"/>
        <v>#N/A</v>
      </c>
      <c r="X372" s="406" t="e">
        <f t="shared" ca="1" si="150"/>
        <v>#N/A</v>
      </c>
      <c r="Y372" s="406" t="e">
        <f t="shared" ca="1" si="150"/>
        <v>#N/A</v>
      </c>
      <c r="Z372" s="406" t="e">
        <f t="shared" ca="1" si="150"/>
        <v>#N/A</v>
      </c>
      <c r="AA372" s="406" t="e">
        <f t="shared" ca="1" si="150"/>
        <v>#N/A</v>
      </c>
      <c r="AB372" s="406" t="e">
        <f t="shared" ca="1" si="150"/>
        <v>#N/A</v>
      </c>
      <c r="AC372" s="406" t="e">
        <f t="shared" ca="1" si="150"/>
        <v>#N/A</v>
      </c>
      <c r="AD372" s="406" t="e">
        <f t="shared" ca="1" si="150"/>
        <v>#N/A</v>
      </c>
      <c r="AE372" s="406" t="e">
        <f t="shared" ca="1" si="150"/>
        <v>#N/A</v>
      </c>
      <c r="AF372" s="406" t="e">
        <f t="shared" ca="1" si="150"/>
        <v>#N/A</v>
      </c>
      <c r="AG372" s="406" t="e">
        <f t="shared" ca="1" si="150"/>
        <v>#N/A</v>
      </c>
      <c r="AH372" s="406" t="e">
        <f t="shared" ca="1" si="147"/>
        <v>#N/A</v>
      </c>
      <c r="AI372" s="406" t="e">
        <f t="shared" ca="1" si="147"/>
        <v>#N/A</v>
      </c>
      <c r="AJ372" s="406" t="e">
        <f t="shared" ca="1" si="147"/>
        <v>#N/A</v>
      </c>
      <c r="AK372" s="406" t="e">
        <f t="shared" ref="AH372:AQ397" ca="1" si="152">TRIM(INDIRECT("'" &amp; "TNX RTF" &amp; "'!" &amp; ADDRESS($A$3+$C372,AK$1)))</f>
        <v>#N/A</v>
      </c>
      <c r="AL372" s="406" t="e">
        <f t="shared" ca="1" si="152"/>
        <v>#N/A</v>
      </c>
      <c r="AM372" s="406" t="e">
        <f t="shared" ca="1" si="152"/>
        <v>#N/A</v>
      </c>
      <c r="AN372" s="406" t="e">
        <f t="shared" ca="1" si="152"/>
        <v>#N/A</v>
      </c>
      <c r="AO372" s="406" t="e">
        <f t="shared" ca="1" si="152"/>
        <v>#N/A</v>
      </c>
      <c r="AP372" s="406" t="e">
        <f t="shared" ca="1" si="152"/>
        <v>#N/A</v>
      </c>
      <c r="AQ372" s="406" t="e">
        <f t="shared" ca="1" si="152"/>
        <v>#N/A</v>
      </c>
      <c r="AR372" s="406" t="e">
        <f t="shared" ca="1" si="149"/>
        <v>#N/A</v>
      </c>
      <c r="AS372" s="406" t="e">
        <f t="shared" ca="1" si="149"/>
        <v>#N/A</v>
      </c>
      <c r="AT372" s="406" t="e">
        <f t="shared" ca="1" si="149"/>
        <v>#N/A</v>
      </c>
      <c r="AU372" s="406" t="e">
        <f t="shared" ca="1" si="149"/>
        <v>#N/A</v>
      </c>
      <c r="AV372" s="406" t="e">
        <f t="shared" ca="1" si="149"/>
        <v>#N/A</v>
      </c>
      <c r="AW372" s="406" t="e">
        <f t="shared" ca="1" si="149"/>
        <v>#N/A</v>
      </c>
      <c r="AX372" s="406" t="e">
        <f t="shared" ca="1" si="149"/>
        <v>#N/A</v>
      </c>
      <c r="AY372" s="406" t="e">
        <f t="shared" ca="1" si="149"/>
        <v>#N/A</v>
      </c>
      <c r="AZ372" s="406" t="e">
        <f t="shared" ca="1" si="149"/>
        <v>#N/A</v>
      </c>
      <c r="BA372" s="406" t="e">
        <f t="shared" ca="1" si="149"/>
        <v>#N/A</v>
      </c>
      <c r="BB372" s="408"/>
      <c r="BC372" s="408" t="str">
        <f t="shared" ca="1" si="141"/>
        <v/>
      </c>
      <c r="BD372" s="408" t="s">
        <v>1278</v>
      </c>
      <c r="BE372" s="408" t="s">
        <v>1278</v>
      </c>
    </row>
    <row r="373" spans="3:57" x14ac:dyDescent="0.25">
      <c r="C373" s="406">
        <f t="shared" si="143"/>
        <v>371</v>
      </c>
      <c r="D373" s="406" t="e">
        <f t="shared" ca="1" si="148"/>
        <v>#N/A</v>
      </c>
      <c r="E373" s="406" t="e">
        <f t="shared" ca="1" si="148"/>
        <v>#N/A</v>
      </c>
      <c r="F373" s="406" t="e">
        <f t="shared" ca="1" si="148"/>
        <v>#N/A</v>
      </c>
      <c r="G373" s="406" t="e">
        <f t="shared" ca="1" si="148"/>
        <v>#N/A</v>
      </c>
      <c r="H373" s="406" t="e">
        <f t="shared" ca="1" si="148"/>
        <v>#N/A</v>
      </c>
      <c r="I373" s="406" t="e">
        <f t="shared" ca="1" si="148"/>
        <v>#N/A</v>
      </c>
      <c r="J373" s="406" t="e">
        <f t="shared" ca="1" si="148"/>
        <v>#N/A</v>
      </c>
      <c r="K373" s="406" t="e">
        <f t="shared" ca="1" si="148"/>
        <v>#N/A</v>
      </c>
      <c r="L373" s="406" t="e">
        <f t="shared" ca="1" si="148"/>
        <v>#N/A</v>
      </c>
      <c r="M373" s="406" t="e">
        <f t="shared" ca="1" si="148"/>
        <v>#N/A</v>
      </c>
      <c r="N373" s="406" t="e">
        <f t="shared" ca="1" si="151"/>
        <v>#N/A</v>
      </c>
      <c r="O373" s="406" t="e">
        <f t="shared" ca="1" si="151"/>
        <v>#N/A</v>
      </c>
      <c r="P373" s="406" t="e">
        <f t="shared" ca="1" si="151"/>
        <v>#N/A</v>
      </c>
      <c r="Q373" s="406" t="e">
        <f t="shared" ca="1" si="151"/>
        <v>#N/A</v>
      </c>
      <c r="R373" s="406" t="e">
        <f t="shared" ca="1" si="151"/>
        <v>#N/A</v>
      </c>
      <c r="S373" s="406" t="e">
        <f t="shared" ca="1" si="151"/>
        <v>#N/A</v>
      </c>
      <c r="T373" s="406" t="e">
        <f t="shared" ca="1" si="151"/>
        <v>#N/A</v>
      </c>
      <c r="U373" s="406" t="e">
        <f t="shared" ca="1" si="151"/>
        <v>#N/A</v>
      </c>
      <c r="V373" s="406" t="e">
        <f t="shared" ca="1" si="151"/>
        <v>#N/A</v>
      </c>
      <c r="W373" s="406" t="e">
        <f t="shared" ca="1" si="151"/>
        <v>#N/A</v>
      </c>
      <c r="X373" s="406" t="e">
        <f t="shared" ca="1" si="150"/>
        <v>#N/A</v>
      </c>
      <c r="Y373" s="406" t="e">
        <f t="shared" ca="1" si="150"/>
        <v>#N/A</v>
      </c>
      <c r="Z373" s="406" t="e">
        <f t="shared" ca="1" si="150"/>
        <v>#N/A</v>
      </c>
      <c r="AA373" s="406" t="e">
        <f t="shared" ca="1" si="150"/>
        <v>#N/A</v>
      </c>
      <c r="AB373" s="406" t="e">
        <f t="shared" ca="1" si="150"/>
        <v>#N/A</v>
      </c>
      <c r="AC373" s="406" t="e">
        <f t="shared" ca="1" si="150"/>
        <v>#N/A</v>
      </c>
      <c r="AD373" s="406" t="e">
        <f t="shared" ca="1" si="150"/>
        <v>#N/A</v>
      </c>
      <c r="AE373" s="406" t="e">
        <f t="shared" ca="1" si="150"/>
        <v>#N/A</v>
      </c>
      <c r="AF373" s="406" t="e">
        <f t="shared" ca="1" si="150"/>
        <v>#N/A</v>
      </c>
      <c r="AG373" s="406" t="e">
        <f t="shared" ca="1" si="150"/>
        <v>#N/A</v>
      </c>
      <c r="AH373" s="406" t="e">
        <f t="shared" ca="1" si="152"/>
        <v>#N/A</v>
      </c>
      <c r="AI373" s="406" t="e">
        <f t="shared" ca="1" si="152"/>
        <v>#N/A</v>
      </c>
      <c r="AJ373" s="406" t="e">
        <f t="shared" ca="1" si="152"/>
        <v>#N/A</v>
      </c>
      <c r="AK373" s="406" t="e">
        <f t="shared" ca="1" si="152"/>
        <v>#N/A</v>
      </c>
      <c r="AL373" s="406" t="e">
        <f t="shared" ca="1" si="152"/>
        <v>#N/A</v>
      </c>
      <c r="AM373" s="406" t="e">
        <f t="shared" ca="1" si="152"/>
        <v>#N/A</v>
      </c>
      <c r="AN373" s="406" t="e">
        <f t="shared" ca="1" si="152"/>
        <v>#N/A</v>
      </c>
      <c r="AO373" s="406" t="e">
        <f t="shared" ca="1" si="152"/>
        <v>#N/A</v>
      </c>
      <c r="AP373" s="406" t="e">
        <f t="shared" ca="1" si="152"/>
        <v>#N/A</v>
      </c>
      <c r="AQ373" s="406" t="e">
        <f t="shared" ca="1" si="152"/>
        <v>#N/A</v>
      </c>
      <c r="AR373" s="406" t="e">
        <f t="shared" ca="1" si="149"/>
        <v>#N/A</v>
      </c>
      <c r="AS373" s="406" t="e">
        <f t="shared" ca="1" si="149"/>
        <v>#N/A</v>
      </c>
      <c r="AT373" s="406" t="e">
        <f t="shared" ca="1" si="149"/>
        <v>#N/A</v>
      </c>
      <c r="AU373" s="406" t="e">
        <f t="shared" ca="1" si="149"/>
        <v>#N/A</v>
      </c>
      <c r="AV373" s="406" t="e">
        <f t="shared" ca="1" si="149"/>
        <v>#N/A</v>
      </c>
      <c r="AW373" s="406" t="e">
        <f t="shared" ca="1" si="149"/>
        <v>#N/A</v>
      </c>
      <c r="AX373" s="406" t="e">
        <f t="shared" ca="1" si="149"/>
        <v>#N/A</v>
      </c>
      <c r="AY373" s="406" t="e">
        <f t="shared" ca="1" si="149"/>
        <v>#N/A</v>
      </c>
      <c r="AZ373" s="406" t="e">
        <f t="shared" ca="1" si="149"/>
        <v>#N/A</v>
      </c>
      <c r="BA373" s="406" t="e">
        <f t="shared" ca="1" si="149"/>
        <v>#N/A</v>
      </c>
      <c r="BB373" s="408"/>
      <c r="BC373" s="408" t="str">
        <f t="shared" ca="1" si="141"/>
        <v/>
      </c>
      <c r="BD373" s="408" t="s">
        <v>1278</v>
      </c>
      <c r="BE373" s="408" t="s">
        <v>1278</v>
      </c>
    </row>
    <row r="374" spans="3:57" ht="15" customHeight="1" x14ac:dyDescent="0.25">
      <c r="C374" s="406">
        <f t="shared" si="143"/>
        <v>372</v>
      </c>
      <c r="D374" s="406" t="e">
        <f t="shared" ref="D374:M399" ca="1" si="153">TRIM(INDIRECT("'" &amp; "TNX RTF" &amp; "'!" &amp; ADDRESS($A$3+$C374,D$1)))</f>
        <v>#N/A</v>
      </c>
      <c r="E374" s="406" t="e">
        <f t="shared" ca="1" si="153"/>
        <v>#N/A</v>
      </c>
      <c r="F374" s="406" t="e">
        <f t="shared" ca="1" si="153"/>
        <v>#N/A</v>
      </c>
      <c r="G374" s="406" t="e">
        <f t="shared" ca="1" si="153"/>
        <v>#N/A</v>
      </c>
      <c r="H374" s="406" t="e">
        <f t="shared" ca="1" si="153"/>
        <v>#N/A</v>
      </c>
      <c r="I374" s="406" t="e">
        <f t="shared" ca="1" si="153"/>
        <v>#N/A</v>
      </c>
      <c r="J374" s="406" t="e">
        <f t="shared" ca="1" si="153"/>
        <v>#N/A</v>
      </c>
      <c r="K374" s="406" t="e">
        <f t="shared" ca="1" si="153"/>
        <v>#N/A</v>
      </c>
      <c r="L374" s="406" t="e">
        <f t="shared" ca="1" si="153"/>
        <v>#N/A</v>
      </c>
      <c r="M374" s="406" t="e">
        <f t="shared" ca="1" si="153"/>
        <v>#N/A</v>
      </c>
      <c r="N374" s="406" t="e">
        <f t="shared" ca="1" si="151"/>
        <v>#N/A</v>
      </c>
      <c r="O374" s="406" t="e">
        <f t="shared" ca="1" si="151"/>
        <v>#N/A</v>
      </c>
      <c r="P374" s="406" t="e">
        <f t="shared" ca="1" si="151"/>
        <v>#N/A</v>
      </c>
      <c r="Q374" s="406" t="e">
        <f t="shared" ca="1" si="151"/>
        <v>#N/A</v>
      </c>
      <c r="R374" s="406" t="e">
        <f t="shared" ca="1" si="151"/>
        <v>#N/A</v>
      </c>
      <c r="S374" s="406" t="e">
        <f t="shared" ca="1" si="151"/>
        <v>#N/A</v>
      </c>
      <c r="T374" s="406" t="e">
        <f t="shared" ca="1" si="151"/>
        <v>#N/A</v>
      </c>
      <c r="U374" s="406" t="e">
        <f t="shared" ca="1" si="151"/>
        <v>#N/A</v>
      </c>
      <c r="V374" s="406" t="e">
        <f t="shared" ca="1" si="151"/>
        <v>#N/A</v>
      </c>
      <c r="W374" s="406" t="e">
        <f t="shared" ca="1" si="151"/>
        <v>#N/A</v>
      </c>
      <c r="X374" s="406" t="e">
        <f t="shared" ca="1" si="150"/>
        <v>#N/A</v>
      </c>
      <c r="Y374" s="406" t="e">
        <f t="shared" ca="1" si="150"/>
        <v>#N/A</v>
      </c>
      <c r="Z374" s="406" t="e">
        <f t="shared" ca="1" si="150"/>
        <v>#N/A</v>
      </c>
      <c r="AA374" s="406" t="e">
        <f t="shared" ca="1" si="150"/>
        <v>#N/A</v>
      </c>
      <c r="AB374" s="406" t="e">
        <f t="shared" ca="1" si="150"/>
        <v>#N/A</v>
      </c>
      <c r="AC374" s="406" t="e">
        <f t="shared" ca="1" si="150"/>
        <v>#N/A</v>
      </c>
      <c r="AD374" s="406" t="e">
        <f t="shared" ca="1" si="150"/>
        <v>#N/A</v>
      </c>
      <c r="AE374" s="406" t="e">
        <f t="shared" ca="1" si="150"/>
        <v>#N/A</v>
      </c>
      <c r="AF374" s="406" t="e">
        <f t="shared" ca="1" si="150"/>
        <v>#N/A</v>
      </c>
      <c r="AG374" s="406" t="e">
        <f t="shared" ca="1" si="150"/>
        <v>#N/A</v>
      </c>
      <c r="AH374" s="406" t="e">
        <f t="shared" ca="1" si="152"/>
        <v>#N/A</v>
      </c>
      <c r="AI374" s="406" t="e">
        <f t="shared" ca="1" si="152"/>
        <v>#N/A</v>
      </c>
      <c r="AJ374" s="406" t="e">
        <f t="shared" ca="1" si="152"/>
        <v>#N/A</v>
      </c>
      <c r="AK374" s="406" t="e">
        <f t="shared" ca="1" si="152"/>
        <v>#N/A</v>
      </c>
      <c r="AL374" s="406" t="e">
        <f t="shared" ca="1" si="152"/>
        <v>#N/A</v>
      </c>
      <c r="AM374" s="406" t="e">
        <f t="shared" ca="1" si="152"/>
        <v>#N/A</v>
      </c>
      <c r="AN374" s="406" t="e">
        <f t="shared" ca="1" si="152"/>
        <v>#N/A</v>
      </c>
      <c r="AO374" s="406" t="e">
        <f t="shared" ca="1" si="152"/>
        <v>#N/A</v>
      </c>
      <c r="AP374" s="406" t="e">
        <f t="shared" ca="1" si="152"/>
        <v>#N/A</v>
      </c>
      <c r="AQ374" s="406" t="e">
        <f t="shared" ca="1" si="152"/>
        <v>#N/A</v>
      </c>
      <c r="AR374" s="406" t="e">
        <f t="shared" ca="1" si="149"/>
        <v>#N/A</v>
      </c>
      <c r="AS374" s="406" t="e">
        <f t="shared" ca="1" si="149"/>
        <v>#N/A</v>
      </c>
      <c r="AT374" s="406" t="e">
        <f t="shared" ca="1" si="149"/>
        <v>#N/A</v>
      </c>
      <c r="AU374" s="406" t="e">
        <f t="shared" ca="1" si="149"/>
        <v>#N/A</v>
      </c>
      <c r="AV374" s="406" t="e">
        <f t="shared" ca="1" si="149"/>
        <v>#N/A</v>
      </c>
      <c r="AW374" s="406" t="e">
        <f t="shared" ca="1" si="149"/>
        <v>#N/A</v>
      </c>
      <c r="AX374" s="406" t="e">
        <f t="shared" ca="1" si="149"/>
        <v>#N/A</v>
      </c>
      <c r="AY374" s="406" t="e">
        <f t="shared" ca="1" si="149"/>
        <v>#N/A</v>
      </c>
      <c r="AZ374" s="406" t="e">
        <f t="shared" ca="1" si="149"/>
        <v>#N/A</v>
      </c>
      <c r="BA374" s="406" t="e">
        <f t="shared" ca="1" si="149"/>
        <v>#N/A</v>
      </c>
      <c r="BB374" s="408"/>
      <c r="BC374" s="408" t="str">
        <f t="shared" ca="1" si="141"/>
        <v/>
      </c>
      <c r="BD374" s="408" t="s">
        <v>1278</v>
      </c>
      <c r="BE374" s="408" t="s">
        <v>1278</v>
      </c>
    </row>
    <row r="375" spans="3:57" x14ac:dyDescent="0.25">
      <c r="C375" s="406">
        <f t="shared" si="143"/>
        <v>373</v>
      </c>
      <c r="D375" s="406" t="e">
        <f t="shared" ca="1" si="153"/>
        <v>#N/A</v>
      </c>
      <c r="E375" s="406" t="e">
        <f t="shared" ca="1" si="153"/>
        <v>#N/A</v>
      </c>
      <c r="F375" s="406" t="e">
        <f t="shared" ca="1" si="153"/>
        <v>#N/A</v>
      </c>
      <c r="G375" s="406" t="e">
        <f t="shared" ca="1" si="153"/>
        <v>#N/A</v>
      </c>
      <c r="H375" s="406" t="e">
        <f t="shared" ca="1" si="153"/>
        <v>#N/A</v>
      </c>
      <c r="I375" s="406" t="e">
        <f t="shared" ca="1" si="153"/>
        <v>#N/A</v>
      </c>
      <c r="J375" s="406" t="e">
        <f t="shared" ca="1" si="153"/>
        <v>#N/A</v>
      </c>
      <c r="K375" s="406" t="e">
        <f t="shared" ca="1" si="153"/>
        <v>#N/A</v>
      </c>
      <c r="L375" s="406" t="e">
        <f t="shared" ca="1" si="153"/>
        <v>#N/A</v>
      </c>
      <c r="M375" s="406" t="e">
        <f t="shared" ca="1" si="153"/>
        <v>#N/A</v>
      </c>
      <c r="N375" s="406" t="e">
        <f t="shared" ca="1" si="151"/>
        <v>#N/A</v>
      </c>
      <c r="O375" s="406" t="e">
        <f t="shared" ca="1" si="151"/>
        <v>#N/A</v>
      </c>
      <c r="P375" s="406" t="e">
        <f t="shared" ca="1" si="151"/>
        <v>#N/A</v>
      </c>
      <c r="Q375" s="406" t="e">
        <f t="shared" ca="1" si="151"/>
        <v>#N/A</v>
      </c>
      <c r="R375" s="406" t="e">
        <f t="shared" ca="1" si="151"/>
        <v>#N/A</v>
      </c>
      <c r="S375" s="406" t="e">
        <f t="shared" ca="1" si="151"/>
        <v>#N/A</v>
      </c>
      <c r="T375" s="406" t="e">
        <f t="shared" ca="1" si="151"/>
        <v>#N/A</v>
      </c>
      <c r="U375" s="406" t="e">
        <f t="shared" ca="1" si="151"/>
        <v>#N/A</v>
      </c>
      <c r="V375" s="406" t="e">
        <f t="shared" ca="1" si="151"/>
        <v>#N/A</v>
      </c>
      <c r="W375" s="406" t="e">
        <f t="shared" ca="1" si="151"/>
        <v>#N/A</v>
      </c>
      <c r="X375" s="406" t="e">
        <f t="shared" ca="1" si="150"/>
        <v>#N/A</v>
      </c>
      <c r="Y375" s="406" t="e">
        <f t="shared" ca="1" si="150"/>
        <v>#N/A</v>
      </c>
      <c r="Z375" s="406" t="e">
        <f t="shared" ca="1" si="150"/>
        <v>#N/A</v>
      </c>
      <c r="AA375" s="406" t="e">
        <f t="shared" ca="1" si="150"/>
        <v>#N/A</v>
      </c>
      <c r="AB375" s="406" t="e">
        <f t="shared" ca="1" si="150"/>
        <v>#N/A</v>
      </c>
      <c r="AC375" s="406" t="e">
        <f t="shared" ca="1" si="150"/>
        <v>#N/A</v>
      </c>
      <c r="AD375" s="406" t="e">
        <f t="shared" ca="1" si="150"/>
        <v>#N/A</v>
      </c>
      <c r="AE375" s="406" t="e">
        <f t="shared" ca="1" si="150"/>
        <v>#N/A</v>
      </c>
      <c r="AF375" s="406" t="e">
        <f t="shared" ca="1" si="150"/>
        <v>#N/A</v>
      </c>
      <c r="AG375" s="406" t="e">
        <f t="shared" ca="1" si="150"/>
        <v>#N/A</v>
      </c>
      <c r="AH375" s="406" t="e">
        <f t="shared" ca="1" si="152"/>
        <v>#N/A</v>
      </c>
      <c r="AI375" s="406" t="e">
        <f t="shared" ca="1" si="152"/>
        <v>#N/A</v>
      </c>
      <c r="AJ375" s="406" t="e">
        <f t="shared" ca="1" si="152"/>
        <v>#N/A</v>
      </c>
      <c r="AK375" s="406" t="e">
        <f t="shared" ca="1" si="152"/>
        <v>#N/A</v>
      </c>
      <c r="AL375" s="406" t="e">
        <f t="shared" ca="1" si="152"/>
        <v>#N/A</v>
      </c>
      <c r="AM375" s="406" t="e">
        <f t="shared" ca="1" si="152"/>
        <v>#N/A</v>
      </c>
      <c r="AN375" s="406" t="e">
        <f t="shared" ca="1" si="152"/>
        <v>#N/A</v>
      </c>
      <c r="AO375" s="406" t="e">
        <f t="shared" ca="1" si="152"/>
        <v>#N/A</v>
      </c>
      <c r="AP375" s="406" t="e">
        <f t="shared" ca="1" si="152"/>
        <v>#N/A</v>
      </c>
      <c r="AQ375" s="406" t="e">
        <f t="shared" ca="1" si="152"/>
        <v>#N/A</v>
      </c>
      <c r="AR375" s="406" t="e">
        <f t="shared" ca="1" si="149"/>
        <v>#N/A</v>
      </c>
      <c r="AS375" s="406" t="e">
        <f t="shared" ca="1" si="149"/>
        <v>#N/A</v>
      </c>
      <c r="AT375" s="406" t="e">
        <f t="shared" ca="1" si="149"/>
        <v>#N/A</v>
      </c>
      <c r="AU375" s="406" t="e">
        <f t="shared" ca="1" si="149"/>
        <v>#N/A</v>
      </c>
      <c r="AV375" s="406" t="e">
        <f t="shared" ca="1" si="149"/>
        <v>#N/A</v>
      </c>
      <c r="AW375" s="406" t="e">
        <f t="shared" ca="1" si="149"/>
        <v>#N/A</v>
      </c>
      <c r="AX375" s="406" t="e">
        <f t="shared" ca="1" si="149"/>
        <v>#N/A</v>
      </c>
      <c r="AY375" s="406" t="e">
        <f t="shared" ca="1" si="149"/>
        <v>#N/A</v>
      </c>
      <c r="AZ375" s="406" t="e">
        <f t="shared" ca="1" si="149"/>
        <v>#N/A</v>
      </c>
      <c r="BA375" s="406" t="e">
        <f t="shared" ca="1" si="149"/>
        <v>#N/A</v>
      </c>
      <c r="BB375" s="408"/>
      <c r="BC375" s="408" t="str">
        <f t="shared" ca="1" si="141"/>
        <v/>
      </c>
      <c r="BD375" s="408" t="s">
        <v>1278</v>
      </c>
      <c r="BE375" s="408" t="s">
        <v>1278</v>
      </c>
    </row>
    <row r="376" spans="3:57" x14ac:dyDescent="0.25">
      <c r="C376" s="406">
        <f t="shared" si="143"/>
        <v>374</v>
      </c>
      <c r="D376" s="406" t="e">
        <f t="shared" ca="1" si="153"/>
        <v>#N/A</v>
      </c>
      <c r="E376" s="406" t="e">
        <f t="shared" ca="1" si="153"/>
        <v>#N/A</v>
      </c>
      <c r="F376" s="406" t="e">
        <f t="shared" ca="1" si="153"/>
        <v>#N/A</v>
      </c>
      <c r="G376" s="406" t="e">
        <f t="shared" ca="1" si="153"/>
        <v>#N/A</v>
      </c>
      <c r="H376" s="406" t="e">
        <f t="shared" ca="1" si="153"/>
        <v>#N/A</v>
      </c>
      <c r="I376" s="406" t="e">
        <f t="shared" ca="1" si="153"/>
        <v>#N/A</v>
      </c>
      <c r="J376" s="406" t="e">
        <f t="shared" ca="1" si="153"/>
        <v>#N/A</v>
      </c>
      <c r="K376" s="406" t="e">
        <f t="shared" ca="1" si="153"/>
        <v>#N/A</v>
      </c>
      <c r="L376" s="406" t="e">
        <f t="shared" ca="1" si="153"/>
        <v>#N/A</v>
      </c>
      <c r="M376" s="406" t="e">
        <f t="shared" ca="1" si="153"/>
        <v>#N/A</v>
      </c>
      <c r="N376" s="406" t="e">
        <f t="shared" ca="1" si="151"/>
        <v>#N/A</v>
      </c>
      <c r="O376" s="406" t="e">
        <f t="shared" ca="1" si="151"/>
        <v>#N/A</v>
      </c>
      <c r="P376" s="406" t="e">
        <f t="shared" ca="1" si="151"/>
        <v>#N/A</v>
      </c>
      <c r="Q376" s="406" t="e">
        <f t="shared" ca="1" si="151"/>
        <v>#N/A</v>
      </c>
      <c r="R376" s="406" t="e">
        <f t="shared" ca="1" si="151"/>
        <v>#N/A</v>
      </c>
      <c r="S376" s="406" t="e">
        <f t="shared" ca="1" si="151"/>
        <v>#N/A</v>
      </c>
      <c r="T376" s="406" t="e">
        <f t="shared" ca="1" si="151"/>
        <v>#N/A</v>
      </c>
      <c r="U376" s="406" t="e">
        <f t="shared" ca="1" si="151"/>
        <v>#N/A</v>
      </c>
      <c r="V376" s="406" t="e">
        <f t="shared" ca="1" si="151"/>
        <v>#N/A</v>
      </c>
      <c r="W376" s="406" t="e">
        <f t="shared" ca="1" si="151"/>
        <v>#N/A</v>
      </c>
      <c r="X376" s="406" t="e">
        <f t="shared" ca="1" si="150"/>
        <v>#N/A</v>
      </c>
      <c r="Y376" s="406" t="e">
        <f t="shared" ca="1" si="150"/>
        <v>#N/A</v>
      </c>
      <c r="Z376" s="406" t="e">
        <f t="shared" ca="1" si="150"/>
        <v>#N/A</v>
      </c>
      <c r="AA376" s="406" t="e">
        <f t="shared" ca="1" si="150"/>
        <v>#N/A</v>
      </c>
      <c r="AB376" s="406" t="e">
        <f t="shared" ca="1" si="150"/>
        <v>#N/A</v>
      </c>
      <c r="AC376" s="406" t="e">
        <f t="shared" ca="1" si="150"/>
        <v>#N/A</v>
      </c>
      <c r="AD376" s="406" t="e">
        <f t="shared" ca="1" si="150"/>
        <v>#N/A</v>
      </c>
      <c r="AE376" s="406" t="e">
        <f t="shared" ca="1" si="150"/>
        <v>#N/A</v>
      </c>
      <c r="AF376" s="406" t="e">
        <f t="shared" ca="1" si="150"/>
        <v>#N/A</v>
      </c>
      <c r="AG376" s="406" t="e">
        <f t="shared" ca="1" si="150"/>
        <v>#N/A</v>
      </c>
      <c r="AH376" s="406" t="e">
        <f t="shared" ca="1" si="152"/>
        <v>#N/A</v>
      </c>
      <c r="AI376" s="406" t="e">
        <f t="shared" ca="1" si="152"/>
        <v>#N/A</v>
      </c>
      <c r="AJ376" s="406" t="e">
        <f t="shared" ca="1" si="152"/>
        <v>#N/A</v>
      </c>
      <c r="AK376" s="406" t="e">
        <f t="shared" ca="1" si="152"/>
        <v>#N/A</v>
      </c>
      <c r="AL376" s="406" t="e">
        <f t="shared" ca="1" si="152"/>
        <v>#N/A</v>
      </c>
      <c r="AM376" s="406" t="e">
        <f t="shared" ca="1" si="152"/>
        <v>#N/A</v>
      </c>
      <c r="AN376" s="406" t="e">
        <f t="shared" ca="1" si="152"/>
        <v>#N/A</v>
      </c>
      <c r="AO376" s="406" t="e">
        <f t="shared" ca="1" si="152"/>
        <v>#N/A</v>
      </c>
      <c r="AP376" s="406" t="e">
        <f t="shared" ca="1" si="152"/>
        <v>#N/A</v>
      </c>
      <c r="AQ376" s="406" t="e">
        <f t="shared" ca="1" si="152"/>
        <v>#N/A</v>
      </c>
      <c r="AR376" s="406" t="e">
        <f t="shared" ca="1" si="149"/>
        <v>#N/A</v>
      </c>
      <c r="AS376" s="406" t="e">
        <f t="shared" ca="1" si="149"/>
        <v>#N/A</v>
      </c>
      <c r="AT376" s="406" t="e">
        <f t="shared" ca="1" si="149"/>
        <v>#N/A</v>
      </c>
      <c r="AU376" s="406" t="e">
        <f t="shared" ca="1" si="149"/>
        <v>#N/A</v>
      </c>
      <c r="AV376" s="406" t="e">
        <f t="shared" ca="1" si="149"/>
        <v>#N/A</v>
      </c>
      <c r="AW376" s="406" t="e">
        <f t="shared" ca="1" si="149"/>
        <v>#N/A</v>
      </c>
      <c r="AX376" s="406" t="e">
        <f t="shared" ca="1" si="149"/>
        <v>#N/A</v>
      </c>
      <c r="AY376" s="406" t="e">
        <f t="shared" ca="1" si="149"/>
        <v>#N/A</v>
      </c>
      <c r="AZ376" s="406" t="e">
        <f t="shared" ca="1" si="149"/>
        <v>#N/A</v>
      </c>
      <c r="BA376" s="406" t="e">
        <f t="shared" ca="1" si="149"/>
        <v>#N/A</v>
      </c>
      <c r="BB376" s="408"/>
      <c r="BC376" s="408" t="str">
        <f t="shared" ca="1" si="141"/>
        <v/>
      </c>
      <c r="BD376" s="408" t="s">
        <v>1278</v>
      </c>
      <c r="BE376" s="408" t="s">
        <v>1278</v>
      </c>
    </row>
    <row r="377" spans="3:57" ht="15" customHeight="1" x14ac:dyDescent="0.25">
      <c r="C377" s="406">
        <f t="shared" si="143"/>
        <v>375</v>
      </c>
      <c r="D377" s="406" t="e">
        <f t="shared" ca="1" si="153"/>
        <v>#N/A</v>
      </c>
      <c r="E377" s="406" t="e">
        <f t="shared" ca="1" si="153"/>
        <v>#N/A</v>
      </c>
      <c r="F377" s="406" t="e">
        <f t="shared" ca="1" si="153"/>
        <v>#N/A</v>
      </c>
      <c r="G377" s="406" t="e">
        <f t="shared" ca="1" si="153"/>
        <v>#N/A</v>
      </c>
      <c r="H377" s="406" t="e">
        <f t="shared" ca="1" si="153"/>
        <v>#N/A</v>
      </c>
      <c r="I377" s="406" t="e">
        <f t="shared" ca="1" si="153"/>
        <v>#N/A</v>
      </c>
      <c r="J377" s="406" t="e">
        <f t="shared" ca="1" si="153"/>
        <v>#N/A</v>
      </c>
      <c r="K377" s="406" t="e">
        <f t="shared" ca="1" si="153"/>
        <v>#N/A</v>
      </c>
      <c r="L377" s="406" t="e">
        <f t="shared" ca="1" si="153"/>
        <v>#N/A</v>
      </c>
      <c r="M377" s="406" t="e">
        <f t="shared" ca="1" si="153"/>
        <v>#N/A</v>
      </c>
      <c r="N377" s="406" t="e">
        <f t="shared" ca="1" si="151"/>
        <v>#N/A</v>
      </c>
      <c r="O377" s="406" t="e">
        <f t="shared" ca="1" si="151"/>
        <v>#N/A</v>
      </c>
      <c r="P377" s="406" t="e">
        <f t="shared" ca="1" si="151"/>
        <v>#N/A</v>
      </c>
      <c r="Q377" s="406" t="e">
        <f t="shared" ca="1" si="151"/>
        <v>#N/A</v>
      </c>
      <c r="R377" s="406" t="e">
        <f t="shared" ca="1" si="151"/>
        <v>#N/A</v>
      </c>
      <c r="S377" s="406" t="e">
        <f t="shared" ca="1" si="151"/>
        <v>#N/A</v>
      </c>
      <c r="T377" s="406" t="e">
        <f t="shared" ca="1" si="151"/>
        <v>#N/A</v>
      </c>
      <c r="U377" s="406" t="e">
        <f t="shared" ca="1" si="151"/>
        <v>#N/A</v>
      </c>
      <c r="V377" s="406" t="e">
        <f t="shared" ca="1" si="151"/>
        <v>#N/A</v>
      </c>
      <c r="W377" s="406" t="e">
        <f t="shared" ca="1" si="151"/>
        <v>#N/A</v>
      </c>
      <c r="X377" s="406" t="e">
        <f t="shared" ca="1" si="150"/>
        <v>#N/A</v>
      </c>
      <c r="Y377" s="406" t="e">
        <f t="shared" ca="1" si="150"/>
        <v>#N/A</v>
      </c>
      <c r="Z377" s="406" t="e">
        <f t="shared" ca="1" si="150"/>
        <v>#N/A</v>
      </c>
      <c r="AA377" s="406" t="e">
        <f t="shared" ca="1" si="150"/>
        <v>#N/A</v>
      </c>
      <c r="AB377" s="406" t="e">
        <f t="shared" ca="1" si="150"/>
        <v>#N/A</v>
      </c>
      <c r="AC377" s="406" t="e">
        <f t="shared" ca="1" si="150"/>
        <v>#N/A</v>
      </c>
      <c r="AD377" s="406" t="e">
        <f t="shared" ca="1" si="150"/>
        <v>#N/A</v>
      </c>
      <c r="AE377" s="406" t="e">
        <f t="shared" ca="1" si="150"/>
        <v>#N/A</v>
      </c>
      <c r="AF377" s="406" t="e">
        <f t="shared" ca="1" si="150"/>
        <v>#N/A</v>
      </c>
      <c r="AG377" s="406" t="e">
        <f t="shared" ca="1" si="150"/>
        <v>#N/A</v>
      </c>
      <c r="AH377" s="406" t="e">
        <f t="shared" ca="1" si="152"/>
        <v>#N/A</v>
      </c>
      <c r="AI377" s="406" t="e">
        <f t="shared" ca="1" si="152"/>
        <v>#N/A</v>
      </c>
      <c r="AJ377" s="406" t="e">
        <f t="shared" ca="1" si="152"/>
        <v>#N/A</v>
      </c>
      <c r="AK377" s="406" t="e">
        <f t="shared" ca="1" si="152"/>
        <v>#N/A</v>
      </c>
      <c r="AL377" s="406" t="e">
        <f t="shared" ca="1" si="152"/>
        <v>#N/A</v>
      </c>
      <c r="AM377" s="406" t="e">
        <f t="shared" ca="1" si="152"/>
        <v>#N/A</v>
      </c>
      <c r="AN377" s="406" t="e">
        <f t="shared" ca="1" si="152"/>
        <v>#N/A</v>
      </c>
      <c r="AO377" s="406" t="e">
        <f t="shared" ca="1" si="152"/>
        <v>#N/A</v>
      </c>
      <c r="AP377" s="406" t="e">
        <f t="shared" ca="1" si="152"/>
        <v>#N/A</v>
      </c>
      <c r="AQ377" s="406" t="e">
        <f t="shared" ca="1" si="152"/>
        <v>#N/A</v>
      </c>
      <c r="AR377" s="406" t="e">
        <f t="shared" ca="1" si="149"/>
        <v>#N/A</v>
      </c>
      <c r="AS377" s="406" t="e">
        <f t="shared" ca="1" si="149"/>
        <v>#N/A</v>
      </c>
      <c r="AT377" s="406" t="e">
        <f t="shared" ca="1" si="149"/>
        <v>#N/A</v>
      </c>
      <c r="AU377" s="406" t="e">
        <f t="shared" ca="1" si="149"/>
        <v>#N/A</v>
      </c>
      <c r="AV377" s="406" t="e">
        <f t="shared" ca="1" si="149"/>
        <v>#N/A</v>
      </c>
      <c r="AW377" s="406" t="e">
        <f t="shared" ca="1" si="149"/>
        <v>#N/A</v>
      </c>
      <c r="AX377" s="406" t="e">
        <f t="shared" ca="1" si="149"/>
        <v>#N/A</v>
      </c>
      <c r="AY377" s="406" t="e">
        <f t="shared" ca="1" si="149"/>
        <v>#N/A</v>
      </c>
      <c r="AZ377" s="406" t="e">
        <f t="shared" ca="1" si="149"/>
        <v>#N/A</v>
      </c>
      <c r="BA377" s="406" t="e">
        <f t="shared" ca="1" si="149"/>
        <v>#N/A</v>
      </c>
      <c r="BB377" s="408"/>
      <c r="BC377" s="408" t="str">
        <f t="shared" ca="1" si="141"/>
        <v/>
      </c>
      <c r="BD377" s="408" t="s">
        <v>1278</v>
      </c>
      <c r="BE377" s="408" t="s">
        <v>1278</v>
      </c>
    </row>
    <row r="378" spans="3:57" x14ac:dyDescent="0.25">
      <c r="C378" s="406">
        <f t="shared" si="143"/>
        <v>376</v>
      </c>
      <c r="D378" s="406" t="e">
        <f t="shared" ca="1" si="153"/>
        <v>#N/A</v>
      </c>
      <c r="E378" s="406" t="e">
        <f t="shared" ca="1" si="153"/>
        <v>#N/A</v>
      </c>
      <c r="F378" s="406" t="e">
        <f t="shared" ca="1" si="153"/>
        <v>#N/A</v>
      </c>
      <c r="G378" s="406" t="e">
        <f t="shared" ca="1" si="153"/>
        <v>#N/A</v>
      </c>
      <c r="H378" s="406" t="e">
        <f t="shared" ca="1" si="153"/>
        <v>#N/A</v>
      </c>
      <c r="I378" s="406" t="e">
        <f t="shared" ca="1" si="153"/>
        <v>#N/A</v>
      </c>
      <c r="J378" s="406" t="e">
        <f t="shared" ca="1" si="153"/>
        <v>#N/A</v>
      </c>
      <c r="K378" s="406" t="e">
        <f t="shared" ca="1" si="153"/>
        <v>#N/A</v>
      </c>
      <c r="L378" s="406" t="e">
        <f t="shared" ca="1" si="153"/>
        <v>#N/A</v>
      </c>
      <c r="M378" s="406" t="e">
        <f t="shared" ca="1" si="153"/>
        <v>#N/A</v>
      </c>
      <c r="N378" s="406" t="e">
        <f t="shared" ca="1" si="151"/>
        <v>#N/A</v>
      </c>
      <c r="O378" s="406" t="e">
        <f t="shared" ca="1" si="151"/>
        <v>#N/A</v>
      </c>
      <c r="P378" s="406" t="e">
        <f t="shared" ca="1" si="151"/>
        <v>#N/A</v>
      </c>
      <c r="Q378" s="406" t="e">
        <f t="shared" ca="1" si="151"/>
        <v>#N/A</v>
      </c>
      <c r="R378" s="406" t="e">
        <f t="shared" ca="1" si="151"/>
        <v>#N/A</v>
      </c>
      <c r="S378" s="406" t="e">
        <f t="shared" ca="1" si="151"/>
        <v>#N/A</v>
      </c>
      <c r="T378" s="406" t="e">
        <f t="shared" ca="1" si="151"/>
        <v>#N/A</v>
      </c>
      <c r="U378" s="406" t="e">
        <f t="shared" ca="1" si="151"/>
        <v>#N/A</v>
      </c>
      <c r="V378" s="406" t="e">
        <f t="shared" ca="1" si="151"/>
        <v>#N/A</v>
      </c>
      <c r="W378" s="406" t="e">
        <f t="shared" ca="1" si="151"/>
        <v>#N/A</v>
      </c>
      <c r="X378" s="406" t="e">
        <f t="shared" ca="1" si="150"/>
        <v>#N/A</v>
      </c>
      <c r="Y378" s="406" t="e">
        <f t="shared" ca="1" si="150"/>
        <v>#N/A</v>
      </c>
      <c r="Z378" s="406" t="e">
        <f t="shared" ca="1" si="150"/>
        <v>#N/A</v>
      </c>
      <c r="AA378" s="406" t="e">
        <f t="shared" ca="1" si="150"/>
        <v>#N/A</v>
      </c>
      <c r="AB378" s="406" t="e">
        <f t="shared" ca="1" si="150"/>
        <v>#N/A</v>
      </c>
      <c r="AC378" s="406" t="e">
        <f t="shared" ca="1" si="150"/>
        <v>#N/A</v>
      </c>
      <c r="AD378" s="406" t="e">
        <f t="shared" ca="1" si="150"/>
        <v>#N/A</v>
      </c>
      <c r="AE378" s="406" t="e">
        <f t="shared" ca="1" si="150"/>
        <v>#N/A</v>
      </c>
      <c r="AF378" s="406" t="e">
        <f t="shared" ca="1" si="150"/>
        <v>#N/A</v>
      </c>
      <c r="AG378" s="406" t="e">
        <f t="shared" ca="1" si="150"/>
        <v>#N/A</v>
      </c>
      <c r="AH378" s="406" t="e">
        <f t="shared" ca="1" si="152"/>
        <v>#N/A</v>
      </c>
      <c r="AI378" s="406" t="e">
        <f t="shared" ca="1" si="152"/>
        <v>#N/A</v>
      </c>
      <c r="AJ378" s="406" t="e">
        <f t="shared" ca="1" si="152"/>
        <v>#N/A</v>
      </c>
      <c r="AK378" s="406" t="e">
        <f t="shared" ca="1" si="152"/>
        <v>#N/A</v>
      </c>
      <c r="AL378" s="406" t="e">
        <f t="shared" ca="1" si="152"/>
        <v>#N/A</v>
      </c>
      <c r="AM378" s="406" t="e">
        <f t="shared" ca="1" si="152"/>
        <v>#N/A</v>
      </c>
      <c r="AN378" s="406" t="e">
        <f t="shared" ca="1" si="152"/>
        <v>#N/A</v>
      </c>
      <c r="AO378" s="406" t="e">
        <f t="shared" ca="1" si="152"/>
        <v>#N/A</v>
      </c>
      <c r="AP378" s="406" t="e">
        <f t="shared" ca="1" si="152"/>
        <v>#N/A</v>
      </c>
      <c r="AQ378" s="406" t="e">
        <f t="shared" ca="1" si="152"/>
        <v>#N/A</v>
      </c>
      <c r="AR378" s="406" t="e">
        <f t="shared" ca="1" si="149"/>
        <v>#N/A</v>
      </c>
      <c r="AS378" s="406" t="e">
        <f t="shared" ca="1" si="149"/>
        <v>#N/A</v>
      </c>
      <c r="AT378" s="406" t="e">
        <f t="shared" ca="1" si="149"/>
        <v>#N/A</v>
      </c>
      <c r="AU378" s="406" t="e">
        <f t="shared" ca="1" si="149"/>
        <v>#N/A</v>
      </c>
      <c r="AV378" s="406" t="e">
        <f t="shared" ca="1" si="149"/>
        <v>#N/A</v>
      </c>
      <c r="AW378" s="406" t="e">
        <f t="shared" ca="1" si="149"/>
        <v>#N/A</v>
      </c>
      <c r="AX378" s="406" t="e">
        <f t="shared" ca="1" si="149"/>
        <v>#N/A</v>
      </c>
      <c r="AY378" s="406" t="e">
        <f t="shared" ca="1" si="149"/>
        <v>#N/A</v>
      </c>
      <c r="AZ378" s="406" t="e">
        <f t="shared" ca="1" si="149"/>
        <v>#N/A</v>
      </c>
      <c r="BA378" s="406" t="e">
        <f t="shared" ca="1" si="149"/>
        <v>#N/A</v>
      </c>
      <c r="BB378" s="408"/>
      <c r="BC378" s="408" t="str">
        <f t="shared" ca="1" si="141"/>
        <v/>
      </c>
      <c r="BD378" s="408" t="s">
        <v>1278</v>
      </c>
      <c r="BE378" s="408" t="s">
        <v>1278</v>
      </c>
    </row>
    <row r="379" spans="3:57" x14ac:dyDescent="0.25">
      <c r="C379" s="406">
        <f t="shared" si="143"/>
        <v>377</v>
      </c>
      <c r="D379" s="406" t="e">
        <f t="shared" ca="1" si="153"/>
        <v>#N/A</v>
      </c>
      <c r="E379" s="406" t="e">
        <f t="shared" ca="1" si="153"/>
        <v>#N/A</v>
      </c>
      <c r="F379" s="406" t="e">
        <f t="shared" ca="1" si="153"/>
        <v>#N/A</v>
      </c>
      <c r="G379" s="406" t="e">
        <f t="shared" ca="1" si="153"/>
        <v>#N/A</v>
      </c>
      <c r="H379" s="406" t="e">
        <f t="shared" ca="1" si="153"/>
        <v>#N/A</v>
      </c>
      <c r="I379" s="406" t="e">
        <f t="shared" ca="1" si="153"/>
        <v>#N/A</v>
      </c>
      <c r="J379" s="406" t="e">
        <f t="shared" ca="1" si="153"/>
        <v>#N/A</v>
      </c>
      <c r="K379" s="406" t="e">
        <f t="shared" ca="1" si="153"/>
        <v>#N/A</v>
      </c>
      <c r="L379" s="406" t="e">
        <f t="shared" ca="1" si="153"/>
        <v>#N/A</v>
      </c>
      <c r="M379" s="406" t="e">
        <f t="shared" ca="1" si="153"/>
        <v>#N/A</v>
      </c>
      <c r="N379" s="406" t="e">
        <f t="shared" ca="1" si="151"/>
        <v>#N/A</v>
      </c>
      <c r="O379" s="406" t="e">
        <f t="shared" ca="1" si="151"/>
        <v>#N/A</v>
      </c>
      <c r="P379" s="406" t="e">
        <f t="shared" ca="1" si="151"/>
        <v>#N/A</v>
      </c>
      <c r="Q379" s="406" t="e">
        <f t="shared" ca="1" si="151"/>
        <v>#N/A</v>
      </c>
      <c r="R379" s="406" t="e">
        <f t="shared" ca="1" si="151"/>
        <v>#N/A</v>
      </c>
      <c r="S379" s="406" t="e">
        <f t="shared" ca="1" si="151"/>
        <v>#N/A</v>
      </c>
      <c r="T379" s="406" t="e">
        <f t="shared" ca="1" si="151"/>
        <v>#N/A</v>
      </c>
      <c r="U379" s="406" t="e">
        <f t="shared" ca="1" si="151"/>
        <v>#N/A</v>
      </c>
      <c r="V379" s="406" t="e">
        <f t="shared" ca="1" si="151"/>
        <v>#N/A</v>
      </c>
      <c r="W379" s="406" t="e">
        <f t="shared" ca="1" si="151"/>
        <v>#N/A</v>
      </c>
      <c r="X379" s="406" t="e">
        <f t="shared" ca="1" si="150"/>
        <v>#N/A</v>
      </c>
      <c r="Y379" s="406" t="e">
        <f t="shared" ca="1" si="150"/>
        <v>#N/A</v>
      </c>
      <c r="Z379" s="406" t="e">
        <f t="shared" ca="1" si="150"/>
        <v>#N/A</v>
      </c>
      <c r="AA379" s="406" t="e">
        <f t="shared" ca="1" si="150"/>
        <v>#N/A</v>
      </c>
      <c r="AB379" s="406" t="e">
        <f t="shared" ca="1" si="150"/>
        <v>#N/A</v>
      </c>
      <c r="AC379" s="406" t="e">
        <f t="shared" ca="1" si="150"/>
        <v>#N/A</v>
      </c>
      <c r="AD379" s="406" t="e">
        <f t="shared" ca="1" si="150"/>
        <v>#N/A</v>
      </c>
      <c r="AE379" s="406" t="e">
        <f t="shared" ca="1" si="150"/>
        <v>#N/A</v>
      </c>
      <c r="AF379" s="406" t="e">
        <f t="shared" ca="1" si="150"/>
        <v>#N/A</v>
      </c>
      <c r="AG379" s="406" t="e">
        <f t="shared" ca="1" si="150"/>
        <v>#N/A</v>
      </c>
      <c r="AH379" s="406" t="e">
        <f t="shared" ca="1" si="152"/>
        <v>#N/A</v>
      </c>
      <c r="AI379" s="406" t="e">
        <f t="shared" ca="1" si="152"/>
        <v>#N/A</v>
      </c>
      <c r="AJ379" s="406" t="e">
        <f t="shared" ca="1" si="152"/>
        <v>#N/A</v>
      </c>
      <c r="AK379" s="406" t="e">
        <f t="shared" ca="1" si="152"/>
        <v>#N/A</v>
      </c>
      <c r="AL379" s="406" t="e">
        <f t="shared" ca="1" si="152"/>
        <v>#N/A</v>
      </c>
      <c r="AM379" s="406" t="e">
        <f t="shared" ca="1" si="152"/>
        <v>#N/A</v>
      </c>
      <c r="AN379" s="406" t="e">
        <f t="shared" ca="1" si="152"/>
        <v>#N/A</v>
      </c>
      <c r="AO379" s="406" t="e">
        <f t="shared" ca="1" si="152"/>
        <v>#N/A</v>
      </c>
      <c r="AP379" s="406" t="e">
        <f t="shared" ca="1" si="152"/>
        <v>#N/A</v>
      </c>
      <c r="AQ379" s="406" t="e">
        <f t="shared" ca="1" si="152"/>
        <v>#N/A</v>
      </c>
      <c r="AR379" s="406" t="e">
        <f t="shared" ca="1" si="149"/>
        <v>#N/A</v>
      </c>
      <c r="AS379" s="406" t="e">
        <f t="shared" ca="1" si="149"/>
        <v>#N/A</v>
      </c>
      <c r="AT379" s="406" t="e">
        <f t="shared" ca="1" si="149"/>
        <v>#N/A</v>
      </c>
      <c r="AU379" s="406" t="e">
        <f t="shared" ca="1" si="149"/>
        <v>#N/A</v>
      </c>
      <c r="AV379" s="406" t="e">
        <f t="shared" ca="1" si="149"/>
        <v>#N/A</v>
      </c>
      <c r="AW379" s="406" t="e">
        <f t="shared" ca="1" si="149"/>
        <v>#N/A</v>
      </c>
      <c r="AX379" s="406" t="e">
        <f t="shared" ca="1" si="149"/>
        <v>#N/A</v>
      </c>
      <c r="AY379" s="406" t="e">
        <f t="shared" ca="1" si="149"/>
        <v>#N/A</v>
      </c>
      <c r="AZ379" s="406" t="e">
        <f t="shared" ca="1" si="149"/>
        <v>#N/A</v>
      </c>
      <c r="BA379" s="406" t="e">
        <f t="shared" ca="1" si="149"/>
        <v>#N/A</v>
      </c>
      <c r="BB379" s="408"/>
      <c r="BC379" s="408" t="str">
        <f t="shared" ca="1" si="141"/>
        <v/>
      </c>
      <c r="BD379" s="408" t="s">
        <v>1278</v>
      </c>
      <c r="BE379" s="408" t="s">
        <v>1278</v>
      </c>
    </row>
    <row r="380" spans="3:57" ht="15" customHeight="1" x14ac:dyDescent="0.25">
      <c r="C380" s="406">
        <f t="shared" si="143"/>
        <v>378</v>
      </c>
      <c r="D380" s="406" t="e">
        <f t="shared" ca="1" si="153"/>
        <v>#N/A</v>
      </c>
      <c r="E380" s="406" t="e">
        <f t="shared" ca="1" si="153"/>
        <v>#N/A</v>
      </c>
      <c r="F380" s="406" t="e">
        <f t="shared" ca="1" si="153"/>
        <v>#N/A</v>
      </c>
      <c r="G380" s="406" t="e">
        <f t="shared" ca="1" si="153"/>
        <v>#N/A</v>
      </c>
      <c r="H380" s="406" t="e">
        <f t="shared" ca="1" si="153"/>
        <v>#N/A</v>
      </c>
      <c r="I380" s="406" t="e">
        <f t="shared" ca="1" si="153"/>
        <v>#N/A</v>
      </c>
      <c r="J380" s="406" t="e">
        <f t="shared" ca="1" si="153"/>
        <v>#N/A</v>
      </c>
      <c r="K380" s="406" t="e">
        <f t="shared" ca="1" si="153"/>
        <v>#N/A</v>
      </c>
      <c r="L380" s="406" t="e">
        <f t="shared" ca="1" si="153"/>
        <v>#N/A</v>
      </c>
      <c r="M380" s="406" t="e">
        <f t="shared" ca="1" si="153"/>
        <v>#N/A</v>
      </c>
      <c r="N380" s="406" t="e">
        <f t="shared" ca="1" si="151"/>
        <v>#N/A</v>
      </c>
      <c r="O380" s="406" t="e">
        <f t="shared" ca="1" si="151"/>
        <v>#N/A</v>
      </c>
      <c r="P380" s="406" t="e">
        <f t="shared" ca="1" si="151"/>
        <v>#N/A</v>
      </c>
      <c r="Q380" s="406" t="e">
        <f t="shared" ca="1" si="151"/>
        <v>#N/A</v>
      </c>
      <c r="R380" s="406" t="e">
        <f t="shared" ca="1" si="151"/>
        <v>#N/A</v>
      </c>
      <c r="S380" s="406" t="e">
        <f t="shared" ca="1" si="151"/>
        <v>#N/A</v>
      </c>
      <c r="T380" s="406" t="e">
        <f t="shared" ca="1" si="151"/>
        <v>#N/A</v>
      </c>
      <c r="U380" s="406" t="e">
        <f t="shared" ca="1" si="151"/>
        <v>#N/A</v>
      </c>
      <c r="V380" s="406" t="e">
        <f t="shared" ca="1" si="151"/>
        <v>#N/A</v>
      </c>
      <c r="W380" s="406" t="e">
        <f t="shared" ca="1" si="151"/>
        <v>#N/A</v>
      </c>
      <c r="X380" s="406" t="e">
        <f t="shared" ca="1" si="150"/>
        <v>#N/A</v>
      </c>
      <c r="Y380" s="406" t="e">
        <f t="shared" ca="1" si="150"/>
        <v>#N/A</v>
      </c>
      <c r="Z380" s="406" t="e">
        <f t="shared" ca="1" si="150"/>
        <v>#N/A</v>
      </c>
      <c r="AA380" s="406" t="e">
        <f t="shared" ca="1" si="150"/>
        <v>#N/A</v>
      </c>
      <c r="AB380" s="406" t="e">
        <f t="shared" ca="1" si="150"/>
        <v>#N/A</v>
      </c>
      <c r="AC380" s="406" t="e">
        <f t="shared" ca="1" si="150"/>
        <v>#N/A</v>
      </c>
      <c r="AD380" s="406" t="e">
        <f t="shared" ca="1" si="150"/>
        <v>#N/A</v>
      </c>
      <c r="AE380" s="406" t="e">
        <f t="shared" ca="1" si="150"/>
        <v>#N/A</v>
      </c>
      <c r="AF380" s="406" t="e">
        <f t="shared" ca="1" si="150"/>
        <v>#N/A</v>
      </c>
      <c r="AG380" s="406" t="e">
        <f t="shared" ca="1" si="150"/>
        <v>#N/A</v>
      </c>
      <c r="AH380" s="406" t="e">
        <f t="shared" ca="1" si="152"/>
        <v>#N/A</v>
      </c>
      <c r="AI380" s="406" t="e">
        <f t="shared" ca="1" si="152"/>
        <v>#N/A</v>
      </c>
      <c r="AJ380" s="406" t="e">
        <f t="shared" ca="1" si="152"/>
        <v>#N/A</v>
      </c>
      <c r="AK380" s="406" t="e">
        <f t="shared" ca="1" si="152"/>
        <v>#N/A</v>
      </c>
      <c r="AL380" s="406" t="e">
        <f t="shared" ca="1" si="152"/>
        <v>#N/A</v>
      </c>
      <c r="AM380" s="406" t="e">
        <f t="shared" ca="1" si="152"/>
        <v>#N/A</v>
      </c>
      <c r="AN380" s="406" t="e">
        <f t="shared" ca="1" si="152"/>
        <v>#N/A</v>
      </c>
      <c r="AO380" s="406" t="e">
        <f t="shared" ca="1" si="152"/>
        <v>#N/A</v>
      </c>
      <c r="AP380" s="406" t="e">
        <f t="shared" ca="1" si="152"/>
        <v>#N/A</v>
      </c>
      <c r="AQ380" s="406" t="e">
        <f t="shared" ca="1" si="152"/>
        <v>#N/A</v>
      </c>
      <c r="AR380" s="406" t="e">
        <f t="shared" ca="1" si="149"/>
        <v>#N/A</v>
      </c>
      <c r="AS380" s="406" t="e">
        <f t="shared" ca="1" si="149"/>
        <v>#N/A</v>
      </c>
      <c r="AT380" s="406" t="e">
        <f t="shared" ca="1" si="149"/>
        <v>#N/A</v>
      </c>
      <c r="AU380" s="406" t="e">
        <f t="shared" ca="1" si="149"/>
        <v>#N/A</v>
      </c>
      <c r="AV380" s="406" t="e">
        <f t="shared" ca="1" si="149"/>
        <v>#N/A</v>
      </c>
      <c r="AW380" s="406" t="e">
        <f t="shared" ca="1" si="149"/>
        <v>#N/A</v>
      </c>
      <c r="AX380" s="406" t="e">
        <f t="shared" ca="1" si="149"/>
        <v>#N/A</v>
      </c>
      <c r="AY380" s="406" t="e">
        <f t="shared" ca="1" si="149"/>
        <v>#N/A</v>
      </c>
      <c r="AZ380" s="406" t="e">
        <f t="shared" ca="1" si="149"/>
        <v>#N/A</v>
      </c>
      <c r="BA380" s="406" t="e">
        <f t="shared" ca="1" si="149"/>
        <v>#N/A</v>
      </c>
      <c r="BB380" s="408"/>
      <c r="BC380" s="408" t="str">
        <f t="shared" ca="1" si="141"/>
        <v/>
      </c>
      <c r="BD380" s="408" t="s">
        <v>1278</v>
      </c>
      <c r="BE380" s="408" t="s">
        <v>1278</v>
      </c>
    </row>
    <row r="381" spans="3:57" x14ac:dyDescent="0.25">
      <c r="C381" s="406">
        <f t="shared" si="143"/>
        <v>379</v>
      </c>
      <c r="D381" s="406" t="e">
        <f t="shared" ca="1" si="153"/>
        <v>#N/A</v>
      </c>
      <c r="E381" s="406" t="e">
        <f t="shared" ca="1" si="153"/>
        <v>#N/A</v>
      </c>
      <c r="F381" s="406" t="e">
        <f t="shared" ca="1" si="153"/>
        <v>#N/A</v>
      </c>
      <c r="G381" s="406" t="e">
        <f t="shared" ca="1" si="153"/>
        <v>#N/A</v>
      </c>
      <c r="H381" s="406" t="e">
        <f t="shared" ca="1" si="153"/>
        <v>#N/A</v>
      </c>
      <c r="I381" s="406" t="e">
        <f t="shared" ca="1" si="153"/>
        <v>#N/A</v>
      </c>
      <c r="J381" s="406" t="e">
        <f t="shared" ca="1" si="153"/>
        <v>#N/A</v>
      </c>
      <c r="K381" s="406" t="e">
        <f t="shared" ca="1" si="153"/>
        <v>#N/A</v>
      </c>
      <c r="L381" s="406" t="e">
        <f t="shared" ca="1" si="153"/>
        <v>#N/A</v>
      </c>
      <c r="M381" s="406" t="e">
        <f t="shared" ca="1" si="153"/>
        <v>#N/A</v>
      </c>
      <c r="N381" s="406" t="e">
        <f t="shared" ca="1" si="151"/>
        <v>#N/A</v>
      </c>
      <c r="O381" s="406" t="e">
        <f t="shared" ca="1" si="151"/>
        <v>#N/A</v>
      </c>
      <c r="P381" s="406" t="e">
        <f t="shared" ca="1" si="151"/>
        <v>#N/A</v>
      </c>
      <c r="Q381" s="406" t="e">
        <f t="shared" ca="1" si="151"/>
        <v>#N/A</v>
      </c>
      <c r="R381" s="406" t="e">
        <f t="shared" ca="1" si="151"/>
        <v>#N/A</v>
      </c>
      <c r="S381" s="406" t="e">
        <f t="shared" ca="1" si="151"/>
        <v>#N/A</v>
      </c>
      <c r="T381" s="406" t="e">
        <f t="shared" ca="1" si="151"/>
        <v>#N/A</v>
      </c>
      <c r="U381" s="406" t="e">
        <f t="shared" ca="1" si="151"/>
        <v>#N/A</v>
      </c>
      <c r="V381" s="406" t="e">
        <f t="shared" ca="1" si="151"/>
        <v>#N/A</v>
      </c>
      <c r="W381" s="406" t="e">
        <f t="shared" ca="1" si="151"/>
        <v>#N/A</v>
      </c>
      <c r="X381" s="406" t="e">
        <f t="shared" ca="1" si="150"/>
        <v>#N/A</v>
      </c>
      <c r="Y381" s="406" t="e">
        <f t="shared" ca="1" si="150"/>
        <v>#N/A</v>
      </c>
      <c r="Z381" s="406" t="e">
        <f t="shared" ca="1" si="150"/>
        <v>#N/A</v>
      </c>
      <c r="AA381" s="406" t="e">
        <f t="shared" ca="1" si="150"/>
        <v>#N/A</v>
      </c>
      <c r="AB381" s="406" t="e">
        <f t="shared" ca="1" si="150"/>
        <v>#N/A</v>
      </c>
      <c r="AC381" s="406" t="e">
        <f t="shared" ca="1" si="150"/>
        <v>#N/A</v>
      </c>
      <c r="AD381" s="406" t="e">
        <f t="shared" ca="1" si="150"/>
        <v>#N/A</v>
      </c>
      <c r="AE381" s="406" t="e">
        <f t="shared" ca="1" si="150"/>
        <v>#N/A</v>
      </c>
      <c r="AF381" s="406" t="e">
        <f t="shared" ca="1" si="150"/>
        <v>#N/A</v>
      </c>
      <c r="AG381" s="406" t="e">
        <f t="shared" ca="1" si="150"/>
        <v>#N/A</v>
      </c>
      <c r="AH381" s="406" t="e">
        <f t="shared" ca="1" si="152"/>
        <v>#N/A</v>
      </c>
      <c r="AI381" s="406" t="e">
        <f t="shared" ca="1" si="152"/>
        <v>#N/A</v>
      </c>
      <c r="AJ381" s="406" t="e">
        <f t="shared" ca="1" si="152"/>
        <v>#N/A</v>
      </c>
      <c r="AK381" s="406" t="e">
        <f t="shared" ca="1" si="152"/>
        <v>#N/A</v>
      </c>
      <c r="AL381" s="406" t="e">
        <f t="shared" ca="1" si="152"/>
        <v>#N/A</v>
      </c>
      <c r="AM381" s="406" t="e">
        <f t="shared" ca="1" si="152"/>
        <v>#N/A</v>
      </c>
      <c r="AN381" s="406" t="e">
        <f t="shared" ca="1" si="152"/>
        <v>#N/A</v>
      </c>
      <c r="AO381" s="406" t="e">
        <f t="shared" ca="1" si="152"/>
        <v>#N/A</v>
      </c>
      <c r="AP381" s="406" t="e">
        <f t="shared" ca="1" si="152"/>
        <v>#N/A</v>
      </c>
      <c r="AQ381" s="406" t="e">
        <f t="shared" ca="1" si="152"/>
        <v>#N/A</v>
      </c>
      <c r="AR381" s="406" t="e">
        <f t="shared" ca="1" si="149"/>
        <v>#N/A</v>
      </c>
      <c r="AS381" s="406" t="e">
        <f t="shared" ca="1" si="149"/>
        <v>#N/A</v>
      </c>
      <c r="AT381" s="406" t="e">
        <f t="shared" ca="1" si="149"/>
        <v>#N/A</v>
      </c>
      <c r="AU381" s="406" t="e">
        <f t="shared" ca="1" si="149"/>
        <v>#N/A</v>
      </c>
      <c r="AV381" s="406" t="e">
        <f t="shared" ca="1" si="149"/>
        <v>#N/A</v>
      </c>
      <c r="AW381" s="406" t="e">
        <f t="shared" ca="1" si="149"/>
        <v>#N/A</v>
      </c>
      <c r="AX381" s="406" t="e">
        <f t="shared" ca="1" si="149"/>
        <v>#N/A</v>
      </c>
      <c r="AY381" s="406" t="e">
        <f t="shared" ca="1" si="149"/>
        <v>#N/A</v>
      </c>
      <c r="AZ381" s="406" t="e">
        <f t="shared" ca="1" si="149"/>
        <v>#N/A</v>
      </c>
      <c r="BA381" s="406" t="e">
        <f t="shared" ca="1" si="149"/>
        <v>#N/A</v>
      </c>
      <c r="BB381" s="408"/>
      <c r="BC381" s="408" t="str">
        <f t="shared" ca="1" si="141"/>
        <v/>
      </c>
      <c r="BD381" s="408" t="s">
        <v>1278</v>
      </c>
      <c r="BE381" s="408" t="s">
        <v>1278</v>
      </c>
    </row>
    <row r="382" spans="3:57" x14ac:dyDescent="0.25">
      <c r="C382" s="406">
        <f t="shared" si="143"/>
        <v>380</v>
      </c>
      <c r="D382" s="406" t="e">
        <f t="shared" ca="1" si="153"/>
        <v>#N/A</v>
      </c>
      <c r="E382" s="406" t="e">
        <f t="shared" ca="1" si="153"/>
        <v>#N/A</v>
      </c>
      <c r="F382" s="406" t="e">
        <f t="shared" ca="1" si="153"/>
        <v>#N/A</v>
      </c>
      <c r="G382" s="406" t="e">
        <f t="shared" ca="1" si="153"/>
        <v>#N/A</v>
      </c>
      <c r="H382" s="406" t="e">
        <f t="shared" ca="1" si="153"/>
        <v>#N/A</v>
      </c>
      <c r="I382" s="406" t="e">
        <f t="shared" ca="1" si="153"/>
        <v>#N/A</v>
      </c>
      <c r="J382" s="406" t="e">
        <f t="shared" ca="1" si="153"/>
        <v>#N/A</v>
      </c>
      <c r="K382" s="406" t="e">
        <f t="shared" ca="1" si="153"/>
        <v>#N/A</v>
      </c>
      <c r="L382" s="406" t="e">
        <f t="shared" ca="1" si="153"/>
        <v>#N/A</v>
      </c>
      <c r="M382" s="406" t="e">
        <f t="shared" ca="1" si="153"/>
        <v>#N/A</v>
      </c>
      <c r="N382" s="406" t="e">
        <f t="shared" ca="1" si="151"/>
        <v>#N/A</v>
      </c>
      <c r="O382" s="406" t="e">
        <f t="shared" ca="1" si="151"/>
        <v>#N/A</v>
      </c>
      <c r="P382" s="406" t="e">
        <f t="shared" ca="1" si="151"/>
        <v>#N/A</v>
      </c>
      <c r="Q382" s="406" t="e">
        <f t="shared" ca="1" si="151"/>
        <v>#N/A</v>
      </c>
      <c r="R382" s="406" t="e">
        <f t="shared" ca="1" si="151"/>
        <v>#N/A</v>
      </c>
      <c r="S382" s="406" t="e">
        <f t="shared" ca="1" si="151"/>
        <v>#N/A</v>
      </c>
      <c r="T382" s="406" t="e">
        <f t="shared" ca="1" si="151"/>
        <v>#N/A</v>
      </c>
      <c r="U382" s="406" t="e">
        <f t="shared" ca="1" si="151"/>
        <v>#N/A</v>
      </c>
      <c r="V382" s="406" t="e">
        <f t="shared" ca="1" si="151"/>
        <v>#N/A</v>
      </c>
      <c r="W382" s="406" t="e">
        <f t="shared" ca="1" si="151"/>
        <v>#N/A</v>
      </c>
      <c r="X382" s="406" t="e">
        <f t="shared" ca="1" si="150"/>
        <v>#N/A</v>
      </c>
      <c r="Y382" s="406" t="e">
        <f t="shared" ca="1" si="150"/>
        <v>#N/A</v>
      </c>
      <c r="Z382" s="406" t="e">
        <f t="shared" ca="1" si="150"/>
        <v>#N/A</v>
      </c>
      <c r="AA382" s="406" t="e">
        <f t="shared" ca="1" si="150"/>
        <v>#N/A</v>
      </c>
      <c r="AB382" s="406" t="e">
        <f t="shared" ca="1" si="150"/>
        <v>#N/A</v>
      </c>
      <c r="AC382" s="406" t="e">
        <f t="shared" ca="1" si="150"/>
        <v>#N/A</v>
      </c>
      <c r="AD382" s="406" t="e">
        <f t="shared" ca="1" si="150"/>
        <v>#N/A</v>
      </c>
      <c r="AE382" s="406" t="e">
        <f t="shared" ca="1" si="150"/>
        <v>#N/A</v>
      </c>
      <c r="AF382" s="406" t="e">
        <f t="shared" ca="1" si="150"/>
        <v>#N/A</v>
      </c>
      <c r="AG382" s="406" t="e">
        <f t="shared" ca="1" si="150"/>
        <v>#N/A</v>
      </c>
      <c r="AH382" s="406" t="e">
        <f t="shared" ca="1" si="152"/>
        <v>#N/A</v>
      </c>
      <c r="AI382" s="406" t="e">
        <f t="shared" ca="1" si="152"/>
        <v>#N/A</v>
      </c>
      <c r="AJ382" s="406" t="e">
        <f t="shared" ca="1" si="152"/>
        <v>#N/A</v>
      </c>
      <c r="AK382" s="406" t="e">
        <f t="shared" ca="1" si="152"/>
        <v>#N/A</v>
      </c>
      <c r="AL382" s="406" t="e">
        <f t="shared" ca="1" si="152"/>
        <v>#N/A</v>
      </c>
      <c r="AM382" s="406" t="e">
        <f t="shared" ca="1" si="152"/>
        <v>#N/A</v>
      </c>
      <c r="AN382" s="406" t="e">
        <f t="shared" ca="1" si="152"/>
        <v>#N/A</v>
      </c>
      <c r="AO382" s="406" t="e">
        <f t="shared" ca="1" si="152"/>
        <v>#N/A</v>
      </c>
      <c r="AP382" s="406" t="e">
        <f t="shared" ca="1" si="152"/>
        <v>#N/A</v>
      </c>
      <c r="AQ382" s="406" t="e">
        <f t="shared" ca="1" si="152"/>
        <v>#N/A</v>
      </c>
      <c r="AR382" s="406" t="e">
        <f t="shared" ca="1" si="149"/>
        <v>#N/A</v>
      </c>
      <c r="AS382" s="406" t="e">
        <f t="shared" ca="1" si="149"/>
        <v>#N/A</v>
      </c>
      <c r="AT382" s="406" t="e">
        <f t="shared" ca="1" si="149"/>
        <v>#N/A</v>
      </c>
      <c r="AU382" s="406" t="e">
        <f t="shared" ca="1" si="149"/>
        <v>#N/A</v>
      </c>
      <c r="AV382" s="406" t="e">
        <f t="shared" ca="1" si="149"/>
        <v>#N/A</v>
      </c>
      <c r="AW382" s="406" t="e">
        <f t="shared" ca="1" si="149"/>
        <v>#N/A</v>
      </c>
      <c r="AX382" s="406" t="e">
        <f t="shared" ca="1" si="149"/>
        <v>#N/A</v>
      </c>
      <c r="AY382" s="406" t="e">
        <f t="shared" ca="1" si="149"/>
        <v>#N/A</v>
      </c>
      <c r="AZ382" s="406" t="e">
        <f t="shared" ca="1" si="149"/>
        <v>#N/A</v>
      </c>
      <c r="BA382" s="406" t="e">
        <f t="shared" ca="1" si="149"/>
        <v>#N/A</v>
      </c>
      <c r="BB382" s="408"/>
      <c r="BC382" s="408" t="str">
        <f t="shared" ca="1" si="141"/>
        <v/>
      </c>
      <c r="BD382" s="408" t="s">
        <v>1278</v>
      </c>
      <c r="BE382" s="408" t="s">
        <v>1278</v>
      </c>
    </row>
    <row r="383" spans="3:57" ht="15" customHeight="1" x14ac:dyDescent="0.25">
      <c r="C383" s="406">
        <f t="shared" si="143"/>
        <v>381</v>
      </c>
      <c r="D383" s="406" t="e">
        <f t="shared" ca="1" si="153"/>
        <v>#N/A</v>
      </c>
      <c r="E383" s="406" t="e">
        <f t="shared" ca="1" si="153"/>
        <v>#N/A</v>
      </c>
      <c r="F383" s="406" t="e">
        <f t="shared" ca="1" si="153"/>
        <v>#N/A</v>
      </c>
      <c r="G383" s="406" t="e">
        <f t="shared" ca="1" si="153"/>
        <v>#N/A</v>
      </c>
      <c r="H383" s="406" t="e">
        <f t="shared" ca="1" si="153"/>
        <v>#N/A</v>
      </c>
      <c r="I383" s="406" t="e">
        <f t="shared" ca="1" si="153"/>
        <v>#N/A</v>
      </c>
      <c r="J383" s="406" t="e">
        <f t="shared" ca="1" si="153"/>
        <v>#N/A</v>
      </c>
      <c r="K383" s="406" t="e">
        <f t="shared" ca="1" si="153"/>
        <v>#N/A</v>
      </c>
      <c r="L383" s="406" t="e">
        <f t="shared" ca="1" si="153"/>
        <v>#N/A</v>
      </c>
      <c r="M383" s="406" t="e">
        <f t="shared" ca="1" si="153"/>
        <v>#N/A</v>
      </c>
      <c r="N383" s="406" t="e">
        <f t="shared" ca="1" si="151"/>
        <v>#N/A</v>
      </c>
      <c r="O383" s="406" t="e">
        <f t="shared" ca="1" si="151"/>
        <v>#N/A</v>
      </c>
      <c r="P383" s="406" t="e">
        <f t="shared" ca="1" si="151"/>
        <v>#N/A</v>
      </c>
      <c r="Q383" s="406" t="e">
        <f t="shared" ca="1" si="151"/>
        <v>#N/A</v>
      </c>
      <c r="R383" s="406" t="e">
        <f t="shared" ca="1" si="151"/>
        <v>#N/A</v>
      </c>
      <c r="S383" s="406" t="e">
        <f t="shared" ca="1" si="151"/>
        <v>#N/A</v>
      </c>
      <c r="T383" s="406" t="e">
        <f t="shared" ca="1" si="151"/>
        <v>#N/A</v>
      </c>
      <c r="U383" s="406" t="e">
        <f t="shared" ca="1" si="151"/>
        <v>#N/A</v>
      </c>
      <c r="V383" s="406" t="e">
        <f t="shared" ca="1" si="151"/>
        <v>#N/A</v>
      </c>
      <c r="W383" s="406" t="e">
        <f t="shared" ca="1" si="151"/>
        <v>#N/A</v>
      </c>
      <c r="X383" s="406" t="e">
        <f t="shared" ca="1" si="150"/>
        <v>#N/A</v>
      </c>
      <c r="Y383" s="406" t="e">
        <f t="shared" ca="1" si="150"/>
        <v>#N/A</v>
      </c>
      <c r="Z383" s="406" t="e">
        <f t="shared" ca="1" si="150"/>
        <v>#N/A</v>
      </c>
      <c r="AA383" s="406" t="e">
        <f t="shared" ca="1" si="150"/>
        <v>#N/A</v>
      </c>
      <c r="AB383" s="406" t="e">
        <f t="shared" ca="1" si="150"/>
        <v>#N/A</v>
      </c>
      <c r="AC383" s="406" t="e">
        <f t="shared" ca="1" si="150"/>
        <v>#N/A</v>
      </c>
      <c r="AD383" s="406" t="e">
        <f t="shared" ca="1" si="150"/>
        <v>#N/A</v>
      </c>
      <c r="AE383" s="406" t="e">
        <f t="shared" ca="1" si="150"/>
        <v>#N/A</v>
      </c>
      <c r="AF383" s="406" t="e">
        <f t="shared" ca="1" si="150"/>
        <v>#N/A</v>
      </c>
      <c r="AG383" s="406" t="e">
        <f t="shared" ca="1" si="150"/>
        <v>#N/A</v>
      </c>
      <c r="AH383" s="406" t="e">
        <f t="shared" ca="1" si="152"/>
        <v>#N/A</v>
      </c>
      <c r="AI383" s="406" t="e">
        <f t="shared" ca="1" si="152"/>
        <v>#N/A</v>
      </c>
      <c r="AJ383" s="406" t="e">
        <f t="shared" ca="1" si="152"/>
        <v>#N/A</v>
      </c>
      <c r="AK383" s="406" t="e">
        <f t="shared" ca="1" si="152"/>
        <v>#N/A</v>
      </c>
      <c r="AL383" s="406" t="e">
        <f t="shared" ca="1" si="152"/>
        <v>#N/A</v>
      </c>
      <c r="AM383" s="406" t="e">
        <f t="shared" ca="1" si="152"/>
        <v>#N/A</v>
      </c>
      <c r="AN383" s="406" t="e">
        <f t="shared" ca="1" si="152"/>
        <v>#N/A</v>
      </c>
      <c r="AO383" s="406" t="e">
        <f t="shared" ca="1" si="152"/>
        <v>#N/A</v>
      </c>
      <c r="AP383" s="406" t="e">
        <f t="shared" ca="1" si="152"/>
        <v>#N/A</v>
      </c>
      <c r="AQ383" s="406" t="e">
        <f t="shared" ca="1" si="152"/>
        <v>#N/A</v>
      </c>
      <c r="AR383" s="406" t="e">
        <f t="shared" ca="1" si="149"/>
        <v>#N/A</v>
      </c>
      <c r="AS383" s="406" t="e">
        <f t="shared" ca="1" si="149"/>
        <v>#N/A</v>
      </c>
      <c r="AT383" s="406" t="e">
        <f t="shared" ca="1" si="149"/>
        <v>#N/A</v>
      </c>
      <c r="AU383" s="406" t="e">
        <f t="shared" ca="1" si="149"/>
        <v>#N/A</v>
      </c>
      <c r="AV383" s="406" t="e">
        <f t="shared" ca="1" si="149"/>
        <v>#N/A</v>
      </c>
      <c r="AW383" s="406" t="e">
        <f t="shared" ca="1" si="149"/>
        <v>#N/A</v>
      </c>
      <c r="AX383" s="406" t="e">
        <f t="shared" ca="1" si="149"/>
        <v>#N/A</v>
      </c>
      <c r="AY383" s="406" t="e">
        <f t="shared" ca="1" si="149"/>
        <v>#N/A</v>
      </c>
      <c r="AZ383" s="406" t="e">
        <f t="shared" ca="1" si="149"/>
        <v>#N/A</v>
      </c>
      <c r="BA383" s="406" t="e">
        <f t="shared" ca="1" si="149"/>
        <v>#N/A</v>
      </c>
      <c r="BB383" s="408"/>
      <c r="BC383" s="408" t="str">
        <f t="shared" ca="1" si="141"/>
        <v/>
      </c>
      <c r="BD383" s="408" t="s">
        <v>1278</v>
      </c>
      <c r="BE383" s="408" t="s">
        <v>1278</v>
      </c>
    </row>
    <row r="384" spans="3:57" x14ac:dyDescent="0.25">
      <c r="C384" s="406">
        <f t="shared" si="143"/>
        <v>382</v>
      </c>
      <c r="D384" s="406" t="e">
        <f t="shared" ca="1" si="153"/>
        <v>#N/A</v>
      </c>
      <c r="E384" s="406" t="e">
        <f t="shared" ca="1" si="153"/>
        <v>#N/A</v>
      </c>
      <c r="F384" s="406" t="e">
        <f t="shared" ca="1" si="153"/>
        <v>#N/A</v>
      </c>
      <c r="G384" s="406" t="e">
        <f t="shared" ca="1" si="153"/>
        <v>#N/A</v>
      </c>
      <c r="H384" s="406" t="e">
        <f t="shared" ca="1" si="153"/>
        <v>#N/A</v>
      </c>
      <c r="I384" s="406" t="e">
        <f t="shared" ca="1" si="153"/>
        <v>#N/A</v>
      </c>
      <c r="J384" s="406" t="e">
        <f t="shared" ca="1" si="153"/>
        <v>#N/A</v>
      </c>
      <c r="K384" s="406" t="e">
        <f t="shared" ca="1" si="153"/>
        <v>#N/A</v>
      </c>
      <c r="L384" s="406" t="e">
        <f t="shared" ca="1" si="153"/>
        <v>#N/A</v>
      </c>
      <c r="M384" s="406" t="e">
        <f t="shared" ca="1" si="153"/>
        <v>#N/A</v>
      </c>
      <c r="N384" s="406" t="e">
        <f t="shared" ca="1" si="151"/>
        <v>#N/A</v>
      </c>
      <c r="O384" s="406" t="e">
        <f t="shared" ca="1" si="151"/>
        <v>#N/A</v>
      </c>
      <c r="P384" s="406" t="e">
        <f t="shared" ca="1" si="151"/>
        <v>#N/A</v>
      </c>
      <c r="Q384" s="406" t="e">
        <f t="shared" ca="1" si="151"/>
        <v>#N/A</v>
      </c>
      <c r="R384" s="406" t="e">
        <f t="shared" ca="1" si="151"/>
        <v>#N/A</v>
      </c>
      <c r="S384" s="406" t="e">
        <f t="shared" ca="1" si="151"/>
        <v>#N/A</v>
      </c>
      <c r="T384" s="406" t="e">
        <f t="shared" ca="1" si="151"/>
        <v>#N/A</v>
      </c>
      <c r="U384" s="406" t="e">
        <f t="shared" ca="1" si="151"/>
        <v>#N/A</v>
      </c>
      <c r="V384" s="406" t="e">
        <f t="shared" ca="1" si="151"/>
        <v>#N/A</v>
      </c>
      <c r="W384" s="406" t="e">
        <f t="shared" ca="1" si="151"/>
        <v>#N/A</v>
      </c>
      <c r="X384" s="406" t="e">
        <f t="shared" ca="1" si="150"/>
        <v>#N/A</v>
      </c>
      <c r="Y384" s="406" t="e">
        <f t="shared" ca="1" si="150"/>
        <v>#N/A</v>
      </c>
      <c r="Z384" s="406" t="e">
        <f t="shared" ca="1" si="150"/>
        <v>#N/A</v>
      </c>
      <c r="AA384" s="406" t="e">
        <f t="shared" ca="1" si="150"/>
        <v>#N/A</v>
      </c>
      <c r="AB384" s="406" t="e">
        <f t="shared" ca="1" si="150"/>
        <v>#N/A</v>
      </c>
      <c r="AC384" s="406" t="e">
        <f t="shared" ca="1" si="150"/>
        <v>#N/A</v>
      </c>
      <c r="AD384" s="406" t="e">
        <f t="shared" ca="1" si="150"/>
        <v>#N/A</v>
      </c>
      <c r="AE384" s="406" t="e">
        <f t="shared" ca="1" si="150"/>
        <v>#N/A</v>
      </c>
      <c r="AF384" s="406" t="e">
        <f t="shared" ca="1" si="150"/>
        <v>#N/A</v>
      </c>
      <c r="AG384" s="406" t="e">
        <f t="shared" ca="1" si="150"/>
        <v>#N/A</v>
      </c>
      <c r="AH384" s="406" t="e">
        <f t="shared" ca="1" si="152"/>
        <v>#N/A</v>
      </c>
      <c r="AI384" s="406" t="e">
        <f t="shared" ca="1" si="152"/>
        <v>#N/A</v>
      </c>
      <c r="AJ384" s="406" t="e">
        <f t="shared" ca="1" si="152"/>
        <v>#N/A</v>
      </c>
      <c r="AK384" s="406" t="e">
        <f t="shared" ca="1" si="152"/>
        <v>#N/A</v>
      </c>
      <c r="AL384" s="406" t="e">
        <f t="shared" ca="1" si="152"/>
        <v>#N/A</v>
      </c>
      <c r="AM384" s="406" t="e">
        <f t="shared" ca="1" si="152"/>
        <v>#N/A</v>
      </c>
      <c r="AN384" s="406" t="e">
        <f t="shared" ca="1" si="152"/>
        <v>#N/A</v>
      </c>
      <c r="AO384" s="406" t="e">
        <f t="shared" ca="1" si="152"/>
        <v>#N/A</v>
      </c>
      <c r="AP384" s="406" t="e">
        <f t="shared" ca="1" si="152"/>
        <v>#N/A</v>
      </c>
      <c r="AQ384" s="406" t="e">
        <f t="shared" ca="1" si="152"/>
        <v>#N/A</v>
      </c>
      <c r="AR384" s="406" t="e">
        <f t="shared" ca="1" si="149"/>
        <v>#N/A</v>
      </c>
      <c r="AS384" s="406" t="e">
        <f t="shared" ca="1" si="149"/>
        <v>#N/A</v>
      </c>
      <c r="AT384" s="406" t="e">
        <f t="shared" ca="1" si="149"/>
        <v>#N/A</v>
      </c>
      <c r="AU384" s="406" t="e">
        <f t="shared" ca="1" si="149"/>
        <v>#N/A</v>
      </c>
      <c r="AV384" s="406" t="e">
        <f t="shared" ca="1" si="149"/>
        <v>#N/A</v>
      </c>
      <c r="AW384" s="406" t="e">
        <f t="shared" ca="1" si="149"/>
        <v>#N/A</v>
      </c>
      <c r="AX384" s="406" t="e">
        <f t="shared" ca="1" si="149"/>
        <v>#N/A</v>
      </c>
      <c r="AY384" s="406" t="e">
        <f t="shared" ca="1" si="149"/>
        <v>#N/A</v>
      </c>
      <c r="AZ384" s="406" t="e">
        <f t="shared" ca="1" si="149"/>
        <v>#N/A</v>
      </c>
      <c r="BA384" s="406" t="e">
        <f t="shared" ca="1" si="149"/>
        <v>#N/A</v>
      </c>
      <c r="BB384" s="408"/>
      <c r="BC384" s="408" t="str">
        <f t="shared" ca="1" si="141"/>
        <v/>
      </c>
      <c r="BD384" s="408" t="s">
        <v>1278</v>
      </c>
      <c r="BE384" s="408" t="s">
        <v>1278</v>
      </c>
    </row>
    <row r="385" spans="3:57" x14ac:dyDescent="0.25">
      <c r="C385" s="406">
        <f t="shared" si="143"/>
        <v>383</v>
      </c>
      <c r="D385" s="406" t="e">
        <f t="shared" ca="1" si="153"/>
        <v>#N/A</v>
      </c>
      <c r="E385" s="406" t="e">
        <f t="shared" ca="1" si="153"/>
        <v>#N/A</v>
      </c>
      <c r="F385" s="406" t="e">
        <f t="shared" ca="1" si="153"/>
        <v>#N/A</v>
      </c>
      <c r="G385" s="406" t="e">
        <f t="shared" ca="1" si="153"/>
        <v>#N/A</v>
      </c>
      <c r="H385" s="406" t="e">
        <f t="shared" ca="1" si="153"/>
        <v>#N/A</v>
      </c>
      <c r="I385" s="406" t="e">
        <f t="shared" ca="1" si="153"/>
        <v>#N/A</v>
      </c>
      <c r="J385" s="406" t="e">
        <f t="shared" ca="1" si="153"/>
        <v>#N/A</v>
      </c>
      <c r="K385" s="406" t="e">
        <f t="shared" ca="1" si="153"/>
        <v>#N/A</v>
      </c>
      <c r="L385" s="406" t="e">
        <f t="shared" ca="1" si="153"/>
        <v>#N/A</v>
      </c>
      <c r="M385" s="406" t="e">
        <f t="shared" ca="1" si="153"/>
        <v>#N/A</v>
      </c>
      <c r="N385" s="406" t="e">
        <f t="shared" ca="1" si="151"/>
        <v>#N/A</v>
      </c>
      <c r="O385" s="406" t="e">
        <f t="shared" ca="1" si="151"/>
        <v>#N/A</v>
      </c>
      <c r="P385" s="406" t="e">
        <f t="shared" ca="1" si="151"/>
        <v>#N/A</v>
      </c>
      <c r="Q385" s="406" t="e">
        <f t="shared" ca="1" si="151"/>
        <v>#N/A</v>
      </c>
      <c r="R385" s="406" t="e">
        <f t="shared" ca="1" si="151"/>
        <v>#N/A</v>
      </c>
      <c r="S385" s="406" t="e">
        <f t="shared" ca="1" si="151"/>
        <v>#N/A</v>
      </c>
      <c r="T385" s="406" t="e">
        <f t="shared" ca="1" si="151"/>
        <v>#N/A</v>
      </c>
      <c r="U385" s="406" t="e">
        <f t="shared" ca="1" si="151"/>
        <v>#N/A</v>
      </c>
      <c r="V385" s="406" t="e">
        <f t="shared" ca="1" si="151"/>
        <v>#N/A</v>
      </c>
      <c r="W385" s="406" t="e">
        <f t="shared" ca="1" si="151"/>
        <v>#N/A</v>
      </c>
      <c r="X385" s="406" t="e">
        <f t="shared" ca="1" si="150"/>
        <v>#N/A</v>
      </c>
      <c r="Y385" s="406" t="e">
        <f t="shared" ca="1" si="150"/>
        <v>#N/A</v>
      </c>
      <c r="Z385" s="406" t="e">
        <f t="shared" ca="1" si="150"/>
        <v>#N/A</v>
      </c>
      <c r="AA385" s="406" t="e">
        <f t="shared" ca="1" si="150"/>
        <v>#N/A</v>
      </c>
      <c r="AB385" s="406" t="e">
        <f t="shared" ca="1" si="150"/>
        <v>#N/A</v>
      </c>
      <c r="AC385" s="406" t="e">
        <f t="shared" ca="1" si="150"/>
        <v>#N/A</v>
      </c>
      <c r="AD385" s="406" t="e">
        <f t="shared" ca="1" si="150"/>
        <v>#N/A</v>
      </c>
      <c r="AE385" s="406" t="e">
        <f t="shared" ca="1" si="150"/>
        <v>#N/A</v>
      </c>
      <c r="AF385" s="406" t="e">
        <f t="shared" ca="1" si="150"/>
        <v>#N/A</v>
      </c>
      <c r="AG385" s="406" t="e">
        <f t="shared" ca="1" si="150"/>
        <v>#N/A</v>
      </c>
      <c r="AH385" s="406" t="e">
        <f t="shared" ca="1" si="152"/>
        <v>#N/A</v>
      </c>
      <c r="AI385" s="406" t="e">
        <f t="shared" ca="1" si="152"/>
        <v>#N/A</v>
      </c>
      <c r="AJ385" s="406" t="e">
        <f t="shared" ca="1" si="152"/>
        <v>#N/A</v>
      </c>
      <c r="AK385" s="406" t="e">
        <f t="shared" ca="1" si="152"/>
        <v>#N/A</v>
      </c>
      <c r="AL385" s="406" t="e">
        <f t="shared" ca="1" si="152"/>
        <v>#N/A</v>
      </c>
      <c r="AM385" s="406" t="e">
        <f t="shared" ca="1" si="152"/>
        <v>#N/A</v>
      </c>
      <c r="AN385" s="406" t="e">
        <f t="shared" ca="1" si="152"/>
        <v>#N/A</v>
      </c>
      <c r="AO385" s="406" t="e">
        <f t="shared" ca="1" si="152"/>
        <v>#N/A</v>
      </c>
      <c r="AP385" s="406" t="e">
        <f t="shared" ca="1" si="152"/>
        <v>#N/A</v>
      </c>
      <c r="AQ385" s="406" t="e">
        <f t="shared" ca="1" si="152"/>
        <v>#N/A</v>
      </c>
      <c r="AR385" s="406" t="e">
        <f t="shared" ca="1" si="149"/>
        <v>#N/A</v>
      </c>
      <c r="AS385" s="406" t="e">
        <f t="shared" ca="1" si="149"/>
        <v>#N/A</v>
      </c>
      <c r="AT385" s="406" t="e">
        <f t="shared" ca="1" si="149"/>
        <v>#N/A</v>
      </c>
      <c r="AU385" s="406" t="e">
        <f t="shared" ca="1" si="149"/>
        <v>#N/A</v>
      </c>
      <c r="AV385" s="406" t="e">
        <f t="shared" ca="1" si="149"/>
        <v>#N/A</v>
      </c>
      <c r="AW385" s="406" t="e">
        <f t="shared" ca="1" si="149"/>
        <v>#N/A</v>
      </c>
      <c r="AX385" s="406" t="e">
        <f t="shared" ca="1" si="149"/>
        <v>#N/A</v>
      </c>
      <c r="AY385" s="406" t="e">
        <f t="shared" ca="1" si="149"/>
        <v>#N/A</v>
      </c>
      <c r="AZ385" s="406" t="e">
        <f t="shared" ca="1" si="149"/>
        <v>#N/A</v>
      </c>
      <c r="BA385" s="406" t="e">
        <f t="shared" ca="1" si="149"/>
        <v>#N/A</v>
      </c>
      <c r="BB385" s="408"/>
      <c r="BC385" s="408" t="str">
        <f t="shared" ca="1" si="141"/>
        <v/>
      </c>
      <c r="BD385" s="408" t="s">
        <v>1278</v>
      </c>
      <c r="BE385" s="408" t="s">
        <v>1278</v>
      </c>
    </row>
    <row r="386" spans="3:57" ht="15" customHeight="1" x14ac:dyDescent="0.25">
      <c r="C386" s="406">
        <f t="shared" si="143"/>
        <v>384</v>
      </c>
      <c r="D386" s="406" t="e">
        <f t="shared" ca="1" si="153"/>
        <v>#N/A</v>
      </c>
      <c r="E386" s="406" t="e">
        <f t="shared" ca="1" si="153"/>
        <v>#N/A</v>
      </c>
      <c r="F386" s="406" t="e">
        <f t="shared" ca="1" si="153"/>
        <v>#N/A</v>
      </c>
      <c r="G386" s="406" t="e">
        <f t="shared" ca="1" si="153"/>
        <v>#N/A</v>
      </c>
      <c r="H386" s="406" t="e">
        <f t="shared" ca="1" si="153"/>
        <v>#N/A</v>
      </c>
      <c r="I386" s="406" t="e">
        <f t="shared" ca="1" si="153"/>
        <v>#N/A</v>
      </c>
      <c r="J386" s="406" t="e">
        <f t="shared" ca="1" si="153"/>
        <v>#N/A</v>
      </c>
      <c r="K386" s="406" t="e">
        <f t="shared" ca="1" si="153"/>
        <v>#N/A</v>
      </c>
      <c r="L386" s="406" t="e">
        <f t="shared" ca="1" si="153"/>
        <v>#N/A</v>
      </c>
      <c r="M386" s="406" t="e">
        <f t="shared" ca="1" si="153"/>
        <v>#N/A</v>
      </c>
      <c r="N386" s="406" t="e">
        <f t="shared" ca="1" si="151"/>
        <v>#N/A</v>
      </c>
      <c r="O386" s="406" t="e">
        <f t="shared" ca="1" si="151"/>
        <v>#N/A</v>
      </c>
      <c r="P386" s="406" t="e">
        <f t="shared" ca="1" si="151"/>
        <v>#N/A</v>
      </c>
      <c r="Q386" s="406" t="e">
        <f t="shared" ca="1" si="151"/>
        <v>#N/A</v>
      </c>
      <c r="R386" s="406" t="e">
        <f t="shared" ca="1" si="151"/>
        <v>#N/A</v>
      </c>
      <c r="S386" s="406" t="e">
        <f t="shared" ca="1" si="151"/>
        <v>#N/A</v>
      </c>
      <c r="T386" s="406" t="e">
        <f t="shared" ca="1" si="151"/>
        <v>#N/A</v>
      </c>
      <c r="U386" s="406" t="e">
        <f t="shared" ca="1" si="151"/>
        <v>#N/A</v>
      </c>
      <c r="V386" s="406" t="e">
        <f t="shared" ca="1" si="151"/>
        <v>#N/A</v>
      </c>
      <c r="W386" s="406" t="e">
        <f t="shared" ca="1" si="151"/>
        <v>#N/A</v>
      </c>
      <c r="X386" s="406" t="e">
        <f t="shared" ca="1" si="150"/>
        <v>#N/A</v>
      </c>
      <c r="Y386" s="406" t="e">
        <f t="shared" ca="1" si="150"/>
        <v>#N/A</v>
      </c>
      <c r="Z386" s="406" t="e">
        <f t="shared" ca="1" si="150"/>
        <v>#N/A</v>
      </c>
      <c r="AA386" s="406" t="e">
        <f t="shared" ca="1" si="150"/>
        <v>#N/A</v>
      </c>
      <c r="AB386" s="406" t="e">
        <f t="shared" ca="1" si="150"/>
        <v>#N/A</v>
      </c>
      <c r="AC386" s="406" t="e">
        <f t="shared" ca="1" si="150"/>
        <v>#N/A</v>
      </c>
      <c r="AD386" s="406" t="e">
        <f t="shared" ca="1" si="150"/>
        <v>#N/A</v>
      </c>
      <c r="AE386" s="406" t="e">
        <f t="shared" ca="1" si="150"/>
        <v>#N/A</v>
      </c>
      <c r="AF386" s="406" t="e">
        <f t="shared" ca="1" si="150"/>
        <v>#N/A</v>
      </c>
      <c r="AG386" s="406" t="e">
        <f t="shared" ca="1" si="150"/>
        <v>#N/A</v>
      </c>
      <c r="AH386" s="406" t="e">
        <f t="shared" ca="1" si="152"/>
        <v>#N/A</v>
      </c>
      <c r="AI386" s="406" t="e">
        <f t="shared" ca="1" si="152"/>
        <v>#N/A</v>
      </c>
      <c r="AJ386" s="406" t="e">
        <f t="shared" ca="1" si="152"/>
        <v>#N/A</v>
      </c>
      <c r="AK386" s="406" t="e">
        <f t="shared" ca="1" si="152"/>
        <v>#N/A</v>
      </c>
      <c r="AL386" s="406" t="e">
        <f t="shared" ca="1" si="152"/>
        <v>#N/A</v>
      </c>
      <c r="AM386" s="406" t="e">
        <f t="shared" ca="1" si="152"/>
        <v>#N/A</v>
      </c>
      <c r="AN386" s="406" t="e">
        <f t="shared" ca="1" si="152"/>
        <v>#N/A</v>
      </c>
      <c r="AO386" s="406" t="e">
        <f t="shared" ca="1" si="152"/>
        <v>#N/A</v>
      </c>
      <c r="AP386" s="406" t="e">
        <f t="shared" ca="1" si="152"/>
        <v>#N/A</v>
      </c>
      <c r="AQ386" s="406" t="e">
        <f t="shared" ca="1" si="152"/>
        <v>#N/A</v>
      </c>
      <c r="AR386" s="406" t="e">
        <f t="shared" ca="1" si="149"/>
        <v>#N/A</v>
      </c>
      <c r="AS386" s="406" t="e">
        <f t="shared" ca="1" si="149"/>
        <v>#N/A</v>
      </c>
      <c r="AT386" s="406" t="e">
        <f t="shared" ca="1" si="149"/>
        <v>#N/A</v>
      </c>
      <c r="AU386" s="406" t="e">
        <f t="shared" ca="1" si="149"/>
        <v>#N/A</v>
      </c>
      <c r="AV386" s="406" t="e">
        <f t="shared" ca="1" si="149"/>
        <v>#N/A</v>
      </c>
      <c r="AW386" s="406" t="e">
        <f t="shared" ca="1" si="149"/>
        <v>#N/A</v>
      </c>
      <c r="AX386" s="406" t="e">
        <f t="shared" ca="1" si="149"/>
        <v>#N/A</v>
      </c>
      <c r="AY386" s="406" t="e">
        <f t="shared" ca="1" si="149"/>
        <v>#N/A</v>
      </c>
      <c r="AZ386" s="406" t="e">
        <f t="shared" ca="1" si="149"/>
        <v>#N/A</v>
      </c>
      <c r="BA386" s="406" t="e">
        <f t="shared" ca="1" si="149"/>
        <v>#N/A</v>
      </c>
      <c r="BB386" s="408"/>
      <c r="BC386" s="408" t="str">
        <f t="shared" ref="BC386:BC449" ca="1" si="154">IFERROR(ABS(INDEX($D$2:$BA$502,MATCH($BB386,$D$2:$D$502,0),MATCH(BC$1,INDIRECT(CONCATENATE("D" &amp; $A$6 &amp; ":BA" &amp; $A$6)),0)))*(IF(RTF_unit="K",1,IF(RTF_unit="lb",1/1000,IF(RTF_unit="T",1/2,1)))),"")</f>
        <v/>
      </c>
      <c r="BD386" s="408" t="s">
        <v>1278</v>
      </c>
      <c r="BE386" s="408" t="s">
        <v>1278</v>
      </c>
    </row>
    <row r="387" spans="3:57" x14ac:dyDescent="0.25">
      <c r="C387" s="406">
        <f t="shared" si="143"/>
        <v>385</v>
      </c>
      <c r="D387" s="406" t="e">
        <f t="shared" ca="1" si="153"/>
        <v>#N/A</v>
      </c>
      <c r="E387" s="406" t="e">
        <f t="shared" ca="1" si="153"/>
        <v>#N/A</v>
      </c>
      <c r="F387" s="406" t="e">
        <f t="shared" ca="1" si="153"/>
        <v>#N/A</v>
      </c>
      <c r="G387" s="406" t="e">
        <f t="shared" ca="1" si="153"/>
        <v>#N/A</v>
      </c>
      <c r="H387" s="406" t="e">
        <f t="shared" ca="1" si="153"/>
        <v>#N/A</v>
      </c>
      <c r="I387" s="406" t="e">
        <f t="shared" ca="1" si="153"/>
        <v>#N/A</v>
      </c>
      <c r="J387" s="406" t="e">
        <f t="shared" ca="1" si="153"/>
        <v>#N/A</v>
      </c>
      <c r="K387" s="406" t="e">
        <f t="shared" ca="1" si="153"/>
        <v>#N/A</v>
      </c>
      <c r="L387" s="406" t="e">
        <f t="shared" ca="1" si="153"/>
        <v>#N/A</v>
      </c>
      <c r="M387" s="406" t="e">
        <f t="shared" ca="1" si="153"/>
        <v>#N/A</v>
      </c>
      <c r="N387" s="406" t="e">
        <f t="shared" ca="1" si="151"/>
        <v>#N/A</v>
      </c>
      <c r="O387" s="406" t="e">
        <f t="shared" ca="1" si="151"/>
        <v>#N/A</v>
      </c>
      <c r="P387" s="406" t="e">
        <f t="shared" ca="1" si="151"/>
        <v>#N/A</v>
      </c>
      <c r="Q387" s="406" t="e">
        <f t="shared" ca="1" si="151"/>
        <v>#N/A</v>
      </c>
      <c r="R387" s="406" t="e">
        <f t="shared" ca="1" si="151"/>
        <v>#N/A</v>
      </c>
      <c r="S387" s="406" t="e">
        <f t="shared" ca="1" si="151"/>
        <v>#N/A</v>
      </c>
      <c r="T387" s="406" t="e">
        <f t="shared" ca="1" si="151"/>
        <v>#N/A</v>
      </c>
      <c r="U387" s="406" t="e">
        <f t="shared" ca="1" si="151"/>
        <v>#N/A</v>
      </c>
      <c r="V387" s="406" t="e">
        <f t="shared" ca="1" si="151"/>
        <v>#N/A</v>
      </c>
      <c r="W387" s="406" t="e">
        <f t="shared" ca="1" si="151"/>
        <v>#N/A</v>
      </c>
      <c r="X387" s="406" t="e">
        <f t="shared" ca="1" si="150"/>
        <v>#N/A</v>
      </c>
      <c r="Y387" s="406" t="e">
        <f t="shared" ca="1" si="150"/>
        <v>#N/A</v>
      </c>
      <c r="Z387" s="406" t="e">
        <f t="shared" ca="1" si="150"/>
        <v>#N/A</v>
      </c>
      <c r="AA387" s="406" t="e">
        <f t="shared" ca="1" si="150"/>
        <v>#N/A</v>
      </c>
      <c r="AB387" s="406" t="e">
        <f t="shared" ca="1" si="150"/>
        <v>#N/A</v>
      </c>
      <c r="AC387" s="406" t="e">
        <f t="shared" ca="1" si="150"/>
        <v>#N/A</v>
      </c>
      <c r="AD387" s="406" t="e">
        <f t="shared" ca="1" si="150"/>
        <v>#N/A</v>
      </c>
      <c r="AE387" s="406" t="e">
        <f t="shared" ca="1" si="150"/>
        <v>#N/A</v>
      </c>
      <c r="AF387" s="406" t="e">
        <f t="shared" ca="1" si="150"/>
        <v>#N/A</v>
      </c>
      <c r="AG387" s="406" t="e">
        <f t="shared" ca="1" si="150"/>
        <v>#N/A</v>
      </c>
      <c r="AH387" s="406" t="e">
        <f t="shared" ca="1" si="152"/>
        <v>#N/A</v>
      </c>
      <c r="AI387" s="406" t="e">
        <f t="shared" ca="1" si="152"/>
        <v>#N/A</v>
      </c>
      <c r="AJ387" s="406" t="e">
        <f t="shared" ca="1" si="152"/>
        <v>#N/A</v>
      </c>
      <c r="AK387" s="406" t="e">
        <f t="shared" ca="1" si="152"/>
        <v>#N/A</v>
      </c>
      <c r="AL387" s="406" t="e">
        <f t="shared" ca="1" si="152"/>
        <v>#N/A</v>
      </c>
      <c r="AM387" s="406" t="e">
        <f t="shared" ca="1" si="152"/>
        <v>#N/A</v>
      </c>
      <c r="AN387" s="406" t="e">
        <f t="shared" ca="1" si="152"/>
        <v>#N/A</v>
      </c>
      <c r="AO387" s="406" t="e">
        <f t="shared" ca="1" si="152"/>
        <v>#N/A</v>
      </c>
      <c r="AP387" s="406" t="e">
        <f t="shared" ca="1" si="152"/>
        <v>#N/A</v>
      </c>
      <c r="AQ387" s="406" t="e">
        <f t="shared" ca="1" si="152"/>
        <v>#N/A</v>
      </c>
      <c r="AR387" s="406" t="e">
        <f t="shared" ca="1" si="149"/>
        <v>#N/A</v>
      </c>
      <c r="AS387" s="406" t="e">
        <f t="shared" ca="1" si="149"/>
        <v>#N/A</v>
      </c>
      <c r="AT387" s="406" t="e">
        <f t="shared" ca="1" si="149"/>
        <v>#N/A</v>
      </c>
      <c r="AU387" s="406" t="e">
        <f t="shared" ref="AR387:BA412" ca="1" si="155">TRIM(INDIRECT("'" &amp; "TNX RTF" &amp; "'!" &amp; ADDRESS($A$3+$C387,AU$1)))</f>
        <v>#N/A</v>
      </c>
      <c r="AV387" s="406" t="e">
        <f t="shared" ca="1" si="155"/>
        <v>#N/A</v>
      </c>
      <c r="AW387" s="406" t="e">
        <f t="shared" ca="1" si="155"/>
        <v>#N/A</v>
      </c>
      <c r="AX387" s="406" t="e">
        <f t="shared" ca="1" si="155"/>
        <v>#N/A</v>
      </c>
      <c r="AY387" s="406" t="e">
        <f t="shared" ca="1" si="155"/>
        <v>#N/A</v>
      </c>
      <c r="AZ387" s="406" t="e">
        <f t="shared" ca="1" si="155"/>
        <v>#N/A</v>
      </c>
      <c r="BA387" s="406" t="e">
        <f t="shared" ca="1" si="155"/>
        <v>#N/A</v>
      </c>
      <c r="BB387" s="408"/>
      <c r="BC387" s="408" t="str">
        <f t="shared" ca="1" si="154"/>
        <v/>
      </c>
      <c r="BD387" s="408" t="s">
        <v>1278</v>
      </c>
      <c r="BE387" s="408" t="s">
        <v>1278</v>
      </c>
    </row>
    <row r="388" spans="3:57" x14ac:dyDescent="0.25">
      <c r="C388" s="406">
        <f t="shared" ref="C388:C451" si="156">C387+1</f>
        <v>386</v>
      </c>
      <c r="D388" s="406" t="e">
        <f t="shared" ca="1" si="153"/>
        <v>#N/A</v>
      </c>
      <c r="E388" s="406" t="e">
        <f t="shared" ca="1" si="153"/>
        <v>#N/A</v>
      </c>
      <c r="F388" s="406" t="e">
        <f t="shared" ca="1" si="153"/>
        <v>#N/A</v>
      </c>
      <c r="G388" s="406" t="e">
        <f t="shared" ca="1" si="153"/>
        <v>#N/A</v>
      </c>
      <c r="H388" s="406" t="e">
        <f t="shared" ca="1" si="153"/>
        <v>#N/A</v>
      </c>
      <c r="I388" s="406" t="e">
        <f t="shared" ca="1" si="153"/>
        <v>#N/A</v>
      </c>
      <c r="J388" s="406" t="e">
        <f t="shared" ca="1" si="153"/>
        <v>#N/A</v>
      </c>
      <c r="K388" s="406" t="e">
        <f t="shared" ca="1" si="153"/>
        <v>#N/A</v>
      </c>
      <c r="L388" s="406" t="e">
        <f t="shared" ca="1" si="153"/>
        <v>#N/A</v>
      </c>
      <c r="M388" s="406" t="e">
        <f t="shared" ca="1" si="153"/>
        <v>#N/A</v>
      </c>
      <c r="N388" s="406" t="e">
        <f t="shared" ca="1" si="151"/>
        <v>#N/A</v>
      </c>
      <c r="O388" s="406" t="e">
        <f t="shared" ca="1" si="151"/>
        <v>#N/A</v>
      </c>
      <c r="P388" s="406" t="e">
        <f t="shared" ca="1" si="151"/>
        <v>#N/A</v>
      </c>
      <c r="Q388" s="406" t="e">
        <f t="shared" ca="1" si="151"/>
        <v>#N/A</v>
      </c>
      <c r="R388" s="406" t="e">
        <f t="shared" ca="1" si="151"/>
        <v>#N/A</v>
      </c>
      <c r="S388" s="406" t="e">
        <f t="shared" ca="1" si="151"/>
        <v>#N/A</v>
      </c>
      <c r="T388" s="406" t="e">
        <f t="shared" ca="1" si="151"/>
        <v>#N/A</v>
      </c>
      <c r="U388" s="406" t="e">
        <f t="shared" ca="1" si="151"/>
        <v>#N/A</v>
      </c>
      <c r="V388" s="406" t="e">
        <f t="shared" ca="1" si="151"/>
        <v>#N/A</v>
      </c>
      <c r="W388" s="406" t="e">
        <f t="shared" ca="1" si="151"/>
        <v>#N/A</v>
      </c>
      <c r="X388" s="406" t="e">
        <f t="shared" ca="1" si="150"/>
        <v>#N/A</v>
      </c>
      <c r="Y388" s="406" t="e">
        <f t="shared" ca="1" si="150"/>
        <v>#N/A</v>
      </c>
      <c r="Z388" s="406" t="e">
        <f t="shared" ca="1" si="150"/>
        <v>#N/A</v>
      </c>
      <c r="AA388" s="406" t="e">
        <f t="shared" ca="1" si="150"/>
        <v>#N/A</v>
      </c>
      <c r="AB388" s="406" t="e">
        <f t="shared" ca="1" si="150"/>
        <v>#N/A</v>
      </c>
      <c r="AC388" s="406" t="e">
        <f t="shared" ca="1" si="150"/>
        <v>#N/A</v>
      </c>
      <c r="AD388" s="406" t="e">
        <f t="shared" ca="1" si="150"/>
        <v>#N/A</v>
      </c>
      <c r="AE388" s="406" t="e">
        <f t="shared" ca="1" si="150"/>
        <v>#N/A</v>
      </c>
      <c r="AF388" s="406" t="e">
        <f t="shared" ca="1" si="150"/>
        <v>#N/A</v>
      </c>
      <c r="AG388" s="406" t="e">
        <f t="shared" ca="1" si="150"/>
        <v>#N/A</v>
      </c>
      <c r="AH388" s="406" t="e">
        <f t="shared" ca="1" si="152"/>
        <v>#N/A</v>
      </c>
      <c r="AI388" s="406" t="e">
        <f t="shared" ca="1" si="152"/>
        <v>#N/A</v>
      </c>
      <c r="AJ388" s="406" t="e">
        <f t="shared" ca="1" si="152"/>
        <v>#N/A</v>
      </c>
      <c r="AK388" s="406" t="e">
        <f t="shared" ca="1" si="152"/>
        <v>#N/A</v>
      </c>
      <c r="AL388" s="406" t="e">
        <f t="shared" ca="1" si="152"/>
        <v>#N/A</v>
      </c>
      <c r="AM388" s="406" t="e">
        <f t="shared" ca="1" si="152"/>
        <v>#N/A</v>
      </c>
      <c r="AN388" s="406" t="e">
        <f t="shared" ca="1" si="152"/>
        <v>#N/A</v>
      </c>
      <c r="AO388" s="406" t="e">
        <f t="shared" ca="1" si="152"/>
        <v>#N/A</v>
      </c>
      <c r="AP388" s="406" t="e">
        <f t="shared" ca="1" si="152"/>
        <v>#N/A</v>
      </c>
      <c r="AQ388" s="406" t="e">
        <f t="shared" ca="1" si="152"/>
        <v>#N/A</v>
      </c>
      <c r="AR388" s="406" t="e">
        <f t="shared" ca="1" si="155"/>
        <v>#N/A</v>
      </c>
      <c r="AS388" s="406" t="e">
        <f t="shared" ca="1" si="155"/>
        <v>#N/A</v>
      </c>
      <c r="AT388" s="406" t="e">
        <f t="shared" ca="1" si="155"/>
        <v>#N/A</v>
      </c>
      <c r="AU388" s="406" t="e">
        <f t="shared" ca="1" si="155"/>
        <v>#N/A</v>
      </c>
      <c r="AV388" s="406" t="e">
        <f t="shared" ca="1" si="155"/>
        <v>#N/A</v>
      </c>
      <c r="AW388" s="406" t="e">
        <f t="shared" ca="1" si="155"/>
        <v>#N/A</v>
      </c>
      <c r="AX388" s="406" t="e">
        <f t="shared" ca="1" si="155"/>
        <v>#N/A</v>
      </c>
      <c r="AY388" s="406" t="e">
        <f t="shared" ca="1" si="155"/>
        <v>#N/A</v>
      </c>
      <c r="AZ388" s="406" t="e">
        <f t="shared" ca="1" si="155"/>
        <v>#N/A</v>
      </c>
      <c r="BA388" s="406" t="e">
        <f t="shared" ca="1" si="155"/>
        <v>#N/A</v>
      </c>
      <c r="BB388" s="408"/>
      <c r="BC388" s="408" t="str">
        <f t="shared" ca="1" si="154"/>
        <v/>
      </c>
      <c r="BD388" s="408" t="s">
        <v>1278</v>
      </c>
      <c r="BE388" s="408" t="s">
        <v>1278</v>
      </c>
    </row>
    <row r="389" spans="3:57" ht="15" customHeight="1" x14ac:dyDescent="0.25">
      <c r="C389" s="406">
        <f t="shared" si="156"/>
        <v>387</v>
      </c>
      <c r="D389" s="406" t="e">
        <f t="shared" ca="1" si="153"/>
        <v>#N/A</v>
      </c>
      <c r="E389" s="406" t="e">
        <f t="shared" ca="1" si="153"/>
        <v>#N/A</v>
      </c>
      <c r="F389" s="406" t="e">
        <f t="shared" ca="1" si="153"/>
        <v>#N/A</v>
      </c>
      <c r="G389" s="406" t="e">
        <f t="shared" ca="1" si="153"/>
        <v>#N/A</v>
      </c>
      <c r="H389" s="406" t="e">
        <f t="shared" ca="1" si="153"/>
        <v>#N/A</v>
      </c>
      <c r="I389" s="406" t="e">
        <f t="shared" ca="1" si="153"/>
        <v>#N/A</v>
      </c>
      <c r="J389" s="406" t="e">
        <f t="shared" ca="1" si="153"/>
        <v>#N/A</v>
      </c>
      <c r="K389" s="406" t="e">
        <f t="shared" ca="1" si="153"/>
        <v>#N/A</v>
      </c>
      <c r="L389" s="406" t="e">
        <f t="shared" ca="1" si="153"/>
        <v>#N/A</v>
      </c>
      <c r="M389" s="406" t="e">
        <f t="shared" ca="1" si="153"/>
        <v>#N/A</v>
      </c>
      <c r="N389" s="406" t="e">
        <f t="shared" ca="1" si="151"/>
        <v>#N/A</v>
      </c>
      <c r="O389" s="406" t="e">
        <f t="shared" ca="1" si="151"/>
        <v>#N/A</v>
      </c>
      <c r="P389" s="406" t="e">
        <f t="shared" ca="1" si="151"/>
        <v>#N/A</v>
      </c>
      <c r="Q389" s="406" t="e">
        <f t="shared" ca="1" si="151"/>
        <v>#N/A</v>
      </c>
      <c r="R389" s="406" t="e">
        <f t="shared" ca="1" si="151"/>
        <v>#N/A</v>
      </c>
      <c r="S389" s="406" t="e">
        <f t="shared" ca="1" si="151"/>
        <v>#N/A</v>
      </c>
      <c r="T389" s="406" t="e">
        <f t="shared" ca="1" si="151"/>
        <v>#N/A</v>
      </c>
      <c r="U389" s="406" t="e">
        <f t="shared" ca="1" si="151"/>
        <v>#N/A</v>
      </c>
      <c r="V389" s="406" t="e">
        <f t="shared" ca="1" si="151"/>
        <v>#N/A</v>
      </c>
      <c r="W389" s="406" t="e">
        <f t="shared" ca="1" si="151"/>
        <v>#N/A</v>
      </c>
      <c r="X389" s="406" t="e">
        <f t="shared" ca="1" si="150"/>
        <v>#N/A</v>
      </c>
      <c r="Y389" s="406" t="e">
        <f t="shared" ca="1" si="150"/>
        <v>#N/A</v>
      </c>
      <c r="Z389" s="406" t="e">
        <f t="shared" ca="1" si="150"/>
        <v>#N/A</v>
      </c>
      <c r="AA389" s="406" t="e">
        <f t="shared" ca="1" si="150"/>
        <v>#N/A</v>
      </c>
      <c r="AB389" s="406" t="e">
        <f t="shared" ca="1" si="150"/>
        <v>#N/A</v>
      </c>
      <c r="AC389" s="406" t="e">
        <f t="shared" ca="1" si="150"/>
        <v>#N/A</v>
      </c>
      <c r="AD389" s="406" t="e">
        <f t="shared" ca="1" si="150"/>
        <v>#N/A</v>
      </c>
      <c r="AE389" s="406" t="e">
        <f t="shared" ca="1" si="150"/>
        <v>#N/A</v>
      </c>
      <c r="AF389" s="406" t="e">
        <f t="shared" ca="1" si="150"/>
        <v>#N/A</v>
      </c>
      <c r="AG389" s="406" t="e">
        <f t="shared" ca="1" si="150"/>
        <v>#N/A</v>
      </c>
      <c r="AH389" s="406" t="e">
        <f t="shared" ca="1" si="152"/>
        <v>#N/A</v>
      </c>
      <c r="AI389" s="406" t="e">
        <f t="shared" ca="1" si="152"/>
        <v>#N/A</v>
      </c>
      <c r="AJ389" s="406" t="e">
        <f t="shared" ca="1" si="152"/>
        <v>#N/A</v>
      </c>
      <c r="AK389" s="406" t="e">
        <f t="shared" ca="1" si="152"/>
        <v>#N/A</v>
      </c>
      <c r="AL389" s="406" t="e">
        <f t="shared" ca="1" si="152"/>
        <v>#N/A</v>
      </c>
      <c r="AM389" s="406" t="e">
        <f t="shared" ca="1" si="152"/>
        <v>#N/A</v>
      </c>
      <c r="AN389" s="406" t="e">
        <f t="shared" ca="1" si="152"/>
        <v>#N/A</v>
      </c>
      <c r="AO389" s="406" t="e">
        <f t="shared" ca="1" si="152"/>
        <v>#N/A</v>
      </c>
      <c r="AP389" s="406" t="e">
        <f t="shared" ca="1" si="152"/>
        <v>#N/A</v>
      </c>
      <c r="AQ389" s="406" t="e">
        <f t="shared" ca="1" si="152"/>
        <v>#N/A</v>
      </c>
      <c r="AR389" s="406" t="e">
        <f t="shared" ca="1" si="155"/>
        <v>#N/A</v>
      </c>
      <c r="AS389" s="406" t="e">
        <f t="shared" ca="1" si="155"/>
        <v>#N/A</v>
      </c>
      <c r="AT389" s="406" t="e">
        <f t="shared" ca="1" si="155"/>
        <v>#N/A</v>
      </c>
      <c r="AU389" s="406" t="e">
        <f t="shared" ca="1" si="155"/>
        <v>#N/A</v>
      </c>
      <c r="AV389" s="406" t="e">
        <f t="shared" ca="1" si="155"/>
        <v>#N/A</v>
      </c>
      <c r="AW389" s="406" t="e">
        <f t="shared" ca="1" si="155"/>
        <v>#N/A</v>
      </c>
      <c r="AX389" s="406" t="e">
        <f t="shared" ca="1" si="155"/>
        <v>#N/A</v>
      </c>
      <c r="AY389" s="406" t="e">
        <f t="shared" ca="1" si="155"/>
        <v>#N/A</v>
      </c>
      <c r="AZ389" s="406" t="e">
        <f t="shared" ca="1" si="155"/>
        <v>#N/A</v>
      </c>
      <c r="BA389" s="406" t="e">
        <f t="shared" ca="1" si="155"/>
        <v>#N/A</v>
      </c>
      <c r="BB389" s="408"/>
      <c r="BC389" s="408" t="str">
        <f t="shared" ca="1" si="154"/>
        <v/>
      </c>
      <c r="BD389" s="408" t="s">
        <v>1278</v>
      </c>
      <c r="BE389" s="408" t="s">
        <v>1278</v>
      </c>
    </row>
    <row r="390" spans="3:57" x14ac:dyDescent="0.25">
      <c r="C390" s="406">
        <f t="shared" si="156"/>
        <v>388</v>
      </c>
      <c r="D390" s="406" t="e">
        <f t="shared" ca="1" si="153"/>
        <v>#N/A</v>
      </c>
      <c r="E390" s="406" t="e">
        <f t="shared" ca="1" si="153"/>
        <v>#N/A</v>
      </c>
      <c r="F390" s="406" t="e">
        <f t="shared" ca="1" si="153"/>
        <v>#N/A</v>
      </c>
      <c r="G390" s="406" t="e">
        <f t="shared" ca="1" si="153"/>
        <v>#N/A</v>
      </c>
      <c r="H390" s="406" t="e">
        <f t="shared" ca="1" si="153"/>
        <v>#N/A</v>
      </c>
      <c r="I390" s="406" t="e">
        <f t="shared" ca="1" si="153"/>
        <v>#N/A</v>
      </c>
      <c r="J390" s="406" t="e">
        <f t="shared" ca="1" si="153"/>
        <v>#N/A</v>
      </c>
      <c r="K390" s="406" t="e">
        <f t="shared" ca="1" si="153"/>
        <v>#N/A</v>
      </c>
      <c r="L390" s="406" t="e">
        <f t="shared" ca="1" si="153"/>
        <v>#N/A</v>
      </c>
      <c r="M390" s="406" t="e">
        <f t="shared" ca="1" si="153"/>
        <v>#N/A</v>
      </c>
      <c r="N390" s="406" t="e">
        <f t="shared" ca="1" si="151"/>
        <v>#N/A</v>
      </c>
      <c r="O390" s="406" t="e">
        <f t="shared" ca="1" si="151"/>
        <v>#N/A</v>
      </c>
      <c r="P390" s="406" t="e">
        <f t="shared" ca="1" si="151"/>
        <v>#N/A</v>
      </c>
      <c r="Q390" s="406" t="e">
        <f t="shared" ca="1" si="151"/>
        <v>#N/A</v>
      </c>
      <c r="R390" s="406" t="e">
        <f t="shared" ca="1" si="151"/>
        <v>#N/A</v>
      </c>
      <c r="S390" s="406" t="e">
        <f t="shared" ca="1" si="151"/>
        <v>#N/A</v>
      </c>
      <c r="T390" s="406" t="e">
        <f t="shared" ca="1" si="151"/>
        <v>#N/A</v>
      </c>
      <c r="U390" s="406" t="e">
        <f t="shared" ca="1" si="151"/>
        <v>#N/A</v>
      </c>
      <c r="V390" s="406" t="e">
        <f t="shared" ca="1" si="151"/>
        <v>#N/A</v>
      </c>
      <c r="W390" s="406" t="e">
        <f t="shared" ca="1" si="151"/>
        <v>#N/A</v>
      </c>
      <c r="X390" s="406" t="e">
        <f t="shared" ca="1" si="150"/>
        <v>#N/A</v>
      </c>
      <c r="Y390" s="406" t="e">
        <f t="shared" ca="1" si="150"/>
        <v>#N/A</v>
      </c>
      <c r="Z390" s="406" t="e">
        <f t="shared" ca="1" si="150"/>
        <v>#N/A</v>
      </c>
      <c r="AA390" s="406" t="e">
        <f t="shared" ca="1" si="150"/>
        <v>#N/A</v>
      </c>
      <c r="AB390" s="406" t="e">
        <f t="shared" ca="1" si="150"/>
        <v>#N/A</v>
      </c>
      <c r="AC390" s="406" t="e">
        <f t="shared" ca="1" si="150"/>
        <v>#N/A</v>
      </c>
      <c r="AD390" s="406" t="e">
        <f t="shared" ca="1" si="150"/>
        <v>#N/A</v>
      </c>
      <c r="AE390" s="406" t="e">
        <f t="shared" ca="1" si="150"/>
        <v>#N/A</v>
      </c>
      <c r="AF390" s="406" t="e">
        <f t="shared" ca="1" si="150"/>
        <v>#N/A</v>
      </c>
      <c r="AG390" s="406" t="e">
        <f t="shared" ca="1" si="150"/>
        <v>#N/A</v>
      </c>
      <c r="AH390" s="406" t="e">
        <f t="shared" ca="1" si="152"/>
        <v>#N/A</v>
      </c>
      <c r="AI390" s="406" t="e">
        <f t="shared" ca="1" si="152"/>
        <v>#N/A</v>
      </c>
      <c r="AJ390" s="406" t="e">
        <f t="shared" ca="1" si="152"/>
        <v>#N/A</v>
      </c>
      <c r="AK390" s="406" t="e">
        <f t="shared" ca="1" si="152"/>
        <v>#N/A</v>
      </c>
      <c r="AL390" s="406" t="e">
        <f t="shared" ca="1" si="152"/>
        <v>#N/A</v>
      </c>
      <c r="AM390" s="406" t="e">
        <f t="shared" ca="1" si="152"/>
        <v>#N/A</v>
      </c>
      <c r="AN390" s="406" t="e">
        <f t="shared" ca="1" si="152"/>
        <v>#N/A</v>
      </c>
      <c r="AO390" s="406" t="e">
        <f t="shared" ca="1" si="152"/>
        <v>#N/A</v>
      </c>
      <c r="AP390" s="406" t="e">
        <f t="shared" ca="1" si="152"/>
        <v>#N/A</v>
      </c>
      <c r="AQ390" s="406" t="e">
        <f t="shared" ca="1" si="152"/>
        <v>#N/A</v>
      </c>
      <c r="AR390" s="406" t="e">
        <f t="shared" ca="1" si="155"/>
        <v>#N/A</v>
      </c>
      <c r="AS390" s="406" t="e">
        <f t="shared" ca="1" si="155"/>
        <v>#N/A</v>
      </c>
      <c r="AT390" s="406" t="e">
        <f t="shared" ca="1" si="155"/>
        <v>#N/A</v>
      </c>
      <c r="AU390" s="406" t="e">
        <f t="shared" ca="1" si="155"/>
        <v>#N/A</v>
      </c>
      <c r="AV390" s="406" t="e">
        <f t="shared" ca="1" si="155"/>
        <v>#N/A</v>
      </c>
      <c r="AW390" s="406" t="e">
        <f t="shared" ca="1" si="155"/>
        <v>#N/A</v>
      </c>
      <c r="AX390" s="406" t="e">
        <f t="shared" ca="1" si="155"/>
        <v>#N/A</v>
      </c>
      <c r="AY390" s="406" t="e">
        <f t="shared" ca="1" si="155"/>
        <v>#N/A</v>
      </c>
      <c r="AZ390" s="406" t="e">
        <f t="shared" ca="1" si="155"/>
        <v>#N/A</v>
      </c>
      <c r="BA390" s="406" t="e">
        <f t="shared" ca="1" si="155"/>
        <v>#N/A</v>
      </c>
      <c r="BB390" s="408"/>
      <c r="BC390" s="408" t="str">
        <f t="shared" ca="1" si="154"/>
        <v/>
      </c>
      <c r="BD390" s="408" t="s">
        <v>1278</v>
      </c>
      <c r="BE390" s="408" t="s">
        <v>1278</v>
      </c>
    </row>
    <row r="391" spans="3:57" x14ac:dyDescent="0.25">
      <c r="C391" s="406">
        <f t="shared" si="156"/>
        <v>389</v>
      </c>
      <c r="D391" s="406" t="e">
        <f t="shared" ca="1" si="153"/>
        <v>#N/A</v>
      </c>
      <c r="E391" s="406" t="e">
        <f t="shared" ca="1" si="153"/>
        <v>#N/A</v>
      </c>
      <c r="F391" s="406" t="e">
        <f t="shared" ca="1" si="153"/>
        <v>#N/A</v>
      </c>
      <c r="G391" s="406" t="e">
        <f t="shared" ca="1" si="153"/>
        <v>#N/A</v>
      </c>
      <c r="H391" s="406" t="e">
        <f t="shared" ca="1" si="153"/>
        <v>#N/A</v>
      </c>
      <c r="I391" s="406" t="e">
        <f t="shared" ca="1" si="153"/>
        <v>#N/A</v>
      </c>
      <c r="J391" s="406" t="e">
        <f t="shared" ca="1" si="153"/>
        <v>#N/A</v>
      </c>
      <c r="K391" s="406" t="e">
        <f t="shared" ca="1" si="153"/>
        <v>#N/A</v>
      </c>
      <c r="L391" s="406" t="e">
        <f t="shared" ca="1" si="153"/>
        <v>#N/A</v>
      </c>
      <c r="M391" s="406" t="e">
        <f t="shared" ca="1" si="153"/>
        <v>#N/A</v>
      </c>
      <c r="N391" s="406" t="e">
        <f t="shared" ca="1" si="151"/>
        <v>#N/A</v>
      </c>
      <c r="O391" s="406" t="e">
        <f t="shared" ca="1" si="151"/>
        <v>#N/A</v>
      </c>
      <c r="P391" s="406" t="e">
        <f t="shared" ca="1" si="151"/>
        <v>#N/A</v>
      </c>
      <c r="Q391" s="406" t="e">
        <f t="shared" ca="1" si="151"/>
        <v>#N/A</v>
      </c>
      <c r="R391" s="406" t="e">
        <f t="shared" ca="1" si="151"/>
        <v>#N/A</v>
      </c>
      <c r="S391" s="406" t="e">
        <f t="shared" ca="1" si="151"/>
        <v>#N/A</v>
      </c>
      <c r="T391" s="406" t="e">
        <f t="shared" ca="1" si="151"/>
        <v>#N/A</v>
      </c>
      <c r="U391" s="406" t="e">
        <f t="shared" ca="1" si="151"/>
        <v>#N/A</v>
      </c>
      <c r="V391" s="406" t="e">
        <f t="shared" ca="1" si="151"/>
        <v>#N/A</v>
      </c>
      <c r="W391" s="406" t="e">
        <f t="shared" ca="1" si="151"/>
        <v>#N/A</v>
      </c>
      <c r="X391" s="406" t="e">
        <f t="shared" ca="1" si="150"/>
        <v>#N/A</v>
      </c>
      <c r="Y391" s="406" t="e">
        <f t="shared" ref="X391:AG416" ca="1" si="157">TRIM(INDIRECT("'" &amp; "TNX RTF" &amp; "'!" &amp; ADDRESS($A$3+$C391,Y$1)))</f>
        <v>#N/A</v>
      </c>
      <c r="Z391" s="406" t="e">
        <f t="shared" ca="1" si="157"/>
        <v>#N/A</v>
      </c>
      <c r="AA391" s="406" t="e">
        <f t="shared" ca="1" si="157"/>
        <v>#N/A</v>
      </c>
      <c r="AB391" s="406" t="e">
        <f t="shared" ca="1" si="157"/>
        <v>#N/A</v>
      </c>
      <c r="AC391" s="406" t="e">
        <f t="shared" ca="1" si="157"/>
        <v>#N/A</v>
      </c>
      <c r="AD391" s="406" t="e">
        <f t="shared" ca="1" si="157"/>
        <v>#N/A</v>
      </c>
      <c r="AE391" s="406" t="e">
        <f t="shared" ca="1" si="157"/>
        <v>#N/A</v>
      </c>
      <c r="AF391" s="406" t="e">
        <f t="shared" ca="1" si="157"/>
        <v>#N/A</v>
      </c>
      <c r="AG391" s="406" t="e">
        <f t="shared" ca="1" si="157"/>
        <v>#N/A</v>
      </c>
      <c r="AH391" s="406" t="e">
        <f t="shared" ca="1" si="152"/>
        <v>#N/A</v>
      </c>
      <c r="AI391" s="406" t="e">
        <f t="shared" ca="1" si="152"/>
        <v>#N/A</v>
      </c>
      <c r="AJ391" s="406" t="e">
        <f t="shared" ca="1" si="152"/>
        <v>#N/A</v>
      </c>
      <c r="AK391" s="406" t="e">
        <f t="shared" ca="1" si="152"/>
        <v>#N/A</v>
      </c>
      <c r="AL391" s="406" t="e">
        <f t="shared" ca="1" si="152"/>
        <v>#N/A</v>
      </c>
      <c r="AM391" s="406" t="e">
        <f t="shared" ca="1" si="152"/>
        <v>#N/A</v>
      </c>
      <c r="AN391" s="406" t="e">
        <f t="shared" ca="1" si="152"/>
        <v>#N/A</v>
      </c>
      <c r="AO391" s="406" t="e">
        <f t="shared" ca="1" si="152"/>
        <v>#N/A</v>
      </c>
      <c r="AP391" s="406" t="e">
        <f t="shared" ca="1" si="152"/>
        <v>#N/A</v>
      </c>
      <c r="AQ391" s="406" t="e">
        <f t="shared" ca="1" si="152"/>
        <v>#N/A</v>
      </c>
      <c r="AR391" s="406" t="e">
        <f t="shared" ca="1" si="155"/>
        <v>#N/A</v>
      </c>
      <c r="AS391" s="406" t="e">
        <f t="shared" ca="1" si="155"/>
        <v>#N/A</v>
      </c>
      <c r="AT391" s="406" t="e">
        <f t="shared" ca="1" si="155"/>
        <v>#N/A</v>
      </c>
      <c r="AU391" s="406" t="e">
        <f t="shared" ca="1" si="155"/>
        <v>#N/A</v>
      </c>
      <c r="AV391" s="406" t="e">
        <f t="shared" ca="1" si="155"/>
        <v>#N/A</v>
      </c>
      <c r="AW391" s="406" t="e">
        <f t="shared" ca="1" si="155"/>
        <v>#N/A</v>
      </c>
      <c r="AX391" s="406" t="e">
        <f t="shared" ca="1" si="155"/>
        <v>#N/A</v>
      </c>
      <c r="AY391" s="406" t="e">
        <f t="shared" ca="1" si="155"/>
        <v>#N/A</v>
      </c>
      <c r="AZ391" s="406" t="e">
        <f t="shared" ca="1" si="155"/>
        <v>#N/A</v>
      </c>
      <c r="BA391" s="406" t="e">
        <f t="shared" ca="1" si="155"/>
        <v>#N/A</v>
      </c>
      <c r="BB391" s="408"/>
      <c r="BC391" s="408" t="str">
        <f t="shared" ca="1" si="154"/>
        <v/>
      </c>
      <c r="BD391" s="408" t="s">
        <v>1278</v>
      </c>
      <c r="BE391" s="408" t="s">
        <v>1278</v>
      </c>
    </row>
    <row r="392" spans="3:57" ht="15" customHeight="1" x14ac:dyDescent="0.25">
      <c r="C392" s="406">
        <f t="shared" si="156"/>
        <v>390</v>
      </c>
      <c r="D392" s="406" t="e">
        <f t="shared" ca="1" si="153"/>
        <v>#N/A</v>
      </c>
      <c r="E392" s="406" t="e">
        <f t="shared" ca="1" si="153"/>
        <v>#N/A</v>
      </c>
      <c r="F392" s="406" t="e">
        <f t="shared" ca="1" si="153"/>
        <v>#N/A</v>
      </c>
      <c r="G392" s="406" t="e">
        <f t="shared" ca="1" si="153"/>
        <v>#N/A</v>
      </c>
      <c r="H392" s="406" t="e">
        <f t="shared" ca="1" si="153"/>
        <v>#N/A</v>
      </c>
      <c r="I392" s="406" t="e">
        <f t="shared" ca="1" si="153"/>
        <v>#N/A</v>
      </c>
      <c r="J392" s="406" t="e">
        <f t="shared" ca="1" si="153"/>
        <v>#N/A</v>
      </c>
      <c r="K392" s="406" t="e">
        <f t="shared" ca="1" si="153"/>
        <v>#N/A</v>
      </c>
      <c r="L392" s="406" t="e">
        <f t="shared" ca="1" si="153"/>
        <v>#N/A</v>
      </c>
      <c r="M392" s="406" t="e">
        <f t="shared" ca="1" si="153"/>
        <v>#N/A</v>
      </c>
      <c r="N392" s="406" t="e">
        <f t="shared" ca="1" si="151"/>
        <v>#N/A</v>
      </c>
      <c r="O392" s="406" t="e">
        <f t="shared" ca="1" si="151"/>
        <v>#N/A</v>
      </c>
      <c r="P392" s="406" t="e">
        <f t="shared" ca="1" si="151"/>
        <v>#N/A</v>
      </c>
      <c r="Q392" s="406" t="e">
        <f t="shared" ca="1" si="151"/>
        <v>#N/A</v>
      </c>
      <c r="R392" s="406" t="e">
        <f t="shared" ca="1" si="151"/>
        <v>#N/A</v>
      </c>
      <c r="S392" s="406" t="e">
        <f t="shared" ca="1" si="151"/>
        <v>#N/A</v>
      </c>
      <c r="T392" s="406" t="e">
        <f t="shared" ca="1" si="151"/>
        <v>#N/A</v>
      </c>
      <c r="U392" s="406" t="e">
        <f t="shared" ca="1" si="151"/>
        <v>#N/A</v>
      </c>
      <c r="V392" s="406" t="e">
        <f t="shared" ca="1" si="151"/>
        <v>#N/A</v>
      </c>
      <c r="W392" s="406" t="e">
        <f t="shared" ca="1" si="151"/>
        <v>#N/A</v>
      </c>
      <c r="X392" s="406" t="e">
        <f t="shared" ca="1" si="157"/>
        <v>#N/A</v>
      </c>
      <c r="Y392" s="406" t="e">
        <f t="shared" ca="1" si="157"/>
        <v>#N/A</v>
      </c>
      <c r="Z392" s="406" t="e">
        <f t="shared" ca="1" si="157"/>
        <v>#N/A</v>
      </c>
      <c r="AA392" s="406" t="e">
        <f t="shared" ca="1" si="157"/>
        <v>#N/A</v>
      </c>
      <c r="AB392" s="406" t="e">
        <f t="shared" ca="1" si="157"/>
        <v>#N/A</v>
      </c>
      <c r="AC392" s="406" t="e">
        <f t="shared" ca="1" si="157"/>
        <v>#N/A</v>
      </c>
      <c r="AD392" s="406" t="e">
        <f t="shared" ca="1" si="157"/>
        <v>#N/A</v>
      </c>
      <c r="AE392" s="406" t="e">
        <f t="shared" ca="1" si="157"/>
        <v>#N/A</v>
      </c>
      <c r="AF392" s="406" t="e">
        <f t="shared" ca="1" si="157"/>
        <v>#N/A</v>
      </c>
      <c r="AG392" s="406" t="e">
        <f t="shared" ca="1" si="157"/>
        <v>#N/A</v>
      </c>
      <c r="AH392" s="406" t="e">
        <f t="shared" ca="1" si="152"/>
        <v>#N/A</v>
      </c>
      <c r="AI392" s="406" t="e">
        <f t="shared" ca="1" si="152"/>
        <v>#N/A</v>
      </c>
      <c r="AJ392" s="406" t="e">
        <f t="shared" ca="1" si="152"/>
        <v>#N/A</v>
      </c>
      <c r="AK392" s="406" t="e">
        <f t="shared" ca="1" si="152"/>
        <v>#N/A</v>
      </c>
      <c r="AL392" s="406" t="e">
        <f t="shared" ca="1" si="152"/>
        <v>#N/A</v>
      </c>
      <c r="AM392" s="406" t="e">
        <f t="shared" ca="1" si="152"/>
        <v>#N/A</v>
      </c>
      <c r="AN392" s="406" t="e">
        <f t="shared" ca="1" si="152"/>
        <v>#N/A</v>
      </c>
      <c r="AO392" s="406" t="e">
        <f t="shared" ca="1" si="152"/>
        <v>#N/A</v>
      </c>
      <c r="AP392" s="406" t="e">
        <f t="shared" ca="1" si="152"/>
        <v>#N/A</v>
      </c>
      <c r="AQ392" s="406" t="e">
        <f t="shared" ca="1" si="152"/>
        <v>#N/A</v>
      </c>
      <c r="AR392" s="406" t="e">
        <f t="shared" ca="1" si="155"/>
        <v>#N/A</v>
      </c>
      <c r="AS392" s="406" t="e">
        <f t="shared" ca="1" si="155"/>
        <v>#N/A</v>
      </c>
      <c r="AT392" s="406" t="e">
        <f t="shared" ca="1" si="155"/>
        <v>#N/A</v>
      </c>
      <c r="AU392" s="406" t="e">
        <f t="shared" ca="1" si="155"/>
        <v>#N/A</v>
      </c>
      <c r="AV392" s="406" t="e">
        <f t="shared" ca="1" si="155"/>
        <v>#N/A</v>
      </c>
      <c r="AW392" s="406" t="e">
        <f t="shared" ca="1" si="155"/>
        <v>#N/A</v>
      </c>
      <c r="AX392" s="406" t="e">
        <f t="shared" ca="1" si="155"/>
        <v>#N/A</v>
      </c>
      <c r="AY392" s="406" t="e">
        <f t="shared" ca="1" si="155"/>
        <v>#N/A</v>
      </c>
      <c r="AZ392" s="406" t="e">
        <f t="shared" ca="1" si="155"/>
        <v>#N/A</v>
      </c>
      <c r="BA392" s="406" t="e">
        <f t="shared" ca="1" si="155"/>
        <v>#N/A</v>
      </c>
      <c r="BB392" s="408"/>
      <c r="BC392" s="408" t="str">
        <f t="shared" ca="1" si="154"/>
        <v/>
      </c>
      <c r="BD392" s="408" t="s">
        <v>1278</v>
      </c>
      <c r="BE392" s="408" t="s">
        <v>1278</v>
      </c>
    </row>
    <row r="393" spans="3:57" x14ac:dyDescent="0.25">
      <c r="C393" s="406">
        <f t="shared" si="156"/>
        <v>391</v>
      </c>
      <c r="D393" s="406" t="e">
        <f t="shared" ca="1" si="153"/>
        <v>#N/A</v>
      </c>
      <c r="E393" s="406" t="e">
        <f t="shared" ca="1" si="153"/>
        <v>#N/A</v>
      </c>
      <c r="F393" s="406" t="e">
        <f t="shared" ca="1" si="153"/>
        <v>#N/A</v>
      </c>
      <c r="G393" s="406" t="e">
        <f t="shared" ca="1" si="153"/>
        <v>#N/A</v>
      </c>
      <c r="H393" s="406" t="e">
        <f t="shared" ca="1" si="153"/>
        <v>#N/A</v>
      </c>
      <c r="I393" s="406" t="e">
        <f t="shared" ca="1" si="153"/>
        <v>#N/A</v>
      </c>
      <c r="J393" s="406" t="e">
        <f t="shared" ca="1" si="153"/>
        <v>#N/A</v>
      </c>
      <c r="K393" s="406" t="e">
        <f t="shared" ca="1" si="153"/>
        <v>#N/A</v>
      </c>
      <c r="L393" s="406" t="e">
        <f t="shared" ca="1" si="153"/>
        <v>#N/A</v>
      </c>
      <c r="M393" s="406" t="e">
        <f t="shared" ca="1" si="153"/>
        <v>#N/A</v>
      </c>
      <c r="N393" s="406" t="e">
        <f t="shared" ca="1" si="151"/>
        <v>#N/A</v>
      </c>
      <c r="O393" s="406" t="e">
        <f t="shared" ca="1" si="151"/>
        <v>#N/A</v>
      </c>
      <c r="P393" s="406" t="e">
        <f t="shared" ca="1" si="151"/>
        <v>#N/A</v>
      </c>
      <c r="Q393" s="406" t="e">
        <f t="shared" ca="1" si="151"/>
        <v>#N/A</v>
      </c>
      <c r="R393" s="406" t="e">
        <f t="shared" ca="1" si="151"/>
        <v>#N/A</v>
      </c>
      <c r="S393" s="406" t="e">
        <f t="shared" ca="1" si="151"/>
        <v>#N/A</v>
      </c>
      <c r="T393" s="406" t="e">
        <f t="shared" ca="1" si="151"/>
        <v>#N/A</v>
      </c>
      <c r="U393" s="406" t="e">
        <f t="shared" ca="1" si="151"/>
        <v>#N/A</v>
      </c>
      <c r="V393" s="406" t="e">
        <f t="shared" ca="1" si="151"/>
        <v>#N/A</v>
      </c>
      <c r="W393" s="406" t="e">
        <f t="shared" ca="1" si="151"/>
        <v>#N/A</v>
      </c>
      <c r="X393" s="406" t="e">
        <f t="shared" ca="1" si="157"/>
        <v>#N/A</v>
      </c>
      <c r="Y393" s="406" t="e">
        <f t="shared" ca="1" si="157"/>
        <v>#N/A</v>
      </c>
      <c r="Z393" s="406" t="e">
        <f t="shared" ca="1" si="157"/>
        <v>#N/A</v>
      </c>
      <c r="AA393" s="406" t="e">
        <f t="shared" ca="1" si="157"/>
        <v>#N/A</v>
      </c>
      <c r="AB393" s="406" t="e">
        <f t="shared" ca="1" si="157"/>
        <v>#N/A</v>
      </c>
      <c r="AC393" s="406" t="e">
        <f t="shared" ca="1" si="157"/>
        <v>#N/A</v>
      </c>
      <c r="AD393" s="406" t="e">
        <f t="shared" ca="1" si="157"/>
        <v>#N/A</v>
      </c>
      <c r="AE393" s="406" t="e">
        <f t="shared" ca="1" si="157"/>
        <v>#N/A</v>
      </c>
      <c r="AF393" s="406" t="e">
        <f t="shared" ca="1" si="157"/>
        <v>#N/A</v>
      </c>
      <c r="AG393" s="406" t="e">
        <f t="shared" ca="1" si="157"/>
        <v>#N/A</v>
      </c>
      <c r="AH393" s="406" t="e">
        <f t="shared" ca="1" si="152"/>
        <v>#N/A</v>
      </c>
      <c r="AI393" s="406" t="e">
        <f t="shared" ca="1" si="152"/>
        <v>#N/A</v>
      </c>
      <c r="AJ393" s="406" t="e">
        <f t="shared" ca="1" si="152"/>
        <v>#N/A</v>
      </c>
      <c r="AK393" s="406" t="e">
        <f t="shared" ca="1" si="152"/>
        <v>#N/A</v>
      </c>
      <c r="AL393" s="406" t="e">
        <f t="shared" ca="1" si="152"/>
        <v>#N/A</v>
      </c>
      <c r="AM393" s="406" t="e">
        <f t="shared" ca="1" si="152"/>
        <v>#N/A</v>
      </c>
      <c r="AN393" s="406" t="e">
        <f t="shared" ca="1" si="152"/>
        <v>#N/A</v>
      </c>
      <c r="AO393" s="406" t="e">
        <f t="shared" ca="1" si="152"/>
        <v>#N/A</v>
      </c>
      <c r="AP393" s="406" t="e">
        <f t="shared" ca="1" si="152"/>
        <v>#N/A</v>
      </c>
      <c r="AQ393" s="406" t="e">
        <f t="shared" ca="1" si="152"/>
        <v>#N/A</v>
      </c>
      <c r="AR393" s="406" t="e">
        <f t="shared" ca="1" si="155"/>
        <v>#N/A</v>
      </c>
      <c r="AS393" s="406" t="e">
        <f t="shared" ca="1" si="155"/>
        <v>#N/A</v>
      </c>
      <c r="AT393" s="406" t="e">
        <f t="shared" ca="1" si="155"/>
        <v>#N/A</v>
      </c>
      <c r="AU393" s="406" t="e">
        <f t="shared" ca="1" si="155"/>
        <v>#N/A</v>
      </c>
      <c r="AV393" s="406" t="e">
        <f t="shared" ca="1" si="155"/>
        <v>#N/A</v>
      </c>
      <c r="AW393" s="406" t="e">
        <f t="shared" ca="1" si="155"/>
        <v>#N/A</v>
      </c>
      <c r="AX393" s="406" t="e">
        <f t="shared" ca="1" si="155"/>
        <v>#N/A</v>
      </c>
      <c r="AY393" s="406" t="e">
        <f t="shared" ca="1" si="155"/>
        <v>#N/A</v>
      </c>
      <c r="AZ393" s="406" t="e">
        <f t="shared" ca="1" si="155"/>
        <v>#N/A</v>
      </c>
      <c r="BA393" s="406" t="e">
        <f t="shared" ca="1" si="155"/>
        <v>#N/A</v>
      </c>
      <c r="BB393" s="408"/>
      <c r="BC393" s="408" t="str">
        <f t="shared" ca="1" si="154"/>
        <v/>
      </c>
      <c r="BD393" s="408" t="s">
        <v>1278</v>
      </c>
      <c r="BE393" s="408" t="s">
        <v>1278</v>
      </c>
    </row>
    <row r="394" spans="3:57" x14ac:dyDescent="0.25">
      <c r="C394" s="406">
        <f t="shared" si="156"/>
        <v>392</v>
      </c>
      <c r="D394" s="406" t="e">
        <f t="shared" ca="1" si="153"/>
        <v>#N/A</v>
      </c>
      <c r="E394" s="406" t="e">
        <f t="shared" ca="1" si="153"/>
        <v>#N/A</v>
      </c>
      <c r="F394" s="406" t="e">
        <f t="shared" ca="1" si="153"/>
        <v>#N/A</v>
      </c>
      <c r="G394" s="406" t="e">
        <f t="shared" ca="1" si="153"/>
        <v>#N/A</v>
      </c>
      <c r="H394" s="406" t="e">
        <f t="shared" ca="1" si="153"/>
        <v>#N/A</v>
      </c>
      <c r="I394" s="406" t="e">
        <f t="shared" ca="1" si="153"/>
        <v>#N/A</v>
      </c>
      <c r="J394" s="406" t="e">
        <f t="shared" ca="1" si="153"/>
        <v>#N/A</v>
      </c>
      <c r="K394" s="406" t="e">
        <f t="shared" ca="1" si="153"/>
        <v>#N/A</v>
      </c>
      <c r="L394" s="406" t="e">
        <f t="shared" ca="1" si="153"/>
        <v>#N/A</v>
      </c>
      <c r="M394" s="406" t="e">
        <f t="shared" ca="1" si="153"/>
        <v>#N/A</v>
      </c>
      <c r="N394" s="406" t="e">
        <f t="shared" ca="1" si="151"/>
        <v>#N/A</v>
      </c>
      <c r="O394" s="406" t="e">
        <f t="shared" ca="1" si="151"/>
        <v>#N/A</v>
      </c>
      <c r="P394" s="406" t="e">
        <f t="shared" ca="1" si="151"/>
        <v>#N/A</v>
      </c>
      <c r="Q394" s="406" t="e">
        <f t="shared" ca="1" si="151"/>
        <v>#N/A</v>
      </c>
      <c r="R394" s="406" t="e">
        <f t="shared" ca="1" si="151"/>
        <v>#N/A</v>
      </c>
      <c r="S394" s="406" t="e">
        <f t="shared" ca="1" si="151"/>
        <v>#N/A</v>
      </c>
      <c r="T394" s="406" t="e">
        <f t="shared" ca="1" si="151"/>
        <v>#N/A</v>
      </c>
      <c r="U394" s="406" t="e">
        <f t="shared" ca="1" si="151"/>
        <v>#N/A</v>
      </c>
      <c r="V394" s="406" t="e">
        <f t="shared" ca="1" si="151"/>
        <v>#N/A</v>
      </c>
      <c r="W394" s="406" t="e">
        <f t="shared" ca="1" si="151"/>
        <v>#N/A</v>
      </c>
      <c r="X394" s="406" t="e">
        <f t="shared" ca="1" si="157"/>
        <v>#N/A</v>
      </c>
      <c r="Y394" s="406" t="e">
        <f t="shared" ca="1" si="157"/>
        <v>#N/A</v>
      </c>
      <c r="Z394" s="406" t="e">
        <f t="shared" ca="1" si="157"/>
        <v>#N/A</v>
      </c>
      <c r="AA394" s="406" t="e">
        <f t="shared" ca="1" si="157"/>
        <v>#N/A</v>
      </c>
      <c r="AB394" s="406" t="e">
        <f t="shared" ca="1" si="157"/>
        <v>#N/A</v>
      </c>
      <c r="AC394" s="406" t="e">
        <f t="shared" ca="1" si="157"/>
        <v>#N/A</v>
      </c>
      <c r="AD394" s="406" t="e">
        <f t="shared" ca="1" si="157"/>
        <v>#N/A</v>
      </c>
      <c r="AE394" s="406" t="e">
        <f t="shared" ca="1" si="157"/>
        <v>#N/A</v>
      </c>
      <c r="AF394" s="406" t="e">
        <f t="shared" ca="1" si="157"/>
        <v>#N/A</v>
      </c>
      <c r="AG394" s="406" t="e">
        <f t="shared" ca="1" si="157"/>
        <v>#N/A</v>
      </c>
      <c r="AH394" s="406" t="e">
        <f t="shared" ca="1" si="152"/>
        <v>#N/A</v>
      </c>
      <c r="AI394" s="406" t="e">
        <f t="shared" ca="1" si="152"/>
        <v>#N/A</v>
      </c>
      <c r="AJ394" s="406" t="e">
        <f t="shared" ca="1" si="152"/>
        <v>#N/A</v>
      </c>
      <c r="AK394" s="406" t="e">
        <f t="shared" ca="1" si="152"/>
        <v>#N/A</v>
      </c>
      <c r="AL394" s="406" t="e">
        <f t="shared" ca="1" si="152"/>
        <v>#N/A</v>
      </c>
      <c r="AM394" s="406" t="e">
        <f t="shared" ca="1" si="152"/>
        <v>#N/A</v>
      </c>
      <c r="AN394" s="406" t="e">
        <f t="shared" ca="1" si="152"/>
        <v>#N/A</v>
      </c>
      <c r="AO394" s="406" t="e">
        <f t="shared" ca="1" si="152"/>
        <v>#N/A</v>
      </c>
      <c r="AP394" s="406" t="e">
        <f t="shared" ca="1" si="152"/>
        <v>#N/A</v>
      </c>
      <c r="AQ394" s="406" t="e">
        <f t="shared" ca="1" si="152"/>
        <v>#N/A</v>
      </c>
      <c r="AR394" s="406" t="e">
        <f t="shared" ca="1" si="155"/>
        <v>#N/A</v>
      </c>
      <c r="AS394" s="406" t="e">
        <f t="shared" ca="1" si="155"/>
        <v>#N/A</v>
      </c>
      <c r="AT394" s="406" t="e">
        <f t="shared" ca="1" si="155"/>
        <v>#N/A</v>
      </c>
      <c r="AU394" s="406" t="e">
        <f t="shared" ca="1" si="155"/>
        <v>#N/A</v>
      </c>
      <c r="AV394" s="406" t="e">
        <f t="shared" ca="1" si="155"/>
        <v>#N/A</v>
      </c>
      <c r="AW394" s="406" t="e">
        <f t="shared" ca="1" si="155"/>
        <v>#N/A</v>
      </c>
      <c r="AX394" s="406" t="e">
        <f t="shared" ca="1" si="155"/>
        <v>#N/A</v>
      </c>
      <c r="AY394" s="406" t="e">
        <f t="shared" ca="1" si="155"/>
        <v>#N/A</v>
      </c>
      <c r="AZ394" s="406" t="e">
        <f t="shared" ca="1" si="155"/>
        <v>#N/A</v>
      </c>
      <c r="BA394" s="406" t="e">
        <f t="shared" ca="1" si="155"/>
        <v>#N/A</v>
      </c>
      <c r="BB394" s="408"/>
      <c r="BC394" s="408" t="str">
        <f t="shared" ca="1" si="154"/>
        <v/>
      </c>
      <c r="BD394" s="408" t="s">
        <v>1278</v>
      </c>
      <c r="BE394" s="408" t="s">
        <v>1278</v>
      </c>
    </row>
    <row r="395" spans="3:57" ht="15" customHeight="1" x14ac:dyDescent="0.25">
      <c r="C395" s="406">
        <f t="shared" si="156"/>
        <v>393</v>
      </c>
      <c r="D395" s="406" t="e">
        <f t="shared" ca="1" si="153"/>
        <v>#N/A</v>
      </c>
      <c r="E395" s="406" t="e">
        <f t="shared" ca="1" si="153"/>
        <v>#N/A</v>
      </c>
      <c r="F395" s="406" t="e">
        <f t="shared" ca="1" si="153"/>
        <v>#N/A</v>
      </c>
      <c r="G395" s="406" t="e">
        <f t="shared" ca="1" si="153"/>
        <v>#N/A</v>
      </c>
      <c r="H395" s="406" t="e">
        <f t="shared" ca="1" si="153"/>
        <v>#N/A</v>
      </c>
      <c r="I395" s="406" t="e">
        <f t="shared" ca="1" si="153"/>
        <v>#N/A</v>
      </c>
      <c r="J395" s="406" t="e">
        <f t="shared" ca="1" si="153"/>
        <v>#N/A</v>
      </c>
      <c r="K395" s="406" t="e">
        <f t="shared" ca="1" si="153"/>
        <v>#N/A</v>
      </c>
      <c r="L395" s="406" t="e">
        <f t="shared" ca="1" si="153"/>
        <v>#N/A</v>
      </c>
      <c r="M395" s="406" t="e">
        <f t="shared" ca="1" si="153"/>
        <v>#N/A</v>
      </c>
      <c r="N395" s="406" t="e">
        <f t="shared" ca="1" si="151"/>
        <v>#N/A</v>
      </c>
      <c r="O395" s="406" t="e">
        <f t="shared" ca="1" si="151"/>
        <v>#N/A</v>
      </c>
      <c r="P395" s="406" t="e">
        <f t="shared" ca="1" si="151"/>
        <v>#N/A</v>
      </c>
      <c r="Q395" s="406" t="e">
        <f t="shared" ca="1" si="151"/>
        <v>#N/A</v>
      </c>
      <c r="R395" s="406" t="e">
        <f t="shared" ca="1" si="151"/>
        <v>#N/A</v>
      </c>
      <c r="S395" s="406" t="e">
        <f t="shared" ca="1" si="151"/>
        <v>#N/A</v>
      </c>
      <c r="T395" s="406" t="e">
        <f t="shared" ca="1" si="151"/>
        <v>#N/A</v>
      </c>
      <c r="U395" s="406" t="e">
        <f t="shared" ca="1" si="151"/>
        <v>#N/A</v>
      </c>
      <c r="V395" s="406" t="e">
        <f t="shared" ca="1" si="151"/>
        <v>#N/A</v>
      </c>
      <c r="W395" s="406" t="e">
        <f t="shared" ca="1" si="151"/>
        <v>#N/A</v>
      </c>
      <c r="X395" s="406" t="e">
        <f t="shared" ca="1" si="157"/>
        <v>#N/A</v>
      </c>
      <c r="Y395" s="406" t="e">
        <f t="shared" ca="1" si="157"/>
        <v>#N/A</v>
      </c>
      <c r="Z395" s="406" t="e">
        <f t="shared" ca="1" si="157"/>
        <v>#N/A</v>
      </c>
      <c r="AA395" s="406" t="e">
        <f t="shared" ca="1" si="157"/>
        <v>#N/A</v>
      </c>
      <c r="AB395" s="406" t="e">
        <f t="shared" ca="1" si="157"/>
        <v>#N/A</v>
      </c>
      <c r="AC395" s="406" t="e">
        <f t="shared" ca="1" si="157"/>
        <v>#N/A</v>
      </c>
      <c r="AD395" s="406" t="e">
        <f t="shared" ca="1" si="157"/>
        <v>#N/A</v>
      </c>
      <c r="AE395" s="406" t="e">
        <f t="shared" ca="1" si="157"/>
        <v>#N/A</v>
      </c>
      <c r="AF395" s="406" t="e">
        <f t="shared" ca="1" si="157"/>
        <v>#N/A</v>
      </c>
      <c r="AG395" s="406" t="e">
        <f t="shared" ca="1" si="157"/>
        <v>#N/A</v>
      </c>
      <c r="AH395" s="406" t="e">
        <f t="shared" ca="1" si="152"/>
        <v>#N/A</v>
      </c>
      <c r="AI395" s="406" t="e">
        <f t="shared" ca="1" si="152"/>
        <v>#N/A</v>
      </c>
      <c r="AJ395" s="406" t="e">
        <f t="shared" ca="1" si="152"/>
        <v>#N/A</v>
      </c>
      <c r="AK395" s="406" t="e">
        <f t="shared" ca="1" si="152"/>
        <v>#N/A</v>
      </c>
      <c r="AL395" s="406" t="e">
        <f t="shared" ca="1" si="152"/>
        <v>#N/A</v>
      </c>
      <c r="AM395" s="406" t="e">
        <f t="shared" ca="1" si="152"/>
        <v>#N/A</v>
      </c>
      <c r="AN395" s="406" t="e">
        <f t="shared" ca="1" si="152"/>
        <v>#N/A</v>
      </c>
      <c r="AO395" s="406" t="e">
        <f t="shared" ca="1" si="152"/>
        <v>#N/A</v>
      </c>
      <c r="AP395" s="406" t="e">
        <f t="shared" ca="1" si="152"/>
        <v>#N/A</v>
      </c>
      <c r="AQ395" s="406" t="e">
        <f t="shared" ca="1" si="152"/>
        <v>#N/A</v>
      </c>
      <c r="AR395" s="406" t="e">
        <f t="shared" ca="1" si="155"/>
        <v>#N/A</v>
      </c>
      <c r="AS395" s="406" t="e">
        <f t="shared" ca="1" si="155"/>
        <v>#N/A</v>
      </c>
      <c r="AT395" s="406" t="e">
        <f t="shared" ca="1" si="155"/>
        <v>#N/A</v>
      </c>
      <c r="AU395" s="406" t="e">
        <f t="shared" ca="1" si="155"/>
        <v>#N/A</v>
      </c>
      <c r="AV395" s="406" t="e">
        <f t="shared" ca="1" si="155"/>
        <v>#N/A</v>
      </c>
      <c r="AW395" s="406" t="e">
        <f t="shared" ca="1" si="155"/>
        <v>#N/A</v>
      </c>
      <c r="AX395" s="406" t="e">
        <f t="shared" ca="1" si="155"/>
        <v>#N/A</v>
      </c>
      <c r="AY395" s="406" t="e">
        <f t="shared" ca="1" si="155"/>
        <v>#N/A</v>
      </c>
      <c r="AZ395" s="406" t="e">
        <f t="shared" ca="1" si="155"/>
        <v>#N/A</v>
      </c>
      <c r="BA395" s="406" t="e">
        <f t="shared" ca="1" si="155"/>
        <v>#N/A</v>
      </c>
      <c r="BB395" s="408"/>
      <c r="BC395" s="408" t="str">
        <f t="shared" ca="1" si="154"/>
        <v/>
      </c>
      <c r="BD395" s="408" t="s">
        <v>1278</v>
      </c>
      <c r="BE395" s="408" t="s">
        <v>1278</v>
      </c>
    </row>
    <row r="396" spans="3:57" x14ac:dyDescent="0.25">
      <c r="C396" s="406">
        <f t="shared" si="156"/>
        <v>394</v>
      </c>
      <c r="D396" s="406" t="e">
        <f t="shared" ca="1" si="153"/>
        <v>#N/A</v>
      </c>
      <c r="E396" s="406" t="e">
        <f t="shared" ca="1" si="153"/>
        <v>#N/A</v>
      </c>
      <c r="F396" s="406" t="e">
        <f t="shared" ca="1" si="153"/>
        <v>#N/A</v>
      </c>
      <c r="G396" s="406" t="e">
        <f t="shared" ca="1" si="153"/>
        <v>#N/A</v>
      </c>
      <c r="H396" s="406" t="e">
        <f t="shared" ca="1" si="153"/>
        <v>#N/A</v>
      </c>
      <c r="I396" s="406" t="e">
        <f t="shared" ca="1" si="153"/>
        <v>#N/A</v>
      </c>
      <c r="J396" s="406" t="e">
        <f t="shared" ca="1" si="153"/>
        <v>#N/A</v>
      </c>
      <c r="K396" s="406" t="e">
        <f t="shared" ca="1" si="153"/>
        <v>#N/A</v>
      </c>
      <c r="L396" s="406" t="e">
        <f t="shared" ca="1" si="153"/>
        <v>#N/A</v>
      </c>
      <c r="M396" s="406" t="e">
        <f t="shared" ca="1" si="153"/>
        <v>#N/A</v>
      </c>
      <c r="N396" s="406" t="e">
        <f t="shared" ca="1" si="151"/>
        <v>#N/A</v>
      </c>
      <c r="O396" s="406" t="e">
        <f t="shared" ca="1" si="151"/>
        <v>#N/A</v>
      </c>
      <c r="P396" s="406" t="e">
        <f t="shared" ca="1" si="151"/>
        <v>#N/A</v>
      </c>
      <c r="Q396" s="406" t="e">
        <f t="shared" ca="1" si="151"/>
        <v>#N/A</v>
      </c>
      <c r="R396" s="406" t="e">
        <f t="shared" ca="1" si="151"/>
        <v>#N/A</v>
      </c>
      <c r="S396" s="406" t="e">
        <f t="shared" ca="1" si="151"/>
        <v>#N/A</v>
      </c>
      <c r="T396" s="406" t="e">
        <f t="shared" ca="1" si="151"/>
        <v>#N/A</v>
      </c>
      <c r="U396" s="406" t="e">
        <f t="shared" ca="1" si="151"/>
        <v>#N/A</v>
      </c>
      <c r="V396" s="406" t="e">
        <f t="shared" ca="1" si="151"/>
        <v>#N/A</v>
      </c>
      <c r="W396" s="406" t="e">
        <f t="shared" ca="1" si="151"/>
        <v>#N/A</v>
      </c>
      <c r="X396" s="406" t="e">
        <f t="shared" ca="1" si="157"/>
        <v>#N/A</v>
      </c>
      <c r="Y396" s="406" t="e">
        <f t="shared" ca="1" si="157"/>
        <v>#N/A</v>
      </c>
      <c r="Z396" s="406" t="e">
        <f t="shared" ca="1" si="157"/>
        <v>#N/A</v>
      </c>
      <c r="AA396" s="406" t="e">
        <f t="shared" ca="1" si="157"/>
        <v>#N/A</v>
      </c>
      <c r="AB396" s="406" t="e">
        <f t="shared" ca="1" si="157"/>
        <v>#N/A</v>
      </c>
      <c r="AC396" s="406" t="e">
        <f t="shared" ca="1" si="157"/>
        <v>#N/A</v>
      </c>
      <c r="AD396" s="406" t="e">
        <f t="shared" ca="1" si="157"/>
        <v>#N/A</v>
      </c>
      <c r="AE396" s="406" t="e">
        <f t="shared" ca="1" si="157"/>
        <v>#N/A</v>
      </c>
      <c r="AF396" s="406" t="e">
        <f t="shared" ca="1" si="157"/>
        <v>#N/A</v>
      </c>
      <c r="AG396" s="406" t="e">
        <f t="shared" ca="1" si="157"/>
        <v>#N/A</v>
      </c>
      <c r="AH396" s="406" t="e">
        <f t="shared" ca="1" si="152"/>
        <v>#N/A</v>
      </c>
      <c r="AI396" s="406" t="e">
        <f t="shared" ca="1" si="152"/>
        <v>#N/A</v>
      </c>
      <c r="AJ396" s="406" t="e">
        <f t="shared" ca="1" si="152"/>
        <v>#N/A</v>
      </c>
      <c r="AK396" s="406" t="e">
        <f t="shared" ca="1" si="152"/>
        <v>#N/A</v>
      </c>
      <c r="AL396" s="406" t="e">
        <f t="shared" ca="1" si="152"/>
        <v>#N/A</v>
      </c>
      <c r="AM396" s="406" t="e">
        <f t="shared" ca="1" si="152"/>
        <v>#N/A</v>
      </c>
      <c r="AN396" s="406" t="e">
        <f t="shared" ca="1" si="152"/>
        <v>#N/A</v>
      </c>
      <c r="AO396" s="406" t="e">
        <f t="shared" ca="1" si="152"/>
        <v>#N/A</v>
      </c>
      <c r="AP396" s="406" t="e">
        <f t="shared" ca="1" si="152"/>
        <v>#N/A</v>
      </c>
      <c r="AQ396" s="406" t="e">
        <f t="shared" ca="1" si="152"/>
        <v>#N/A</v>
      </c>
      <c r="AR396" s="406" t="e">
        <f t="shared" ca="1" si="155"/>
        <v>#N/A</v>
      </c>
      <c r="AS396" s="406" t="e">
        <f t="shared" ca="1" si="155"/>
        <v>#N/A</v>
      </c>
      <c r="AT396" s="406" t="e">
        <f t="shared" ca="1" si="155"/>
        <v>#N/A</v>
      </c>
      <c r="AU396" s="406" t="e">
        <f t="shared" ca="1" si="155"/>
        <v>#N/A</v>
      </c>
      <c r="AV396" s="406" t="e">
        <f t="shared" ca="1" si="155"/>
        <v>#N/A</v>
      </c>
      <c r="AW396" s="406" t="e">
        <f t="shared" ca="1" si="155"/>
        <v>#N/A</v>
      </c>
      <c r="AX396" s="406" t="e">
        <f t="shared" ca="1" si="155"/>
        <v>#N/A</v>
      </c>
      <c r="AY396" s="406" t="e">
        <f t="shared" ca="1" si="155"/>
        <v>#N/A</v>
      </c>
      <c r="AZ396" s="406" t="e">
        <f t="shared" ca="1" si="155"/>
        <v>#N/A</v>
      </c>
      <c r="BA396" s="406" t="e">
        <f t="shared" ca="1" si="155"/>
        <v>#N/A</v>
      </c>
      <c r="BB396" s="408"/>
      <c r="BC396" s="408" t="str">
        <f t="shared" ca="1" si="154"/>
        <v/>
      </c>
      <c r="BD396" s="408" t="s">
        <v>1278</v>
      </c>
      <c r="BE396" s="408" t="s">
        <v>1278</v>
      </c>
    </row>
    <row r="397" spans="3:57" x14ac:dyDescent="0.25">
      <c r="C397" s="406">
        <f t="shared" si="156"/>
        <v>395</v>
      </c>
      <c r="D397" s="406" t="e">
        <f t="shared" ca="1" si="153"/>
        <v>#N/A</v>
      </c>
      <c r="E397" s="406" t="e">
        <f t="shared" ca="1" si="153"/>
        <v>#N/A</v>
      </c>
      <c r="F397" s="406" t="e">
        <f t="shared" ca="1" si="153"/>
        <v>#N/A</v>
      </c>
      <c r="G397" s="406" t="e">
        <f t="shared" ca="1" si="153"/>
        <v>#N/A</v>
      </c>
      <c r="H397" s="406" t="e">
        <f t="shared" ca="1" si="153"/>
        <v>#N/A</v>
      </c>
      <c r="I397" s="406" t="e">
        <f t="shared" ca="1" si="153"/>
        <v>#N/A</v>
      </c>
      <c r="J397" s="406" t="e">
        <f t="shared" ca="1" si="153"/>
        <v>#N/A</v>
      </c>
      <c r="K397" s="406" t="e">
        <f t="shared" ca="1" si="153"/>
        <v>#N/A</v>
      </c>
      <c r="L397" s="406" t="e">
        <f t="shared" ca="1" si="153"/>
        <v>#N/A</v>
      </c>
      <c r="M397" s="406" t="e">
        <f t="shared" ca="1" si="153"/>
        <v>#N/A</v>
      </c>
      <c r="N397" s="406" t="e">
        <f t="shared" ca="1" si="151"/>
        <v>#N/A</v>
      </c>
      <c r="O397" s="406" t="e">
        <f t="shared" ca="1" si="151"/>
        <v>#N/A</v>
      </c>
      <c r="P397" s="406" t="e">
        <f t="shared" ca="1" si="151"/>
        <v>#N/A</v>
      </c>
      <c r="Q397" s="406" t="e">
        <f t="shared" ca="1" si="151"/>
        <v>#N/A</v>
      </c>
      <c r="R397" s="406" t="e">
        <f t="shared" ca="1" si="151"/>
        <v>#N/A</v>
      </c>
      <c r="S397" s="406" t="e">
        <f t="shared" ca="1" si="151"/>
        <v>#N/A</v>
      </c>
      <c r="T397" s="406" t="e">
        <f t="shared" ca="1" si="151"/>
        <v>#N/A</v>
      </c>
      <c r="U397" s="406" t="e">
        <f t="shared" ca="1" si="151"/>
        <v>#N/A</v>
      </c>
      <c r="V397" s="406" t="e">
        <f t="shared" ca="1" si="151"/>
        <v>#N/A</v>
      </c>
      <c r="W397" s="406" t="e">
        <f t="shared" ref="N397:W423" ca="1" si="158">TRIM(INDIRECT("'" &amp; "TNX RTF" &amp; "'!" &amp; ADDRESS($A$3+$C397,W$1)))</f>
        <v>#N/A</v>
      </c>
      <c r="X397" s="406" t="e">
        <f t="shared" ca="1" si="157"/>
        <v>#N/A</v>
      </c>
      <c r="Y397" s="406" t="e">
        <f t="shared" ca="1" si="157"/>
        <v>#N/A</v>
      </c>
      <c r="Z397" s="406" t="e">
        <f t="shared" ca="1" si="157"/>
        <v>#N/A</v>
      </c>
      <c r="AA397" s="406" t="e">
        <f t="shared" ca="1" si="157"/>
        <v>#N/A</v>
      </c>
      <c r="AB397" s="406" t="e">
        <f t="shared" ca="1" si="157"/>
        <v>#N/A</v>
      </c>
      <c r="AC397" s="406" t="e">
        <f t="shared" ca="1" si="157"/>
        <v>#N/A</v>
      </c>
      <c r="AD397" s="406" t="e">
        <f t="shared" ca="1" si="157"/>
        <v>#N/A</v>
      </c>
      <c r="AE397" s="406" t="e">
        <f t="shared" ca="1" si="157"/>
        <v>#N/A</v>
      </c>
      <c r="AF397" s="406" t="e">
        <f t="shared" ca="1" si="157"/>
        <v>#N/A</v>
      </c>
      <c r="AG397" s="406" t="e">
        <f t="shared" ca="1" si="157"/>
        <v>#N/A</v>
      </c>
      <c r="AH397" s="406" t="e">
        <f t="shared" ca="1" si="152"/>
        <v>#N/A</v>
      </c>
      <c r="AI397" s="406" t="e">
        <f t="shared" ca="1" si="152"/>
        <v>#N/A</v>
      </c>
      <c r="AJ397" s="406" t="e">
        <f t="shared" ca="1" si="152"/>
        <v>#N/A</v>
      </c>
      <c r="AK397" s="406" t="e">
        <f t="shared" ca="1" si="152"/>
        <v>#N/A</v>
      </c>
      <c r="AL397" s="406" t="e">
        <f t="shared" ca="1" si="152"/>
        <v>#N/A</v>
      </c>
      <c r="AM397" s="406" t="e">
        <f t="shared" ca="1" si="152"/>
        <v>#N/A</v>
      </c>
      <c r="AN397" s="406" t="e">
        <f t="shared" ca="1" si="152"/>
        <v>#N/A</v>
      </c>
      <c r="AO397" s="406" t="e">
        <f t="shared" ca="1" si="152"/>
        <v>#N/A</v>
      </c>
      <c r="AP397" s="406" t="e">
        <f t="shared" ref="AH397:AQ423" ca="1" si="159">TRIM(INDIRECT("'" &amp; "TNX RTF" &amp; "'!" &amp; ADDRESS($A$3+$C397,AP$1)))</f>
        <v>#N/A</v>
      </c>
      <c r="AQ397" s="406" t="e">
        <f t="shared" ca="1" si="159"/>
        <v>#N/A</v>
      </c>
      <c r="AR397" s="406" t="e">
        <f t="shared" ca="1" si="155"/>
        <v>#N/A</v>
      </c>
      <c r="AS397" s="406" t="e">
        <f t="shared" ca="1" si="155"/>
        <v>#N/A</v>
      </c>
      <c r="AT397" s="406" t="e">
        <f t="shared" ca="1" si="155"/>
        <v>#N/A</v>
      </c>
      <c r="AU397" s="406" t="e">
        <f t="shared" ca="1" si="155"/>
        <v>#N/A</v>
      </c>
      <c r="AV397" s="406" t="e">
        <f t="shared" ca="1" si="155"/>
        <v>#N/A</v>
      </c>
      <c r="AW397" s="406" t="e">
        <f t="shared" ca="1" si="155"/>
        <v>#N/A</v>
      </c>
      <c r="AX397" s="406" t="e">
        <f t="shared" ca="1" si="155"/>
        <v>#N/A</v>
      </c>
      <c r="AY397" s="406" t="e">
        <f t="shared" ca="1" si="155"/>
        <v>#N/A</v>
      </c>
      <c r="AZ397" s="406" t="e">
        <f t="shared" ca="1" si="155"/>
        <v>#N/A</v>
      </c>
      <c r="BA397" s="406" t="e">
        <f t="shared" ca="1" si="155"/>
        <v>#N/A</v>
      </c>
      <c r="BB397" s="408"/>
      <c r="BC397" s="408" t="str">
        <f t="shared" ca="1" si="154"/>
        <v/>
      </c>
      <c r="BD397" s="408" t="s">
        <v>1278</v>
      </c>
      <c r="BE397" s="408" t="s">
        <v>1278</v>
      </c>
    </row>
    <row r="398" spans="3:57" ht="15" customHeight="1" x14ac:dyDescent="0.25">
      <c r="C398" s="406">
        <f t="shared" si="156"/>
        <v>396</v>
      </c>
      <c r="D398" s="406" t="e">
        <f t="shared" ca="1" si="153"/>
        <v>#N/A</v>
      </c>
      <c r="E398" s="406" t="e">
        <f t="shared" ca="1" si="153"/>
        <v>#N/A</v>
      </c>
      <c r="F398" s="406" t="e">
        <f t="shared" ca="1" si="153"/>
        <v>#N/A</v>
      </c>
      <c r="G398" s="406" t="e">
        <f t="shared" ca="1" si="153"/>
        <v>#N/A</v>
      </c>
      <c r="H398" s="406" t="e">
        <f t="shared" ca="1" si="153"/>
        <v>#N/A</v>
      </c>
      <c r="I398" s="406" t="e">
        <f t="shared" ca="1" si="153"/>
        <v>#N/A</v>
      </c>
      <c r="J398" s="406" t="e">
        <f t="shared" ca="1" si="153"/>
        <v>#N/A</v>
      </c>
      <c r="K398" s="406" t="e">
        <f t="shared" ca="1" si="153"/>
        <v>#N/A</v>
      </c>
      <c r="L398" s="406" t="e">
        <f t="shared" ca="1" si="153"/>
        <v>#N/A</v>
      </c>
      <c r="M398" s="406" t="e">
        <f t="shared" ca="1" si="153"/>
        <v>#N/A</v>
      </c>
      <c r="N398" s="406" t="e">
        <f t="shared" ca="1" si="158"/>
        <v>#N/A</v>
      </c>
      <c r="O398" s="406" t="e">
        <f t="shared" ca="1" si="158"/>
        <v>#N/A</v>
      </c>
      <c r="P398" s="406" t="e">
        <f t="shared" ca="1" si="158"/>
        <v>#N/A</v>
      </c>
      <c r="Q398" s="406" t="e">
        <f t="shared" ca="1" si="158"/>
        <v>#N/A</v>
      </c>
      <c r="R398" s="406" t="e">
        <f t="shared" ca="1" si="158"/>
        <v>#N/A</v>
      </c>
      <c r="S398" s="406" t="e">
        <f t="shared" ca="1" si="158"/>
        <v>#N/A</v>
      </c>
      <c r="T398" s="406" t="e">
        <f t="shared" ca="1" si="158"/>
        <v>#N/A</v>
      </c>
      <c r="U398" s="406" t="e">
        <f t="shared" ca="1" si="158"/>
        <v>#N/A</v>
      </c>
      <c r="V398" s="406" t="e">
        <f t="shared" ca="1" si="158"/>
        <v>#N/A</v>
      </c>
      <c r="W398" s="406" t="e">
        <f t="shared" ca="1" si="158"/>
        <v>#N/A</v>
      </c>
      <c r="X398" s="406" t="e">
        <f t="shared" ca="1" si="157"/>
        <v>#N/A</v>
      </c>
      <c r="Y398" s="406" t="e">
        <f t="shared" ca="1" si="157"/>
        <v>#N/A</v>
      </c>
      <c r="Z398" s="406" t="e">
        <f t="shared" ca="1" si="157"/>
        <v>#N/A</v>
      </c>
      <c r="AA398" s="406" t="e">
        <f t="shared" ca="1" si="157"/>
        <v>#N/A</v>
      </c>
      <c r="AB398" s="406" t="e">
        <f t="shared" ca="1" si="157"/>
        <v>#N/A</v>
      </c>
      <c r="AC398" s="406" t="e">
        <f t="shared" ca="1" si="157"/>
        <v>#N/A</v>
      </c>
      <c r="AD398" s="406" t="e">
        <f t="shared" ca="1" si="157"/>
        <v>#N/A</v>
      </c>
      <c r="AE398" s="406" t="e">
        <f t="shared" ca="1" si="157"/>
        <v>#N/A</v>
      </c>
      <c r="AF398" s="406" t="e">
        <f t="shared" ca="1" si="157"/>
        <v>#N/A</v>
      </c>
      <c r="AG398" s="406" t="e">
        <f t="shared" ca="1" si="157"/>
        <v>#N/A</v>
      </c>
      <c r="AH398" s="406" t="e">
        <f t="shared" ca="1" si="159"/>
        <v>#N/A</v>
      </c>
      <c r="AI398" s="406" t="e">
        <f t="shared" ca="1" si="159"/>
        <v>#N/A</v>
      </c>
      <c r="AJ398" s="406" t="e">
        <f t="shared" ca="1" si="159"/>
        <v>#N/A</v>
      </c>
      <c r="AK398" s="406" t="e">
        <f t="shared" ca="1" si="159"/>
        <v>#N/A</v>
      </c>
      <c r="AL398" s="406" t="e">
        <f t="shared" ca="1" si="159"/>
        <v>#N/A</v>
      </c>
      <c r="AM398" s="406" t="e">
        <f t="shared" ca="1" si="159"/>
        <v>#N/A</v>
      </c>
      <c r="AN398" s="406" t="e">
        <f t="shared" ca="1" si="159"/>
        <v>#N/A</v>
      </c>
      <c r="AO398" s="406" t="e">
        <f t="shared" ca="1" si="159"/>
        <v>#N/A</v>
      </c>
      <c r="AP398" s="406" t="e">
        <f t="shared" ca="1" si="159"/>
        <v>#N/A</v>
      </c>
      <c r="AQ398" s="406" t="e">
        <f t="shared" ca="1" si="159"/>
        <v>#N/A</v>
      </c>
      <c r="AR398" s="406" t="e">
        <f t="shared" ca="1" si="155"/>
        <v>#N/A</v>
      </c>
      <c r="AS398" s="406" t="e">
        <f t="shared" ca="1" si="155"/>
        <v>#N/A</v>
      </c>
      <c r="AT398" s="406" t="e">
        <f t="shared" ca="1" si="155"/>
        <v>#N/A</v>
      </c>
      <c r="AU398" s="406" t="e">
        <f t="shared" ca="1" si="155"/>
        <v>#N/A</v>
      </c>
      <c r="AV398" s="406" t="e">
        <f t="shared" ca="1" si="155"/>
        <v>#N/A</v>
      </c>
      <c r="AW398" s="406" t="e">
        <f t="shared" ca="1" si="155"/>
        <v>#N/A</v>
      </c>
      <c r="AX398" s="406" t="e">
        <f t="shared" ca="1" si="155"/>
        <v>#N/A</v>
      </c>
      <c r="AY398" s="406" t="e">
        <f t="shared" ca="1" si="155"/>
        <v>#N/A</v>
      </c>
      <c r="AZ398" s="406" t="e">
        <f t="shared" ca="1" si="155"/>
        <v>#N/A</v>
      </c>
      <c r="BA398" s="406" t="e">
        <f t="shared" ca="1" si="155"/>
        <v>#N/A</v>
      </c>
      <c r="BB398" s="408"/>
      <c r="BC398" s="408" t="str">
        <f t="shared" ca="1" si="154"/>
        <v/>
      </c>
      <c r="BD398" s="408" t="s">
        <v>1278</v>
      </c>
      <c r="BE398" s="408" t="s">
        <v>1278</v>
      </c>
    </row>
    <row r="399" spans="3:57" x14ac:dyDescent="0.25">
      <c r="C399" s="406">
        <f t="shared" si="156"/>
        <v>397</v>
      </c>
      <c r="D399" s="406" t="e">
        <f t="shared" ca="1" si="153"/>
        <v>#N/A</v>
      </c>
      <c r="E399" s="406" t="e">
        <f t="shared" ca="1" si="153"/>
        <v>#N/A</v>
      </c>
      <c r="F399" s="406" t="e">
        <f t="shared" ca="1" si="153"/>
        <v>#N/A</v>
      </c>
      <c r="G399" s="406" t="e">
        <f t="shared" ca="1" si="153"/>
        <v>#N/A</v>
      </c>
      <c r="H399" s="406" t="e">
        <f t="shared" ca="1" si="153"/>
        <v>#N/A</v>
      </c>
      <c r="I399" s="406" t="e">
        <f t="shared" ref="D399:M424" ca="1" si="160">TRIM(INDIRECT("'" &amp; "TNX RTF" &amp; "'!" &amp; ADDRESS($A$3+$C399,I$1)))</f>
        <v>#N/A</v>
      </c>
      <c r="J399" s="406" t="e">
        <f t="shared" ca="1" si="160"/>
        <v>#N/A</v>
      </c>
      <c r="K399" s="406" t="e">
        <f t="shared" ca="1" si="160"/>
        <v>#N/A</v>
      </c>
      <c r="L399" s="406" t="e">
        <f t="shared" ca="1" si="160"/>
        <v>#N/A</v>
      </c>
      <c r="M399" s="406" t="e">
        <f t="shared" ca="1" si="160"/>
        <v>#N/A</v>
      </c>
      <c r="N399" s="406" t="e">
        <f t="shared" ca="1" si="158"/>
        <v>#N/A</v>
      </c>
      <c r="O399" s="406" t="e">
        <f t="shared" ca="1" si="158"/>
        <v>#N/A</v>
      </c>
      <c r="P399" s="406" t="e">
        <f t="shared" ca="1" si="158"/>
        <v>#N/A</v>
      </c>
      <c r="Q399" s="406" t="e">
        <f t="shared" ca="1" si="158"/>
        <v>#N/A</v>
      </c>
      <c r="R399" s="406" t="e">
        <f t="shared" ca="1" si="158"/>
        <v>#N/A</v>
      </c>
      <c r="S399" s="406" t="e">
        <f t="shared" ca="1" si="158"/>
        <v>#N/A</v>
      </c>
      <c r="T399" s="406" t="e">
        <f t="shared" ca="1" si="158"/>
        <v>#N/A</v>
      </c>
      <c r="U399" s="406" t="e">
        <f t="shared" ca="1" si="158"/>
        <v>#N/A</v>
      </c>
      <c r="V399" s="406" t="e">
        <f t="shared" ca="1" si="158"/>
        <v>#N/A</v>
      </c>
      <c r="W399" s="406" t="e">
        <f t="shared" ca="1" si="158"/>
        <v>#N/A</v>
      </c>
      <c r="X399" s="406" t="e">
        <f t="shared" ca="1" si="157"/>
        <v>#N/A</v>
      </c>
      <c r="Y399" s="406" t="e">
        <f t="shared" ca="1" si="157"/>
        <v>#N/A</v>
      </c>
      <c r="Z399" s="406" t="e">
        <f t="shared" ca="1" si="157"/>
        <v>#N/A</v>
      </c>
      <c r="AA399" s="406" t="e">
        <f t="shared" ca="1" si="157"/>
        <v>#N/A</v>
      </c>
      <c r="AB399" s="406" t="e">
        <f t="shared" ca="1" si="157"/>
        <v>#N/A</v>
      </c>
      <c r="AC399" s="406" t="e">
        <f t="shared" ca="1" si="157"/>
        <v>#N/A</v>
      </c>
      <c r="AD399" s="406" t="e">
        <f t="shared" ca="1" si="157"/>
        <v>#N/A</v>
      </c>
      <c r="AE399" s="406" t="e">
        <f t="shared" ca="1" si="157"/>
        <v>#N/A</v>
      </c>
      <c r="AF399" s="406" t="e">
        <f t="shared" ca="1" si="157"/>
        <v>#N/A</v>
      </c>
      <c r="AG399" s="406" t="e">
        <f t="shared" ca="1" si="157"/>
        <v>#N/A</v>
      </c>
      <c r="AH399" s="406" t="e">
        <f t="shared" ca="1" si="159"/>
        <v>#N/A</v>
      </c>
      <c r="AI399" s="406" t="e">
        <f t="shared" ca="1" si="159"/>
        <v>#N/A</v>
      </c>
      <c r="AJ399" s="406" t="e">
        <f t="shared" ca="1" si="159"/>
        <v>#N/A</v>
      </c>
      <c r="AK399" s="406" t="e">
        <f t="shared" ca="1" si="159"/>
        <v>#N/A</v>
      </c>
      <c r="AL399" s="406" t="e">
        <f t="shared" ca="1" si="159"/>
        <v>#N/A</v>
      </c>
      <c r="AM399" s="406" t="e">
        <f t="shared" ca="1" si="159"/>
        <v>#N/A</v>
      </c>
      <c r="AN399" s="406" t="e">
        <f t="shared" ca="1" si="159"/>
        <v>#N/A</v>
      </c>
      <c r="AO399" s="406" t="e">
        <f t="shared" ca="1" si="159"/>
        <v>#N/A</v>
      </c>
      <c r="AP399" s="406" t="e">
        <f t="shared" ca="1" si="159"/>
        <v>#N/A</v>
      </c>
      <c r="AQ399" s="406" t="e">
        <f t="shared" ca="1" si="159"/>
        <v>#N/A</v>
      </c>
      <c r="AR399" s="406" t="e">
        <f t="shared" ca="1" si="155"/>
        <v>#N/A</v>
      </c>
      <c r="AS399" s="406" t="e">
        <f t="shared" ca="1" si="155"/>
        <v>#N/A</v>
      </c>
      <c r="AT399" s="406" t="e">
        <f t="shared" ca="1" si="155"/>
        <v>#N/A</v>
      </c>
      <c r="AU399" s="406" t="e">
        <f t="shared" ca="1" si="155"/>
        <v>#N/A</v>
      </c>
      <c r="AV399" s="406" t="e">
        <f t="shared" ca="1" si="155"/>
        <v>#N/A</v>
      </c>
      <c r="AW399" s="406" t="e">
        <f t="shared" ca="1" si="155"/>
        <v>#N/A</v>
      </c>
      <c r="AX399" s="406" t="e">
        <f t="shared" ca="1" si="155"/>
        <v>#N/A</v>
      </c>
      <c r="AY399" s="406" t="e">
        <f t="shared" ca="1" si="155"/>
        <v>#N/A</v>
      </c>
      <c r="AZ399" s="406" t="e">
        <f t="shared" ca="1" si="155"/>
        <v>#N/A</v>
      </c>
      <c r="BA399" s="406" t="e">
        <f t="shared" ca="1" si="155"/>
        <v>#N/A</v>
      </c>
      <c r="BB399" s="408"/>
      <c r="BC399" s="408" t="str">
        <f t="shared" ca="1" si="154"/>
        <v/>
      </c>
      <c r="BD399" s="408" t="s">
        <v>1278</v>
      </c>
      <c r="BE399" s="408" t="s">
        <v>1278</v>
      </c>
    </row>
    <row r="400" spans="3:57" x14ac:dyDescent="0.25">
      <c r="C400" s="406">
        <f t="shared" si="156"/>
        <v>398</v>
      </c>
      <c r="D400" s="406" t="e">
        <f t="shared" ca="1" si="160"/>
        <v>#N/A</v>
      </c>
      <c r="E400" s="406" t="e">
        <f t="shared" ca="1" si="160"/>
        <v>#N/A</v>
      </c>
      <c r="F400" s="406" t="e">
        <f t="shared" ca="1" si="160"/>
        <v>#N/A</v>
      </c>
      <c r="G400" s="406" t="e">
        <f t="shared" ca="1" si="160"/>
        <v>#N/A</v>
      </c>
      <c r="H400" s="406" t="e">
        <f t="shared" ca="1" si="160"/>
        <v>#N/A</v>
      </c>
      <c r="I400" s="406" t="e">
        <f t="shared" ca="1" si="160"/>
        <v>#N/A</v>
      </c>
      <c r="J400" s="406" t="e">
        <f t="shared" ca="1" si="160"/>
        <v>#N/A</v>
      </c>
      <c r="K400" s="406" t="e">
        <f t="shared" ca="1" si="160"/>
        <v>#N/A</v>
      </c>
      <c r="L400" s="406" t="e">
        <f t="shared" ca="1" si="160"/>
        <v>#N/A</v>
      </c>
      <c r="M400" s="406" t="e">
        <f t="shared" ca="1" si="160"/>
        <v>#N/A</v>
      </c>
      <c r="N400" s="406" t="e">
        <f t="shared" ca="1" si="158"/>
        <v>#N/A</v>
      </c>
      <c r="O400" s="406" t="e">
        <f t="shared" ca="1" si="158"/>
        <v>#N/A</v>
      </c>
      <c r="P400" s="406" t="e">
        <f t="shared" ca="1" si="158"/>
        <v>#N/A</v>
      </c>
      <c r="Q400" s="406" t="e">
        <f t="shared" ca="1" si="158"/>
        <v>#N/A</v>
      </c>
      <c r="R400" s="406" t="e">
        <f t="shared" ca="1" si="158"/>
        <v>#N/A</v>
      </c>
      <c r="S400" s="406" t="e">
        <f t="shared" ca="1" si="158"/>
        <v>#N/A</v>
      </c>
      <c r="T400" s="406" t="e">
        <f t="shared" ca="1" si="158"/>
        <v>#N/A</v>
      </c>
      <c r="U400" s="406" t="e">
        <f t="shared" ca="1" si="158"/>
        <v>#N/A</v>
      </c>
      <c r="V400" s="406" t="e">
        <f t="shared" ca="1" si="158"/>
        <v>#N/A</v>
      </c>
      <c r="W400" s="406" t="e">
        <f t="shared" ca="1" si="158"/>
        <v>#N/A</v>
      </c>
      <c r="X400" s="406" t="e">
        <f t="shared" ca="1" si="157"/>
        <v>#N/A</v>
      </c>
      <c r="Y400" s="406" t="e">
        <f t="shared" ca="1" si="157"/>
        <v>#N/A</v>
      </c>
      <c r="Z400" s="406" t="e">
        <f t="shared" ca="1" si="157"/>
        <v>#N/A</v>
      </c>
      <c r="AA400" s="406" t="e">
        <f t="shared" ca="1" si="157"/>
        <v>#N/A</v>
      </c>
      <c r="AB400" s="406" t="e">
        <f t="shared" ca="1" si="157"/>
        <v>#N/A</v>
      </c>
      <c r="AC400" s="406" t="e">
        <f t="shared" ca="1" si="157"/>
        <v>#N/A</v>
      </c>
      <c r="AD400" s="406" t="e">
        <f t="shared" ca="1" si="157"/>
        <v>#N/A</v>
      </c>
      <c r="AE400" s="406" t="e">
        <f t="shared" ca="1" si="157"/>
        <v>#N/A</v>
      </c>
      <c r="AF400" s="406" t="e">
        <f t="shared" ca="1" si="157"/>
        <v>#N/A</v>
      </c>
      <c r="AG400" s="406" t="e">
        <f t="shared" ca="1" si="157"/>
        <v>#N/A</v>
      </c>
      <c r="AH400" s="406" t="e">
        <f t="shared" ca="1" si="159"/>
        <v>#N/A</v>
      </c>
      <c r="AI400" s="406" t="e">
        <f t="shared" ca="1" si="159"/>
        <v>#N/A</v>
      </c>
      <c r="AJ400" s="406" t="e">
        <f t="shared" ca="1" si="159"/>
        <v>#N/A</v>
      </c>
      <c r="AK400" s="406" t="e">
        <f t="shared" ca="1" si="159"/>
        <v>#N/A</v>
      </c>
      <c r="AL400" s="406" t="e">
        <f t="shared" ca="1" si="159"/>
        <v>#N/A</v>
      </c>
      <c r="AM400" s="406" t="e">
        <f t="shared" ca="1" si="159"/>
        <v>#N/A</v>
      </c>
      <c r="AN400" s="406" t="e">
        <f t="shared" ca="1" si="159"/>
        <v>#N/A</v>
      </c>
      <c r="AO400" s="406" t="e">
        <f t="shared" ca="1" si="159"/>
        <v>#N/A</v>
      </c>
      <c r="AP400" s="406" t="e">
        <f t="shared" ca="1" si="159"/>
        <v>#N/A</v>
      </c>
      <c r="AQ400" s="406" t="e">
        <f t="shared" ca="1" si="159"/>
        <v>#N/A</v>
      </c>
      <c r="AR400" s="406" t="e">
        <f t="shared" ca="1" si="155"/>
        <v>#N/A</v>
      </c>
      <c r="AS400" s="406" t="e">
        <f t="shared" ca="1" si="155"/>
        <v>#N/A</v>
      </c>
      <c r="AT400" s="406" t="e">
        <f t="shared" ca="1" si="155"/>
        <v>#N/A</v>
      </c>
      <c r="AU400" s="406" t="e">
        <f t="shared" ca="1" si="155"/>
        <v>#N/A</v>
      </c>
      <c r="AV400" s="406" t="e">
        <f t="shared" ca="1" si="155"/>
        <v>#N/A</v>
      </c>
      <c r="AW400" s="406" t="e">
        <f t="shared" ca="1" si="155"/>
        <v>#N/A</v>
      </c>
      <c r="AX400" s="406" t="e">
        <f t="shared" ca="1" si="155"/>
        <v>#N/A</v>
      </c>
      <c r="AY400" s="406" t="e">
        <f t="shared" ca="1" si="155"/>
        <v>#N/A</v>
      </c>
      <c r="AZ400" s="406" t="e">
        <f t="shared" ca="1" si="155"/>
        <v>#N/A</v>
      </c>
      <c r="BA400" s="406" t="e">
        <f t="shared" ca="1" si="155"/>
        <v>#N/A</v>
      </c>
      <c r="BB400" s="408"/>
      <c r="BC400" s="408" t="str">
        <f t="shared" ca="1" si="154"/>
        <v/>
      </c>
      <c r="BD400" s="408" t="s">
        <v>1278</v>
      </c>
      <c r="BE400" s="408" t="s">
        <v>1278</v>
      </c>
    </row>
    <row r="401" spans="3:57" ht="15" customHeight="1" x14ac:dyDescent="0.25">
      <c r="C401" s="406">
        <f t="shared" si="156"/>
        <v>399</v>
      </c>
      <c r="D401" s="406" t="e">
        <f t="shared" ca="1" si="160"/>
        <v>#N/A</v>
      </c>
      <c r="E401" s="406" t="e">
        <f t="shared" ca="1" si="160"/>
        <v>#N/A</v>
      </c>
      <c r="F401" s="406" t="e">
        <f t="shared" ca="1" si="160"/>
        <v>#N/A</v>
      </c>
      <c r="G401" s="406" t="e">
        <f t="shared" ca="1" si="160"/>
        <v>#N/A</v>
      </c>
      <c r="H401" s="406" t="e">
        <f t="shared" ca="1" si="160"/>
        <v>#N/A</v>
      </c>
      <c r="I401" s="406" t="e">
        <f t="shared" ca="1" si="160"/>
        <v>#N/A</v>
      </c>
      <c r="J401" s="406" t="e">
        <f t="shared" ca="1" si="160"/>
        <v>#N/A</v>
      </c>
      <c r="K401" s="406" t="e">
        <f t="shared" ca="1" si="160"/>
        <v>#N/A</v>
      </c>
      <c r="L401" s="406" t="e">
        <f t="shared" ca="1" si="160"/>
        <v>#N/A</v>
      </c>
      <c r="M401" s="406" t="e">
        <f t="shared" ca="1" si="160"/>
        <v>#N/A</v>
      </c>
      <c r="N401" s="406" t="e">
        <f t="shared" ca="1" si="158"/>
        <v>#N/A</v>
      </c>
      <c r="O401" s="406" t="e">
        <f t="shared" ca="1" si="158"/>
        <v>#N/A</v>
      </c>
      <c r="P401" s="406" t="e">
        <f t="shared" ca="1" si="158"/>
        <v>#N/A</v>
      </c>
      <c r="Q401" s="406" t="e">
        <f t="shared" ca="1" si="158"/>
        <v>#N/A</v>
      </c>
      <c r="R401" s="406" t="e">
        <f t="shared" ca="1" si="158"/>
        <v>#N/A</v>
      </c>
      <c r="S401" s="406" t="e">
        <f t="shared" ca="1" si="158"/>
        <v>#N/A</v>
      </c>
      <c r="T401" s="406" t="e">
        <f t="shared" ca="1" si="158"/>
        <v>#N/A</v>
      </c>
      <c r="U401" s="406" t="e">
        <f t="shared" ca="1" si="158"/>
        <v>#N/A</v>
      </c>
      <c r="V401" s="406" t="e">
        <f t="shared" ca="1" si="158"/>
        <v>#N/A</v>
      </c>
      <c r="W401" s="406" t="e">
        <f t="shared" ca="1" si="158"/>
        <v>#N/A</v>
      </c>
      <c r="X401" s="406" t="e">
        <f t="shared" ca="1" si="157"/>
        <v>#N/A</v>
      </c>
      <c r="Y401" s="406" t="e">
        <f t="shared" ca="1" si="157"/>
        <v>#N/A</v>
      </c>
      <c r="Z401" s="406" t="e">
        <f t="shared" ca="1" si="157"/>
        <v>#N/A</v>
      </c>
      <c r="AA401" s="406" t="e">
        <f t="shared" ca="1" si="157"/>
        <v>#N/A</v>
      </c>
      <c r="AB401" s="406" t="e">
        <f t="shared" ca="1" si="157"/>
        <v>#N/A</v>
      </c>
      <c r="AC401" s="406" t="e">
        <f t="shared" ca="1" si="157"/>
        <v>#N/A</v>
      </c>
      <c r="AD401" s="406" t="e">
        <f t="shared" ca="1" si="157"/>
        <v>#N/A</v>
      </c>
      <c r="AE401" s="406" t="e">
        <f t="shared" ca="1" si="157"/>
        <v>#N/A</v>
      </c>
      <c r="AF401" s="406" t="e">
        <f t="shared" ca="1" si="157"/>
        <v>#N/A</v>
      </c>
      <c r="AG401" s="406" t="e">
        <f t="shared" ca="1" si="157"/>
        <v>#N/A</v>
      </c>
      <c r="AH401" s="406" t="e">
        <f t="shared" ca="1" si="159"/>
        <v>#N/A</v>
      </c>
      <c r="AI401" s="406" t="e">
        <f t="shared" ca="1" si="159"/>
        <v>#N/A</v>
      </c>
      <c r="AJ401" s="406" t="e">
        <f t="shared" ca="1" si="159"/>
        <v>#N/A</v>
      </c>
      <c r="AK401" s="406" t="e">
        <f t="shared" ca="1" si="159"/>
        <v>#N/A</v>
      </c>
      <c r="AL401" s="406" t="e">
        <f t="shared" ca="1" si="159"/>
        <v>#N/A</v>
      </c>
      <c r="AM401" s="406" t="e">
        <f t="shared" ca="1" si="159"/>
        <v>#N/A</v>
      </c>
      <c r="AN401" s="406" t="e">
        <f t="shared" ca="1" si="159"/>
        <v>#N/A</v>
      </c>
      <c r="AO401" s="406" t="e">
        <f t="shared" ca="1" si="159"/>
        <v>#N/A</v>
      </c>
      <c r="AP401" s="406" t="e">
        <f t="shared" ca="1" si="159"/>
        <v>#N/A</v>
      </c>
      <c r="AQ401" s="406" t="e">
        <f t="shared" ca="1" si="159"/>
        <v>#N/A</v>
      </c>
      <c r="AR401" s="406" t="e">
        <f t="shared" ca="1" si="155"/>
        <v>#N/A</v>
      </c>
      <c r="AS401" s="406" t="e">
        <f t="shared" ca="1" si="155"/>
        <v>#N/A</v>
      </c>
      <c r="AT401" s="406" t="e">
        <f t="shared" ca="1" si="155"/>
        <v>#N/A</v>
      </c>
      <c r="AU401" s="406" t="e">
        <f t="shared" ca="1" si="155"/>
        <v>#N/A</v>
      </c>
      <c r="AV401" s="406" t="e">
        <f t="shared" ca="1" si="155"/>
        <v>#N/A</v>
      </c>
      <c r="AW401" s="406" t="e">
        <f t="shared" ca="1" si="155"/>
        <v>#N/A</v>
      </c>
      <c r="AX401" s="406" t="e">
        <f t="shared" ca="1" si="155"/>
        <v>#N/A</v>
      </c>
      <c r="AY401" s="406" t="e">
        <f t="shared" ca="1" si="155"/>
        <v>#N/A</v>
      </c>
      <c r="AZ401" s="406" t="e">
        <f t="shared" ca="1" si="155"/>
        <v>#N/A</v>
      </c>
      <c r="BA401" s="406" t="e">
        <f t="shared" ca="1" si="155"/>
        <v>#N/A</v>
      </c>
      <c r="BB401" s="408"/>
      <c r="BC401" s="408" t="str">
        <f t="shared" ca="1" si="154"/>
        <v/>
      </c>
      <c r="BD401" s="408" t="s">
        <v>1278</v>
      </c>
      <c r="BE401" s="408" t="s">
        <v>1278</v>
      </c>
    </row>
    <row r="402" spans="3:57" x14ac:dyDescent="0.25">
      <c r="C402" s="406">
        <f t="shared" si="156"/>
        <v>400</v>
      </c>
      <c r="D402" s="406" t="e">
        <f t="shared" ca="1" si="160"/>
        <v>#N/A</v>
      </c>
      <c r="E402" s="406" t="e">
        <f t="shared" ca="1" si="160"/>
        <v>#N/A</v>
      </c>
      <c r="F402" s="406" t="e">
        <f t="shared" ca="1" si="160"/>
        <v>#N/A</v>
      </c>
      <c r="G402" s="406" t="e">
        <f t="shared" ca="1" si="160"/>
        <v>#N/A</v>
      </c>
      <c r="H402" s="406" t="e">
        <f t="shared" ca="1" si="160"/>
        <v>#N/A</v>
      </c>
      <c r="I402" s="406" t="e">
        <f t="shared" ca="1" si="160"/>
        <v>#N/A</v>
      </c>
      <c r="J402" s="406" t="e">
        <f t="shared" ca="1" si="160"/>
        <v>#N/A</v>
      </c>
      <c r="K402" s="406" t="e">
        <f t="shared" ca="1" si="160"/>
        <v>#N/A</v>
      </c>
      <c r="L402" s="406" t="e">
        <f t="shared" ca="1" si="160"/>
        <v>#N/A</v>
      </c>
      <c r="M402" s="406" t="e">
        <f t="shared" ca="1" si="160"/>
        <v>#N/A</v>
      </c>
      <c r="N402" s="406" t="e">
        <f t="shared" ca="1" si="158"/>
        <v>#N/A</v>
      </c>
      <c r="O402" s="406" t="e">
        <f t="shared" ca="1" si="158"/>
        <v>#N/A</v>
      </c>
      <c r="P402" s="406" t="e">
        <f t="shared" ca="1" si="158"/>
        <v>#N/A</v>
      </c>
      <c r="Q402" s="406" t="e">
        <f t="shared" ca="1" si="158"/>
        <v>#N/A</v>
      </c>
      <c r="R402" s="406" t="e">
        <f t="shared" ca="1" si="158"/>
        <v>#N/A</v>
      </c>
      <c r="S402" s="406" t="e">
        <f t="shared" ca="1" si="158"/>
        <v>#N/A</v>
      </c>
      <c r="T402" s="406" t="e">
        <f t="shared" ca="1" si="158"/>
        <v>#N/A</v>
      </c>
      <c r="U402" s="406" t="e">
        <f t="shared" ca="1" si="158"/>
        <v>#N/A</v>
      </c>
      <c r="V402" s="406" t="e">
        <f t="shared" ca="1" si="158"/>
        <v>#N/A</v>
      </c>
      <c r="W402" s="406" t="e">
        <f t="shared" ca="1" si="158"/>
        <v>#N/A</v>
      </c>
      <c r="X402" s="406" t="e">
        <f t="shared" ca="1" si="157"/>
        <v>#N/A</v>
      </c>
      <c r="Y402" s="406" t="e">
        <f t="shared" ca="1" si="157"/>
        <v>#N/A</v>
      </c>
      <c r="Z402" s="406" t="e">
        <f t="shared" ca="1" si="157"/>
        <v>#N/A</v>
      </c>
      <c r="AA402" s="406" t="e">
        <f t="shared" ca="1" si="157"/>
        <v>#N/A</v>
      </c>
      <c r="AB402" s="406" t="e">
        <f t="shared" ca="1" si="157"/>
        <v>#N/A</v>
      </c>
      <c r="AC402" s="406" t="e">
        <f t="shared" ca="1" si="157"/>
        <v>#N/A</v>
      </c>
      <c r="AD402" s="406" t="e">
        <f t="shared" ca="1" si="157"/>
        <v>#N/A</v>
      </c>
      <c r="AE402" s="406" t="e">
        <f t="shared" ca="1" si="157"/>
        <v>#N/A</v>
      </c>
      <c r="AF402" s="406" t="e">
        <f t="shared" ca="1" si="157"/>
        <v>#N/A</v>
      </c>
      <c r="AG402" s="406" t="e">
        <f t="shared" ca="1" si="157"/>
        <v>#N/A</v>
      </c>
      <c r="AH402" s="406" t="e">
        <f t="shared" ca="1" si="159"/>
        <v>#N/A</v>
      </c>
      <c r="AI402" s="406" t="e">
        <f t="shared" ca="1" si="159"/>
        <v>#N/A</v>
      </c>
      <c r="AJ402" s="406" t="e">
        <f t="shared" ca="1" si="159"/>
        <v>#N/A</v>
      </c>
      <c r="AK402" s="406" t="e">
        <f t="shared" ca="1" si="159"/>
        <v>#N/A</v>
      </c>
      <c r="AL402" s="406" t="e">
        <f t="shared" ca="1" si="159"/>
        <v>#N/A</v>
      </c>
      <c r="AM402" s="406" t="e">
        <f t="shared" ca="1" si="159"/>
        <v>#N/A</v>
      </c>
      <c r="AN402" s="406" t="e">
        <f t="shared" ca="1" si="159"/>
        <v>#N/A</v>
      </c>
      <c r="AO402" s="406" t="e">
        <f t="shared" ca="1" si="159"/>
        <v>#N/A</v>
      </c>
      <c r="AP402" s="406" t="e">
        <f t="shared" ca="1" si="159"/>
        <v>#N/A</v>
      </c>
      <c r="AQ402" s="406" t="e">
        <f t="shared" ca="1" si="159"/>
        <v>#N/A</v>
      </c>
      <c r="AR402" s="406" t="e">
        <f t="shared" ca="1" si="155"/>
        <v>#N/A</v>
      </c>
      <c r="AS402" s="406" t="e">
        <f t="shared" ca="1" si="155"/>
        <v>#N/A</v>
      </c>
      <c r="AT402" s="406" t="e">
        <f t="shared" ca="1" si="155"/>
        <v>#N/A</v>
      </c>
      <c r="AU402" s="406" t="e">
        <f t="shared" ca="1" si="155"/>
        <v>#N/A</v>
      </c>
      <c r="AV402" s="406" t="e">
        <f t="shared" ca="1" si="155"/>
        <v>#N/A</v>
      </c>
      <c r="AW402" s="406" t="e">
        <f t="shared" ca="1" si="155"/>
        <v>#N/A</v>
      </c>
      <c r="AX402" s="406" t="e">
        <f t="shared" ca="1" si="155"/>
        <v>#N/A</v>
      </c>
      <c r="AY402" s="406" t="e">
        <f t="shared" ca="1" si="155"/>
        <v>#N/A</v>
      </c>
      <c r="AZ402" s="406" t="e">
        <f t="shared" ca="1" si="155"/>
        <v>#N/A</v>
      </c>
      <c r="BA402" s="406" t="e">
        <f t="shared" ca="1" si="155"/>
        <v>#N/A</v>
      </c>
      <c r="BB402" s="408"/>
      <c r="BC402" s="408" t="str">
        <f t="shared" ca="1" si="154"/>
        <v/>
      </c>
      <c r="BD402" s="408" t="s">
        <v>1278</v>
      </c>
      <c r="BE402" s="408" t="s">
        <v>1278</v>
      </c>
    </row>
    <row r="403" spans="3:57" x14ac:dyDescent="0.25">
      <c r="C403" s="406">
        <f t="shared" si="156"/>
        <v>401</v>
      </c>
      <c r="D403" s="406" t="e">
        <f t="shared" ca="1" si="160"/>
        <v>#N/A</v>
      </c>
      <c r="E403" s="406" t="e">
        <f t="shared" ca="1" si="160"/>
        <v>#N/A</v>
      </c>
      <c r="F403" s="406" t="e">
        <f t="shared" ca="1" si="160"/>
        <v>#N/A</v>
      </c>
      <c r="G403" s="406" t="e">
        <f t="shared" ca="1" si="160"/>
        <v>#N/A</v>
      </c>
      <c r="H403" s="406" t="e">
        <f t="shared" ca="1" si="160"/>
        <v>#N/A</v>
      </c>
      <c r="I403" s="406" t="e">
        <f t="shared" ca="1" si="160"/>
        <v>#N/A</v>
      </c>
      <c r="J403" s="406" t="e">
        <f t="shared" ca="1" si="160"/>
        <v>#N/A</v>
      </c>
      <c r="K403" s="406" t="e">
        <f t="shared" ca="1" si="160"/>
        <v>#N/A</v>
      </c>
      <c r="L403" s="406" t="e">
        <f t="shared" ca="1" si="160"/>
        <v>#N/A</v>
      </c>
      <c r="M403" s="406" t="e">
        <f t="shared" ca="1" si="160"/>
        <v>#N/A</v>
      </c>
      <c r="N403" s="406" t="e">
        <f t="shared" ca="1" si="158"/>
        <v>#N/A</v>
      </c>
      <c r="O403" s="406" t="e">
        <f t="shared" ca="1" si="158"/>
        <v>#N/A</v>
      </c>
      <c r="P403" s="406" t="e">
        <f t="shared" ca="1" si="158"/>
        <v>#N/A</v>
      </c>
      <c r="Q403" s="406" t="e">
        <f t="shared" ca="1" si="158"/>
        <v>#N/A</v>
      </c>
      <c r="R403" s="406" t="e">
        <f t="shared" ca="1" si="158"/>
        <v>#N/A</v>
      </c>
      <c r="S403" s="406" t="e">
        <f t="shared" ca="1" si="158"/>
        <v>#N/A</v>
      </c>
      <c r="T403" s="406" t="e">
        <f t="shared" ca="1" si="158"/>
        <v>#N/A</v>
      </c>
      <c r="U403" s="406" t="e">
        <f t="shared" ca="1" si="158"/>
        <v>#N/A</v>
      </c>
      <c r="V403" s="406" t="e">
        <f t="shared" ca="1" si="158"/>
        <v>#N/A</v>
      </c>
      <c r="W403" s="406" t="e">
        <f t="shared" ca="1" si="158"/>
        <v>#N/A</v>
      </c>
      <c r="X403" s="406" t="e">
        <f t="shared" ca="1" si="157"/>
        <v>#N/A</v>
      </c>
      <c r="Y403" s="406" t="e">
        <f t="shared" ca="1" si="157"/>
        <v>#N/A</v>
      </c>
      <c r="Z403" s="406" t="e">
        <f t="shared" ca="1" si="157"/>
        <v>#N/A</v>
      </c>
      <c r="AA403" s="406" t="e">
        <f t="shared" ca="1" si="157"/>
        <v>#N/A</v>
      </c>
      <c r="AB403" s="406" t="e">
        <f t="shared" ca="1" si="157"/>
        <v>#N/A</v>
      </c>
      <c r="AC403" s="406" t="e">
        <f t="shared" ca="1" si="157"/>
        <v>#N/A</v>
      </c>
      <c r="AD403" s="406" t="e">
        <f t="shared" ca="1" si="157"/>
        <v>#N/A</v>
      </c>
      <c r="AE403" s="406" t="e">
        <f t="shared" ca="1" si="157"/>
        <v>#N/A</v>
      </c>
      <c r="AF403" s="406" t="e">
        <f t="shared" ca="1" si="157"/>
        <v>#N/A</v>
      </c>
      <c r="AG403" s="406" t="e">
        <f t="shared" ca="1" si="157"/>
        <v>#N/A</v>
      </c>
      <c r="AH403" s="406" t="e">
        <f t="shared" ca="1" si="159"/>
        <v>#N/A</v>
      </c>
      <c r="AI403" s="406" t="e">
        <f t="shared" ca="1" si="159"/>
        <v>#N/A</v>
      </c>
      <c r="AJ403" s="406" t="e">
        <f t="shared" ca="1" si="159"/>
        <v>#N/A</v>
      </c>
      <c r="AK403" s="406" t="e">
        <f t="shared" ca="1" si="159"/>
        <v>#N/A</v>
      </c>
      <c r="AL403" s="406" t="e">
        <f t="shared" ca="1" si="159"/>
        <v>#N/A</v>
      </c>
      <c r="AM403" s="406" t="e">
        <f t="shared" ca="1" si="159"/>
        <v>#N/A</v>
      </c>
      <c r="AN403" s="406" t="e">
        <f t="shared" ca="1" si="159"/>
        <v>#N/A</v>
      </c>
      <c r="AO403" s="406" t="e">
        <f t="shared" ca="1" si="159"/>
        <v>#N/A</v>
      </c>
      <c r="AP403" s="406" t="e">
        <f t="shared" ca="1" si="159"/>
        <v>#N/A</v>
      </c>
      <c r="AQ403" s="406" t="e">
        <f t="shared" ca="1" si="159"/>
        <v>#N/A</v>
      </c>
      <c r="AR403" s="406" t="e">
        <f t="shared" ca="1" si="155"/>
        <v>#N/A</v>
      </c>
      <c r="AS403" s="406" t="e">
        <f t="shared" ca="1" si="155"/>
        <v>#N/A</v>
      </c>
      <c r="AT403" s="406" t="e">
        <f t="shared" ca="1" si="155"/>
        <v>#N/A</v>
      </c>
      <c r="AU403" s="406" t="e">
        <f t="shared" ca="1" si="155"/>
        <v>#N/A</v>
      </c>
      <c r="AV403" s="406" t="e">
        <f t="shared" ca="1" si="155"/>
        <v>#N/A</v>
      </c>
      <c r="AW403" s="406" t="e">
        <f t="shared" ca="1" si="155"/>
        <v>#N/A</v>
      </c>
      <c r="AX403" s="406" t="e">
        <f t="shared" ca="1" si="155"/>
        <v>#N/A</v>
      </c>
      <c r="AY403" s="406" t="e">
        <f t="shared" ca="1" si="155"/>
        <v>#N/A</v>
      </c>
      <c r="AZ403" s="406" t="e">
        <f t="shared" ca="1" si="155"/>
        <v>#N/A</v>
      </c>
      <c r="BA403" s="406" t="e">
        <f t="shared" ca="1" si="155"/>
        <v>#N/A</v>
      </c>
      <c r="BB403" s="408"/>
      <c r="BC403" s="408" t="str">
        <f t="shared" ca="1" si="154"/>
        <v/>
      </c>
      <c r="BD403" s="408" t="s">
        <v>1278</v>
      </c>
      <c r="BE403" s="408" t="s">
        <v>1278</v>
      </c>
    </row>
    <row r="404" spans="3:57" ht="15" customHeight="1" x14ac:dyDescent="0.25">
      <c r="C404" s="406">
        <f t="shared" si="156"/>
        <v>402</v>
      </c>
      <c r="D404" s="406" t="e">
        <f t="shared" ca="1" si="160"/>
        <v>#N/A</v>
      </c>
      <c r="E404" s="406" t="e">
        <f t="shared" ca="1" si="160"/>
        <v>#N/A</v>
      </c>
      <c r="F404" s="406" t="e">
        <f t="shared" ca="1" si="160"/>
        <v>#N/A</v>
      </c>
      <c r="G404" s="406" t="e">
        <f t="shared" ca="1" si="160"/>
        <v>#N/A</v>
      </c>
      <c r="H404" s="406" t="e">
        <f t="shared" ca="1" si="160"/>
        <v>#N/A</v>
      </c>
      <c r="I404" s="406" t="e">
        <f t="shared" ca="1" si="160"/>
        <v>#N/A</v>
      </c>
      <c r="J404" s="406" t="e">
        <f t="shared" ca="1" si="160"/>
        <v>#N/A</v>
      </c>
      <c r="K404" s="406" t="e">
        <f t="shared" ca="1" si="160"/>
        <v>#N/A</v>
      </c>
      <c r="L404" s="406" t="e">
        <f t="shared" ca="1" si="160"/>
        <v>#N/A</v>
      </c>
      <c r="M404" s="406" t="e">
        <f t="shared" ca="1" si="160"/>
        <v>#N/A</v>
      </c>
      <c r="N404" s="406" t="e">
        <f t="shared" ca="1" si="158"/>
        <v>#N/A</v>
      </c>
      <c r="O404" s="406" t="e">
        <f t="shared" ca="1" si="158"/>
        <v>#N/A</v>
      </c>
      <c r="P404" s="406" t="e">
        <f t="shared" ca="1" si="158"/>
        <v>#N/A</v>
      </c>
      <c r="Q404" s="406" t="e">
        <f t="shared" ca="1" si="158"/>
        <v>#N/A</v>
      </c>
      <c r="R404" s="406" t="e">
        <f t="shared" ca="1" si="158"/>
        <v>#N/A</v>
      </c>
      <c r="S404" s="406" t="e">
        <f t="shared" ca="1" si="158"/>
        <v>#N/A</v>
      </c>
      <c r="T404" s="406" t="e">
        <f t="shared" ca="1" si="158"/>
        <v>#N/A</v>
      </c>
      <c r="U404" s="406" t="e">
        <f t="shared" ca="1" si="158"/>
        <v>#N/A</v>
      </c>
      <c r="V404" s="406" t="e">
        <f t="shared" ca="1" si="158"/>
        <v>#N/A</v>
      </c>
      <c r="W404" s="406" t="e">
        <f t="shared" ca="1" si="158"/>
        <v>#N/A</v>
      </c>
      <c r="X404" s="406" t="e">
        <f t="shared" ca="1" si="157"/>
        <v>#N/A</v>
      </c>
      <c r="Y404" s="406" t="e">
        <f t="shared" ca="1" si="157"/>
        <v>#N/A</v>
      </c>
      <c r="Z404" s="406" t="e">
        <f t="shared" ca="1" si="157"/>
        <v>#N/A</v>
      </c>
      <c r="AA404" s="406" t="e">
        <f t="shared" ca="1" si="157"/>
        <v>#N/A</v>
      </c>
      <c r="AB404" s="406" t="e">
        <f t="shared" ca="1" si="157"/>
        <v>#N/A</v>
      </c>
      <c r="AC404" s="406" t="e">
        <f t="shared" ca="1" si="157"/>
        <v>#N/A</v>
      </c>
      <c r="AD404" s="406" t="e">
        <f t="shared" ca="1" si="157"/>
        <v>#N/A</v>
      </c>
      <c r="AE404" s="406" t="e">
        <f t="shared" ca="1" si="157"/>
        <v>#N/A</v>
      </c>
      <c r="AF404" s="406" t="e">
        <f t="shared" ca="1" si="157"/>
        <v>#N/A</v>
      </c>
      <c r="AG404" s="406" t="e">
        <f t="shared" ca="1" si="157"/>
        <v>#N/A</v>
      </c>
      <c r="AH404" s="406" t="e">
        <f t="shared" ca="1" si="159"/>
        <v>#N/A</v>
      </c>
      <c r="AI404" s="406" t="e">
        <f t="shared" ca="1" si="159"/>
        <v>#N/A</v>
      </c>
      <c r="AJ404" s="406" t="e">
        <f t="shared" ca="1" si="159"/>
        <v>#N/A</v>
      </c>
      <c r="AK404" s="406" t="e">
        <f t="shared" ca="1" si="159"/>
        <v>#N/A</v>
      </c>
      <c r="AL404" s="406" t="e">
        <f t="shared" ca="1" si="159"/>
        <v>#N/A</v>
      </c>
      <c r="AM404" s="406" t="e">
        <f t="shared" ca="1" si="159"/>
        <v>#N/A</v>
      </c>
      <c r="AN404" s="406" t="e">
        <f t="shared" ca="1" si="159"/>
        <v>#N/A</v>
      </c>
      <c r="AO404" s="406" t="e">
        <f t="shared" ca="1" si="159"/>
        <v>#N/A</v>
      </c>
      <c r="AP404" s="406" t="e">
        <f t="shared" ca="1" si="159"/>
        <v>#N/A</v>
      </c>
      <c r="AQ404" s="406" t="e">
        <f t="shared" ca="1" si="159"/>
        <v>#N/A</v>
      </c>
      <c r="AR404" s="406" t="e">
        <f t="shared" ca="1" si="155"/>
        <v>#N/A</v>
      </c>
      <c r="AS404" s="406" t="e">
        <f t="shared" ca="1" si="155"/>
        <v>#N/A</v>
      </c>
      <c r="AT404" s="406" t="e">
        <f t="shared" ca="1" si="155"/>
        <v>#N/A</v>
      </c>
      <c r="AU404" s="406" t="e">
        <f t="shared" ca="1" si="155"/>
        <v>#N/A</v>
      </c>
      <c r="AV404" s="406" t="e">
        <f t="shared" ca="1" si="155"/>
        <v>#N/A</v>
      </c>
      <c r="AW404" s="406" t="e">
        <f t="shared" ca="1" si="155"/>
        <v>#N/A</v>
      </c>
      <c r="AX404" s="406" t="e">
        <f t="shared" ca="1" si="155"/>
        <v>#N/A</v>
      </c>
      <c r="AY404" s="406" t="e">
        <f t="shared" ca="1" si="155"/>
        <v>#N/A</v>
      </c>
      <c r="AZ404" s="406" t="e">
        <f t="shared" ca="1" si="155"/>
        <v>#N/A</v>
      </c>
      <c r="BA404" s="406" t="e">
        <f t="shared" ca="1" si="155"/>
        <v>#N/A</v>
      </c>
      <c r="BB404" s="408"/>
      <c r="BC404" s="408" t="str">
        <f t="shared" ca="1" si="154"/>
        <v/>
      </c>
      <c r="BD404" s="408" t="s">
        <v>1278</v>
      </c>
      <c r="BE404" s="408" t="s">
        <v>1278</v>
      </c>
    </row>
    <row r="405" spans="3:57" x14ac:dyDescent="0.25">
      <c r="C405" s="406">
        <f t="shared" si="156"/>
        <v>403</v>
      </c>
      <c r="D405" s="406" t="e">
        <f t="shared" ca="1" si="160"/>
        <v>#N/A</v>
      </c>
      <c r="E405" s="406" t="e">
        <f t="shared" ca="1" si="160"/>
        <v>#N/A</v>
      </c>
      <c r="F405" s="406" t="e">
        <f t="shared" ca="1" si="160"/>
        <v>#N/A</v>
      </c>
      <c r="G405" s="406" t="e">
        <f t="shared" ca="1" si="160"/>
        <v>#N/A</v>
      </c>
      <c r="H405" s="406" t="e">
        <f t="shared" ca="1" si="160"/>
        <v>#N/A</v>
      </c>
      <c r="I405" s="406" t="e">
        <f t="shared" ca="1" si="160"/>
        <v>#N/A</v>
      </c>
      <c r="J405" s="406" t="e">
        <f t="shared" ca="1" si="160"/>
        <v>#N/A</v>
      </c>
      <c r="K405" s="406" t="e">
        <f t="shared" ca="1" si="160"/>
        <v>#N/A</v>
      </c>
      <c r="L405" s="406" t="e">
        <f t="shared" ca="1" si="160"/>
        <v>#N/A</v>
      </c>
      <c r="M405" s="406" t="e">
        <f t="shared" ca="1" si="160"/>
        <v>#N/A</v>
      </c>
      <c r="N405" s="406" t="e">
        <f t="shared" ca="1" si="158"/>
        <v>#N/A</v>
      </c>
      <c r="O405" s="406" t="e">
        <f t="shared" ca="1" si="158"/>
        <v>#N/A</v>
      </c>
      <c r="P405" s="406" t="e">
        <f t="shared" ca="1" si="158"/>
        <v>#N/A</v>
      </c>
      <c r="Q405" s="406" t="e">
        <f t="shared" ca="1" si="158"/>
        <v>#N/A</v>
      </c>
      <c r="R405" s="406" t="e">
        <f t="shared" ca="1" si="158"/>
        <v>#N/A</v>
      </c>
      <c r="S405" s="406" t="e">
        <f t="shared" ca="1" si="158"/>
        <v>#N/A</v>
      </c>
      <c r="T405" s="406" t="e">
        <f t="shared" ca="1" si="158"/>
        <v>#N/A</v>
      </c>
      <c r="U405" s="406" t="e">
        <f t="shared" ca="1" si="158"/>
        <v>#N/A</v>
      </c>
      <c r="V405" s="406" t="e">
        <f t="shared" ca="1" si="158"/>
        <v>#N/A</v>
      </c>
      <c r="W405" s="406" t="e">
        <f t="shared" ca="1" si="158"/>
        <v>#N/A</v>
      </c>
      <c r="X405" s="406" t="e">
        <f t="shared" ca="1" si="157"/>
        <v>#N/A</v>
      </c>
      <c r="Y405" s="406" t="e">
        <f t="shared" ca="1" si="157"/>
        <v>#N/A</v>
      </c>
      <c r="Z405" s="406" t="e">
        <f t="shared" ca="1" si="157"/>
        <v>#N/A</v>
      </c>
      <c r="AA405" s="406" t="e">
        <f t="shared" ca="1" si="157"/>
        <v>#N/A</v>
      </c>
      <c r="AB405" s="406" t="e">
        <f t="shared" ca="1" si="157"/>
        <v>#N/A</v>
      </c>
      <c r="AC405" s="406" t="e">
        <f t="shared" ca="1" si="157"/>
        <v>#N/A</v>
      </c>
      <c r="AD405" s="406" t="e">
        <f t="shared" ca="1" si="157"/>
        <v>#N/A</v>
      </c>
      <c r="AE405" s="406" t="e">
        <f t="shared" ca="1" si="157"/>
        <v>#N/A</v>
      </c>
      <c r="AF405" s="406" t="e">
        <f t="shared" ca="1" si="157"/>
        <v>#N/A</v>
      </c>
      <c r="AG405" s="406" t="e">
        <f t="shared" ca="1" si="157"/>
        <v>#N/A</v>
      </c>
      <c r="AH405" s="406" t="e">
        <f t="shared" ca="1" si="159"/>
        <v>#N/A</v>
      </c>
      <c r="AI405" s="406" t="e">
        <f t="shared" ca="1" si="159"/>
        <v>#N/A</v>
      </c>
      <c r="AJ405" s="406" t="e">
        <f t="shared" ca="1" si="159"/>
        <v>#N/A</v>
      </c>
      <c r="AK405" s="406" t="e">
        <f t="shared" ca="1" si="159"/>
        <v>#N/A</v>
      </c>
      <c r="AL405" s="406" t="e">
        <f t="shared" ca="1" si="159"/>
        <v>#N/A</v>
      </c>
      <c r="AM405" s="406" t="e">
        <f t="shared" ca="1" si="159"/>
        <v>#N/A</v>
      </c>
      <c r="AN405" s="406" t="e">
        <f t="shared" ca="1" si="159"/>
        <v>#N/A</v>
      </c>
      <c r="AO405" s="406" t="e">
        <f t="shared" ca="1" si="159"/>
        <v>#N/A</v>
      </c>
      <c r="AP405" s="406" t="e">
        <f t="shared" ca="1" si="159"/>
        <v>#N/A</v>
      </c>
      <c r="AQ405" s="406" t="e">
        <f t="shared" ca="1" si="159"/>
        <v>#N/A</v>
      </c>
      <c r="AR405" s="406" t="e">
        <f t="shared" ca="1" si="155"/>
        <v>#N/A</v>
      </c>
      <c r="AS405" s="406" t="e">
        <f t="shared" ca="1" si="155"/>
        <v>#N/A</v>
      </c>
      <c r="AT405" s="406" t="e">
        <f t="shared" ca="1" si="155"/>
        <v>#N/A</v>
      </c>
      <c r="AU405" s="406" t="e">
        <f t="shared" ca="1" si="155"/>
        <v>#N/A</v>
      </c>
      <c r="AV405" s="406" t="e">
        <f t="shared" ca="1" si="155"/>
        <v>#N/A</v>
      </c>
      <c r="AW405" s="406" t="e">
        <f t="shared" ca="1" si="155"/>
        <v>#N/A</v>
      </c>
      <c r="AX405" s="406" t="e">
        <f t="shared" ca="1" si="155"/>
        <v>#N/A</v>
      </c>
      <c r="AY405" s="406" t="e">
        <f t="shared" ca="1" si="155"/>
        <v>#N/A</v>
      </c>
      <c r="AZ405" s="406" t="e">
        <f t="shared" ca="1" si="155"/>
        <v>#N/A</v>
      </c>
      <c r="BA405" s="406" t="e">
        <f t="shared" ca="1" si="155"/>
        <v>#N/A</v>
      </c>
      <c r="BB405" s="408"/>
      <c r="BC405" s="408" t="str">
        <f t="shared" ca="1" si="154"/>
        <v/>
      </c>
      <c r="BD405" s="408" t="s">
        <v>1278</v>
      </c>
      <c r="BE405" s="408" t="s">
        <v>1278</v>
      </c>
    </row>
    <row r="406" spans="3:57" x14ac:dyDescent="0.25">
      <c r="C406" s="406">
        <f t="shared" si="156"/>
        <v>404</v>
      </c>
      <c r="D406" s="406" t="e">
        <f t="shared" ca="1" si="160"/>
        <v>#N/A</v>
      </c>
      <c r="E406" s="406" t="e">
        <f t="shared" ca="1" si="160"/>
        <v>#N/A</v>
      </c>
      <c r="F406" s="406" t="e">
        <f t="shared" ca="1" si="160"/>
        <v>#N/A</v>
      </c>
      <c r="G406" s="406" t="e">
        <f t="shared" ca="1" si="160"/>
        <v>#N/A</v>
      </c>
      <c r="H406" s="406" t="e">
        <f t="shared" ca="1" si="160"/>
        <v>#N/A</v>
      </c>
      <c r="I406" s="406" t="e">
        <f t="shared" ca="1" si="160"/>
        <v>#N/A</v>
      </c>
      <c r="J406" s="406" t="e">
        <f t="shared" ca="1" si="160"/>
        <v>#N/A</v>
      </c>
      <c r="K406" s="406" t="e">
        <f t="shared" ca="1" si="160"/>
        <v>#N/A</v>
      </c>
      <c r="L406" s="406" t="e">
        <f t="shared" ca="1" si="160"/>
        <v>#N/A</v>
      </c>
      <c r="M406" s="406" t="e">
        <f t="shared" ca="1" si="160"/>
        <v>#N/A</v>
      </c>
      <c r="N406" s="406" t="e">
        <f t="shared" ca="1" si="158"/>
        <v>#N/A</v>
      </c>
      <c r="O406" s="406" t="e">
        <f t="shared" ca="1" si="158"/>
        <v>#N/A</v>
      </c>
      <c r="P406" s="406" t="e">
        <f t="shared" ca="1" si="158"/>
        <v>#N/A</v>
      </c>
      <c r="Q406" s="406" t="e">
        <f t="shared" ca="1" si="158"/>
        <v>#N/A</v>
      </c>
      <c r="R406" s="406" t="e">
        <f t="shared" ca="1" si="158"/>
        <v>#N/A</v>
      </c>
      <c r="S406" s="406" t="e">
        <f t="shared" ca="1" si="158"/>
        <v>#N/A</v>
      </c>
      <c r="T406" s="406" t="e">
        <f t="shared" ca="1" si="158"/>
        <v>#N/A</v>
      </c>
      <c r="U406" s="406" t="e">
        <f t="shared" ca="1" si="158"/>
        <v>#N/A</v>
      </c>
      <c r="V406" s="406" t="e">
        <f t="shared" ca="1" si="158"/>
        <v>#N/A</v>
      </c>
      <c r="W406" s="406" t="e">
        <f t="shared" ca="1" si="158"/>
        <v>#N/A</v>
      </c>
      <c r="X406" s="406" t="e">
        <f t="shared" ca="1" si="157"/>
        <v>#N/A</v>
      </c>
      <c r="Y406" s="406" t="e">
        <f t="shared" ca="1" si="157"/>
        <v>#N/A</v>
      </c>
      <c r="Z406" s="406" t="e">
        <f t="shared" ca="1" si="157"/>
        <v>#N/A</v>
      </c>
      <c r="AA406" s="406" t="e">
        <f t="shared" ca="1" si="157"/>
        <v>#N/A</v>
      </c>
      <c r="AB406" s="406" t="e">
        <f t="shared" ca="1" si="157"/>
        <v>#N/A</v>
      </c>
      <c r="AC406" s="406" t="e">
        <f t="shared" ca="1" si="157"/>
        <v>#N/A</v>
      </c>
      <c r="AD406" s="406" t="e">
        <f t="shared" ca="1" si="157"/>
        <v>#N/A</v>
      </c>
      <c r="AE406" s="406" t="e">
        <f t="shared" ca="1" si="157"/>
        <v>#N/A</v>
      </c>
      <c r="AF406" s="406" t="e">
        <f t="shared" ca="1" si="157"/>
        <v>#N/A</v>
      </c>
      <c r="AG406" s="406" t="e">
        <f t="shared" ca="1" si="157"/>
        <v>#N/A</v>
      </c>
      <c r="AH406" s="406" t="e">
        <f t="shared" ca="1" si="159"/>
        <v>#N/A</v>
      </c>
      <c r="AI406" s="406" t="e">
        <f t="shared" ca="1" si="159"/>
        <v>#N/A</v>
      </c>
      <c r="AJ406" s="406" t="e">
        <f t="shared" ca="1" si="159"/>
        <v>#N/A</v>
      </c>
      <c r="AK406" s="406" t="e">
        <f t="shared" ca="1" si="159"/>
        <v>#N/A</v>
      </c>
      <c r="AL406" s="406" t="e">
        <f t="shared" ca="1" si="159"/>
        <v>#N/A</v>
      </c>
      <c r="AM406" s="406" t="e">
        <f t="shared" ca="1" si="159"/>
        <v>#N/A</v>
      </c>
      <c r="AN406" s="406" t="e">
        <f t="shared" ca="1" si="159"/>
        <v>#N/A</v>
      </c>
      <c r="AO406" s="406" t="e">
        <f t="shared" ca="1" si="159"/>
        <v>#N/A</v>
      </c>
      <c r="AP406" s="406" t="e">
        <f t="shared" ca="1" si="159"/>
        <v>#N/A</v>
      </c>
      <c r="AQ406" s="406" t="e">
        <f t="shared" ca="1" si="159"/>
        <v>#N/A</v>
      </c>
      <c r="AR406" s="406" t="e">
        <f t="shared" ca="1" si="155"/>
        <v>#N/A</v>
      </c>
      <c r="AS406" s="406" t="e">
        <f t="shared" ca="1" si="155"/>
        <v>#N/A</v>
      </c>
      <c r="AT406" s="406" t="e">
        <f t="shared" ca="1" si="155"/>
        <v>#N/A</v>
      </c>
      <c r="AU406" s="406" t="e">
        <f t="shared" ca="1" si="155"/>
        <v>#N/A</v>
      </c>
      <c r="AV406" s="406" t="e">
        <f t="shared" ca="1" si="155"/>
        <v>#N/A</v>
      </c>
      <c r="AW406" s="406" t="e">
        <f t="shared" ca="1" si="155"/>
        <v>#N/A</v>
      </c>
      <c r="AX406" s="406" t="e">
        <f t="shared" ca="1" si="155"/>
        <v>#N/A</v>
      </c>
      <c r="AY406" s="406" t="e">
        <f t="shared" ca="1" si="155"/>
        <v>#N/A</v>
      </c>
      <c r="AZ406" s="406" t="e">
        <f t="shared" ca="1" si="155"/>
        <v>#N/A</v>
      </c>
      <c r="BA406" s="406" t="e">
        <f t="shared" ca="1" si="155"/>
        <v>#N/A</v>
      </c>
      <c r="BB406" s="408"/>
      <c r="BC406" s="408" t="str">
        <f t="shared" ca="1" si="154"/>
        <v/>
      </c>
      <c r="BD406" s="408" t="s">
        <v>1278</v>
      </c>
      <c r="BE406" s="408" t="s">
        <v>1278</v>
      </c>
    </row>
    <row r="407" spans="3:57" x14ac:dyDescent="0.25">
      <c r="C407" s="406">
        <f t="shared" si="156"/>
        <v>405</v>
      </c>
      <c r="D407" s="406" t="e">
        <f t="shared" ca="1" si="160"/>
        <v>#N/A</v>
      </c>
      <c r="E407" s="406" t="e">
        <f t="shared" ca="1" si="160"/>
        <v>#N/A</v>
      </c>
      <c r="F407" s="406" t="e">
        <f t="shared" ca="1" si="160"/>
        <v>#N/A</v>
      </c>
      <c r="G407" s="406" t="e">
        <f t="shared" ca="1" si="160"/>
        <v>#N/A</v>
      </c>
      <c r="H407" s="406" t="e">
        <f t="shared" ca="1" si="160"/>
        <v>#N/A</v>
      </c>
      <c r="I407" s="406" t="e">
        <f t="shared" ca="1" si="160"/>
        <v>#N/A</v>
      </c>
      <c r="J407" s="406" t="e">
        <f t="shared" ca="1" si="160"/>
        <v>#N/A</v>
      </c>
      <c r="K407" s="406" t="e">
        <f t="shared" ca="1" si="160"/>
        <v>#N/A</v>
      </c>
      <c r="L407" s="406" t="e">
        <f t="shared" ca="1" si="160"/>
        <v>#N/A</v>
      </c>
      <c r="M407" s="406" t="e">
        <f t="shared" ca="1" si="160"/>
        <v>#N/A</v>
      </c>
      <c r="N407" s="406" t="e">
        <f t="shared" ca="1" si="158"/>
        <v>#N/A</v>
      </c>
      <c r="O407" s="406" t="e">
        <f t="shared" ca="1" si="158"/>
        <v>#N/A</v>
      </c>
      <c r="P407" s="406" t="e">
        <f t="shared" ca="1" si="158"/>
        <v>#N/A</v>
      </c>
      <c r="Q407" s="406" t="e">
        <f t="shared" ca="1" si="158"/>
        <v>#N/A</v>
      </c>
      <c r="R407" s="406" t="e">
        <f t="shared" ca="1" si="158"/>
        <v>#N/A</v>
      </c>
      <c r="S407" s="406" t="e">
        <f t="shared" ca="1" si="158"/>
        <v>#N/A</v>
      </c>
      <c r="T407" s="406" t="e">
        <f t="shared" ca="1" si="158"/>
        <v>#N/A</v>
      </c>
      <c r="U407" s="406" t="e">
        <f t="shared" ca="1" si="158"/>
        <v>#N/A</v>
      </c>
      <c r="V407" s="406" t="e">
        <f t="shared" ca="1" si="158"/>
        <v>#N/A</v>
      </c>
      <c r="W407" s="406" t="e">
        <f t="shared" ca="1" si="158"/>
        <v>#N/A</v>
      </c>
      <c r="X407" s="406" t="e">
        <f t="shared" ca="1" si="157"/>
        <v>#N/A</v>
      </c>
      <c r="Y407" s="406" t="e">
        <f t="shared" ca="1" si="157"/>
        <v>#N/A</v>
      </c>
      <c r="Z407" s="406" t="e">
        <f t="shared" ca="1" si="157"/>
        <v>#N/A</v>
      </c>
      <c r="AA407" s="406" t="e">
        <f t="shared" ca="1" si="157"/>
        <v>#N/A</v>
      </c>
      <c r="AB407" s="406" t="e">
        <f t="shared" ca="1" si="157"/>
        <v>#N/A</v>
      </c>
      <c r="AC407" s="406" t="e">
        <f t="shared" ca="1" si="157"/>
        <v>#N/A</v>
      </c>
      <c r="AD407" s="406" t="e">
        <f t="shared" ca="1" si="157"/>
        <v>#N/A</v>
      </c>
      <c r="AE407" s="406" t="e">
        <f t="shared" ca="1" si="157"/>
        <v>#N/A</v>
      </c>
      <c r="AF407" s="406" t="e">
        <f t="shared" ca="1" si="157"/>
        <v>#N/A</v>
      </c>
      <c r="AG407" s="406" t="e">
        <f t="shared" ca="1" si="157"/>
        <v>#N/A</v>
      </c>
      <c r="AH407" s="406" t="e">
        <f t="shared" ca="1" si="159"/>
        <v>#N/A</v>
      </c>
      <c r="AI407" s="406" t="e">
        <f t="shared" ca="1" si="159"/>
        <v>#N/A</v>
      </c>
      <c r="AJ407" s="406" t="e">
        <f t="shared" ca="1" si="159"/>
        <v>#N/A</v>
      </c>
      <c r="AK407" s="406" t="e">
        <f t="shared" ca="1" si="159"/>
        <v>#N/A</v>
      </c>
      <c r="AL407" s="406" t="e">
        <f t="shared" ca="1" si="159"/>
        <v>#N/A</v>
      </c>
      <c r="AM407" s="406" t="e">
        <f t="shared" ca="1" si="159"/>
        <v>#N/A</v>
      </c>
      <c r="AN407" s="406" t="e">
        <f t="shared" ca="1" si="159"/>
        <v>#N/A</v>
      </c>
      <c r="AO407" s="406" t="e">
        <f t="shared" ca="1" si="159"/>
        <v>#N/A</v>
      </c>
      <c r="AP407" s="406" t="e">
        <f t="shared" ca="1" si="159"/>
        <v>#N/A</v>
      </c>
      <c r="AQ407" s="406" t="e">
        <f t="shared" ca="1" si="159"/>
        <v>#N/A</v>
      </c>
      <c r="AR407" s="406" t="e">
        <f t="shared" ca="1" si="155"/>
        <v>#N/A</v>
      </c>
      <c r="AS407" s="406" t="e">
        <f t="shared" ca="1" si="155"/>
        <v>#N/A</v>
      </c>
      <c r="AT407" s="406" t="e">
        <f t="shared" ca="1" si="155"/>
        <v>#N/A</v>
      </c>
      <c r="AU407" s="406" t="e">
        <f t="shared" ca="1" si="155"/>
        <v>#N/A</v>
      </c>
      <c r="AV407" s="406" t="e">
        <f t="shared" ca="1" si="155"/>
        <v>#N/A</v>
      </c>
      <c r="AW407" s="406" t="e">
        <f t="shared" ca="1" si="155"/>
        <v>#N/A</v>
      </c>
      <c r="AX407" s="406" t="e">
        <f t="shared" ca="1" si="155"/>
        <v>#N/A</v>
      </c>
      <c r="AY407" s="406" t="e">
        <f t="shared" ca="1" si="155"/>
        <v>#N/A</v>
      </c>
      <c r="AZ407" s="406" t="e">
        <f t="shared" ca="1" si="155"/>
        <v>#N/A</v>
      </c>
      <c r="BA407" s="406" t="e">
        <f t="shared" ca="1" si="155"/>
        <v>#N/A</v>
      </c>
      <c r="BB407" s="408"/>
      <c r="BC407" s="408" t="str">
        <f t="shared" ca="1" si="154"/>
        <v/>
      </c>
      <c r="BD407" s="408" t="s">
        <v>1278</v>
      </c>
      <c r="BE407" s="408" t="s">
        <v>1278</v>
      </c>
    </row>
    <row r="408" spans="3:57" x14ac:dyDescent="0.25">
      <c r="C408" s="406">
        <f t="shared" si="156"/>
        <v>406</v>
      </c>
      <c r="D408" s="406" t="e">
        <f t="shared" ca="1" si="160"/>
        <v>#N/A</v>
      </c>
      <c r="E408" s="406" t="e">
        <f t="shared" ca="1" si="160"/>
        <v>#N/A</v>
      </c>
      <c r="F408" s="406" t="e">
        <f t="shared" ca="1" si="160"/>
        <v>#N/A</v>
      </c>
      <c r="G408" s="406" t="e">
        <f t="shared" ca="1" si="160"/>
        <v>#N/A</v>
      </c>
      <c r="H408" s="406" t="e">
        <f t="shared" ca="1" si="160"/>
        <v>#N/A</v>
      </c>
      <c r="I408" s="406" t="e">
        <f t="shared" ca="1" si="160"/>
        <v>#N/A</v>
      </c>
      <c r="J408" s="406" t="e">
        <f t="shared" ca="1" si="160"/>
        <v>#N/A</v>
      </c>
      <c r="K408" s="406" t="e">
        <f t="shared" ca="1" si="160"/>
        <v>#N/A</v>
      </c>
      <c r="L408" s="406" t="e">
        <f t="shared" ca="1" si="160"/>
        <v>#N/A</v>
      </c>
      <c r="M408" s="406" t="e">
        <f t="shared" ca="1" si="160"/>
        <v>#N/A</v>
      </c>
      <c r="N408" s="406" t="e">
        <f t="shared" ca="1" si="158"/>
        <v>#N/A</v>
      </c>
      <c r="O408" s="406" t="e">
        <f t="shared" ca="1" si="158"/>
        <v>#N/A</v>
      </c>
      <c r="P408" s="406" t="e">
        <f t="shared" ca="1" si="158"/>
        <v>#N/A</v>
      </c>
      <c r="Q408" s="406" t="e">
        <f t="shared" ca="1" si="158"/>
        <v>#N/A</v>
      </c>
      <c r="R408" s="406" t="e">
        <f t="shared" ca="1" si="158"/>
        <v>#N/A</v>
      </c>
      <c r="S408" s="406" t="e">
        <f t="shared" ca="1" si="158"/>
        <v>#N/A</v>
      </c>
      <c r="T408" s="406" t="e">
        <f t="shared" ca="1" si="158"/>
        <v>#N/A</v>
      </c>
      <c r="U408" s="406" t="e">
        <f t="shared" ca="1" si="158"/>
        <v>#N/A</v>
      </c>
      <c r="V408" s="406" t="e">
        <f t="shared" ca="1" si="158"/>
        <v>#N/A</v>
      </c>
      <c r="W408" s="406" t="e">
        <f t="shared" ca="1" si="158"/>
        <v>#N/A</v>
      </c>
      <c r="X408" s="406" t="e">
        <f t="shared" ca="1" si="157"/>
        <v>#N/A</v>
      </c>
      <c r="Y408" s="406" t="e">
        <f t="shared" ca="1" si="157"/>
        <v>#N/A</v>
      </c>
      <c r="Z408" s="406" t="e">
        <f t="shared" ca="1" si="157"/>
        <v>#N/A</v>
      </c>
      <c r="AA408" s="406" t="e">
        <f t="shared" ca="1" si="157"/>
        <v>#N/A</v>
      </c>
      <c r="AB408" s="406" t="e">
        <f t="shared" ca="1" si="157"/>
        <v>#N/A</v>
      </c>
      <c r="AC408" s="406" t="e">
        <f t="shared" ca="1" si="157"/>
        <v>#N/A</v>
      </c>
      <c r="AD408" s="406" t="e">
        <f t="shared" ca="1" si="157"/>
        <v>#N/A</v>
      </c>
      <c r="AE408" s="406" t="e">
        <f t="shared" ca="1" si="157"/>
        <v>#N/A</v>
      </c>
      <c r="AF408" s="406" t="e">
        <f t="shared" ca="1" si="157"/>
        <v>#N/A</v>
      </c>
      <c r="AG408" s="406" t="e">
        <f t="shared" ca="1" si="157"/>
        <v>#N/A</v>
      </c>
      <c r="AH408" s="406" t="e">
        <f t="shared" ca="1" si="159"/>
        <v>#N/A</v>
      </c>
      <c r="AI408" s="406" t="e">
        <f t="shared" ca="1" si="159"/>
        <v>#N/A</v>
      </c>
      <c r="AJ408" s="406" t="e">
        <f t="shared" ca="1" si="159"/>
        <v>#N/A</v>
      </c>
      <c r="AK408" s="406" t="e">
        <f t="shared" ca="1" si="159"/>
        <v>#N/A</v>
      </c>
      <c r="AL408" s="406" t="e">
        <f t="shared" ca="1" si="159"/>
        <v>#N/A</v>
      </c>
      <c r="AM408" s="406" t="e">
        <f t="shared" ca="1" si="159"/>
        <v>#N/A</v>
      </c>
      <c r="AN408" s="406" t="e">
        <f t="shared" ca="1" si="159"/>
        <v>#N/A</v>
      </c>
      <c r="AO408" s="406" t="e">
        <f t="shared" ca="1" si="159"/>
        <v>#N/A</v>
      </c>
      <c r="AP408" s="406" t="e">
        <f t="shared" ca="1" si="159"/>
        <v>#N/A</v>
      </c>
      <c r="AQ408" s="406" t="e">
        <f t="shared" ca="1" si="159"/>
        <v>#N/A</v>
      </c>
      <c r="AR408" s="406" t="e">
        <f t="shared" ca="1" si="155"/>
        <v>#N/A</v>
      </c>
      <c r="AS408" s="406" t="e">
        <f t="shared" ca="1" si="155"/>
        <v>#N/A</v>
      </c>
      <c r="AT408" s="406" t="e">
        <f t="shared" ca="1" si="155"/>
        <v>#N/A</v>
      </c>
      <c r="AU408" s="406" t="e">
        <f t="shared" ca="1" si="155"/>
        <v>#N/A</v>
      </c>
      <c r="AV408" s="406" t="e">
        <f t="shared" ca="1" si="155"/>
        <v>#N/A</v>
      </c>
      <c r="AW408" s="406" t="e">
        <f t="shared" ca="1" si="155"/>
        <v>#N/A</v>
      </c>
      <c r="AX408" s="406" t="e">
        <f t="shared" ca="1" si="155"/>
        <v>#N/A</v>
      </c>
      <c r="AY408" s="406" t="e">
        <f t="shared" ca="1" si="155"/>
        <v>#N/A</v>
      </c>
      <c r="AZ408" s="406" t="e">
        <f t="shared" ca="1" si="155"/>
        <v>#N/A</v>
      </c>
      <c r="BA408" s="406" t="e">
        <f t="shared" ca="1" si="155"/>
        <v>#N/A</v>
      </c>
      <c r="BB408" s="408"/>
      <c r="BC408" s="408" t="str">
        <f t="shared" ca="1" si="154"/>
        <v/>
      </c>
      <c r="BD408" s="408" t="s">
        <v>1278</v>
      </c>
      <c r="BE408" s="408" t="s">
        <v>1278</v>
      </c>
    </row>
    <row r="409" spans="3:57" x14ac:dyDescent="0.25">
      <c r="C409" s="406">
        <f t="shared" si="156"/>
        <v>407</v>
      </c>
      <c r="D409" s="406" t="e">
        <f t="shared" ca="1" si="160"/>
        <v>#N/A</v>
      </c>
      <c r="E409" s="406" t="e">
        <f t="shared" ca="1" si="160"/>
        <v>#N/A</v>
      </c>
      <c r="F409" s="406" t="e">
        <f t="shared" ca="1" si="160"/>
        <v>#N/A</v>
      </c>
      <c r="G409" s="406" t="e">
        <f t="shared" ca="1" si="160"/>
        <v>#N/A</v>
      </c>
      <c r="H409" s="406" t="e">
        <f t="shared" ca="1" si="160"/>
        <v>#N/A</v>
      </c>
      <c r="I409" s="406" t="e">
        <f t="shared" ca="1" si="160"/>
        <v>#N/A</v>
      </c>
      <c r="J409" s="406" t="e">
        <f t="shared" ca="1" si="160"/>
        <v>#N/A</v>
      </c>
      <c r="K409" s="406" t="e">
        <f t="shared" ca="1" si="160"/>
        <v>#N/A</v>
      </c>
      <c r="L409" s="406" t="e">
        <f t="shared" ca="1" si="160"/>
        <v>#N/A</v>
      </c>
      <c r="M409" s="406" t="e">
        <f t="shared" ca="1" si="160"/>
        <v>#N/A</v>
      </c>
      <c r="N409" s="406" t="e">
        <f t="shared" ca="1" si="158"/>
        <v>#N/A</v>
      </c>
      <c r="O409" s="406" t="e">
        <f t="shared" ca="1" si="158"/>
        <v>#N/A</v>
      </c>
      <c r="P409" s="406" t="e">
        <f t="shared" ca="1" si="158"/>
        <v>#N/A</v>
      </c>
      <c r="Q409" s="406" t="e">
        <f t="shared" ca="1" si="158"/>
        <v>#N/A</v>
      </c>
      <c r="R409" s="406" t="e">
        <f t="shared" ca="1" si="158"/>
        <v>#N/A</v>
      </c>
      <c r="S409" s="406" t="e">
        <f t="shared" ca="1" si="158"/>
        <v>#N/A</v>
      </c>
      <c r="T409" s="406" t="e">
        <f t="shared" ca="1" si="158"/>
        <v>#N/A</v>
      </c>
      <c r="U409" s="406" t="e">
        <f t="shared" ca="1" si="158"/>
        <v>#N/A</v>
      </c>
      <c r="V409" s="406" t="e">
        <f t="shared" ca="1" si="158"/>
        <v>#N/A</v>
      </c>
      <c r="W409" s="406" t="e">
        <f t="shared" ca="1" si="158"/>
        <v>#N/A</v>
      </c>
      <c r="X409" s="406" t="e">
        <f t="shared" ca="1" si="157"/>
        <v>#N/A</v>
      </c>
      <c r="Y409" s="406" t="e">
        <f t="shared" ca="1" si="157"/>
        <v>#N/A</v>
      </c>
      <c r="Z409" s="406" t="e">
        <f t="shared" ca="1" si="157"/>
        <v>#N/A</v>
      </c>
      <c r="AA409" s="406" t="e">
        <f t="shared" ca="1" si="157"/>
        <v>#N/A</v>
      </c>
      <c r="AB409" s="406" t="e">
        <f t="shared" ca="1" si="157"/>
        <v>#N/A</v>
      </c>
      <c r="AC409" s="406" t="e">
        <f t="shared" ca="1" si="157"/>
        <v>#N/A</v>
      </c>
      <c r="AD409" s="406" t="e">
        <f t="shared" ca="1" si="157"/>
        <v>#N/A</v>
      </c>
      <c r="AE409" s="406" t="e">
        <f t="shared" ca="1" si="157"/>
        <v>#N/A</v>
      </c>
      <c r="AF409" s="406" t="e">
        <f t="shared" ca="1" si="157"/>
        <v>#N/A</v>
      </c>
      <c r="AG409" s="406" t="e">
        <f t="shared" ca="1" si="157"/>
        <v>#N/A</v>
      </c>
      <c r="AH409" s="406" t="e">
        <f t="shared" ca="1" si="159"/>
        <v>#N/A</v>
      </c>
      <c r="AI409" s="406" t="e">
        <f t="shared" ca="1" si="159"/>
        <v>#N/A</v>
      </c>
      <c r="AJ409" s="406" t="e">
        <f t="shared" ca="1" si="159"/>
        <v>#N/A</v>
      </c>
      <c r="AK409" s="406" t="e">
        <f t="shared" ca="1" si="159"/>
        <v>#N/A</v>
      </c>
      <c r="AL409" s="406" t="e">
        <f t="shared" ca="1" si="159"/>
        <v>#N/A</v>
      </c>
      <c r="AM409" s="406" t="e">
        <f t="shared" ca="1" si="159"/>
        <v>#N/A</v>
      </c>
      <c r="AN409" s="406" t="e">
        <f t="shared" ca="1" si="159"/>
        <v>#N/A</v>
      </c>
      <c r="AO409" s="406" t="e">
        <f t="shared" ca="1" si="159"/>
        <v>#N/A</v>
      </c>
      <c r="AP409" s="406" t="e">
        <f t="shared" ca="1" si="159"/>
        <v>#N/A</v>
      </c>
      <c r="AQ409" s="406" t="e">
        <f t="shared" ca="1" si="159"/>
        <v>#N/A</v>
      </c>
      <c r="AR409" s="406" t="e">
        <f t="shared" ca="1" si="155"/>
        <v>#N/A</v>
      </c>
      <c r="AS409" s="406" t="e">
        <f t="shared" ca="1" si="155"/>
        <v>#N/A</v>
      </c>
      <c r="AT409" s="406" t="e">
        <f t="shared" ca="1" si="155"/>
        <v>#N/A</v>
      </c>
      <c r="AU409" s="406" t="e">
        <f t="shared" ca="1" si="155"/>
        <v>#N/A</v>
      </c>
      <c r="AV409" s="406" t="e">
        <f t="shared" ca="1" si="155"/>
        <v>#N/A</v>
      </c>
      <c r="AW409" s="406" t="e">
        <f t="shared" ca="1" si="155"/>
        <v>#N/A</v>
      </c>
      <c r="AX409" s="406" t="e">
        <f t="shared" ca="1" si="155"/>
        <v>#N/A</v>
      </c>
      <c r="AY409" s="406" t="e">
        <f t="shared" ca="1" si="155"/>
        <v>#N/A</v>
      </c>
      <c r="AZ409" s="406" t="e">
        <f t="shared" ca="1" si="155"/>
        <v>#N/A</v>
      </c>
      <c r="BA409" s="406" t="e">
        <f t="shared" ca="1" si="155"/>
        <v>#N/A</v>
      </c>
      <c r="BB409" s="408"/>
      <c r="BC409" s="408" t="str">
        <f t="shared" ca="1" si="154"/>
        <v/>
      </c>
      <c r="BD409" s="408" t="s">
        <v>1278</v>
      </c>
      <c r="BE409" s="408" t="s">
        <v>1278</v>
      </c>
    </row>
    <row r="410" spans="3:57" x14ac:dyDescent="0.25">
      <c r="C410" s="406">
        <f t="shared" si="156"/>
        <v>408</v>
      </c>
      <c r="D410" s="406" t="e">
        <f t="shared" ca="1" si="160"/>
        <v>#N/A</v>
      </c>
      <c r="E410" s="406" t="e">
        <f t="shared" ca="1" si="160"/>
        <v>#N/A</v>
      </c>
      <c r="F410" s="406" t="e">
        <f t="shared" ca="1" si="160"/>
        <v>#N/A</v>
      </c>
      <c r="G410" s="406" t="e">
        <f t="shared" ca="1" si="160"/>
        <v>#N/A</v>
      </c>
      <c r="H410" s="406" t="e">
        <f t="shared" ca="1" si="160"/>
        <v>#N/A</v>
      </c>
      <c r="I410" s="406" t="e">
        <f t="shared" ca="1" si="160"/>
        <v>#N/A</v>
      </c>
      <c r="J410" s="406" t="e">
        <f t="shared" ca="1" si="160"/>
        <v>#N/A</v>
      </c>
      <c r="K410" s="406" t="e">
        <f t="shared" ca="1" si="160"/>
        <v>#N/A</v>
      </c>
      <c r="L410" s="406" t="e">
        <f t="shared" ca="1" si="160"/>
        <v>#N/A</v>
      </c>
      <c r="M410" s="406" t="e">
        <f t="shared" ca="1" si="160"/>
        <v>#N/A</v>
      </c>
      <c r="N410" s="406" t="e">
        <f t="shared" ca="1" si="158"/>
        <v>#N/A</v>
      </c>
      <c r="O410" s="406" t="e">
        <f t="shared" ca="1" si="158"/>
        <v>#N/A</v>
      </c>
      <c r="P410" s="406" t="e">
        <f t="shared" ca="1" si="158"/>
        <v>#N/A</v>
      </c>
      <c r="Q410" s="406" t="e">
        <f t="shared" ca="1" si="158"/>
        <v>#N/A</v>
      </c>
      <c r="R410" s="406" t="e">
        <f t="shared" ca="1" si="158"/>
        <v>#N/A</v>
      </c>
      <c r="S410" s="406" t="e">
        <f t="shared" ca="1" si="158"/>
        <v>#N/A</v>
      </c>
      <c r="T410" s="406" t="e">
        <f t="shared" ca="1" si="158"/>
        <v>#N/A</v>
      </c>
      <c r="U410" s="406" t="e">
        <f t="shared" ca="1" si="158"/>
        <v>#N/A</v>
      </c>
      <c r="V410" s="406" t="e">
        <f t="shared" ca="1" si="158"/>
        <v>#N/A</v>
      </c>
      <c r="W410" s="406" t="e">
        <f t="shared" ca="1" si="158"/>
        <v>#N/A</v>
      </c>
      <c r="X410" s="406" t="e">
        <f t="shared" ca="1" si="157"/>
        <v>#N/A</v>
      </c>
      <c r="Y410" s="406" t="e">
        <f t="shared" ca="1" si="157"/>
        <v>#N/A</v>
      </c>
      <c r="Z410" s="406" t="e">
        <f t="shared" ca="1" si="157"/>
        <v>#N/A</v>
      </c>
      <c r="AA410" s="406" t="e">
        <f t="shared" ca="1" si="157"/>
        <v>#N/A</v>
      </c>
      <c r="AB410" s="406" t="e">
        <f t="shared" ca="1" si="157"/>
        <v>#N/A</v>
      </c>
      <c r="AC410" s="406" t="e">
        <f t="shared" ca="1" si="157"/>
        <v>#N/A</v>
      </c>
      <c r="AD410" s="406" t="e">
        <f t="shared" ca="1" si="157"/>
        <v>#N/A</v>
      </c>
      <c r="AE410" s="406" t="e">
        <f t="shared" ca="1" si="157"/>
        <v>#N/A</v>
      </c>
      <c r="AF410" s="406" t="e">
        <f t="shared" ca="1" si="157"/>
        <v>#N/A</v>
      </c>
      <c r="AG410" s="406" t="e">
        <f t="shared" ca="1" si="157"/>
        <v>#N/A</v>
      </c>
      <c r="AH410" s="406" t="e">
        <f t="shared" ca="1" si="159"/>
        <v>#N/A</v>
      </c>
      <c r="AI410" s="406" t="e">
        <f t="shared" ca="1" si="159"/>
        <v>#N/A</v>
      </c>
      <c r="AJ410" s="406" t="e">
        <f t="shared" ca="1" si="159"/>
        <v>#N/A</v>
      </c>
      <c r="AK410" s="406" t="e">
        <f t="shared" ca="1" si="159"/>
        <v>#N/A</v>
      </c>
      <c r="AL410" s="406" t="e">
        <f t="shared" ca="1" si="159"/>
        <v>#N/A</v>
      </c>
      <c r="AM410" s="406" t="e">
        <f t="shared" ca="1" si="159"/>
        <v>#N/A</v>
      </c>
      <c r="AN410" s="406" t="e">
        <f t="shared" ca="1" si="159"/>
        <v>#N/A</v>
      </c>
      <c r="AO410" s="406" t="e">
        <f t="shared" ca="1" si="159"/>
        <v>#N/A</v>
      </c>
      <c r="AP410" s="406" t="e">
        <f t="shared" ca="1" si="159"/>
        <v>#N/A</v>
      </c>
      <c r="AQ410" s="406" t="e">
        <f t="shared" ca="1" si="159"/>
        <v>#N/A</v>
      </c>
      <c r="AR410" s="406" t="e">
        <f t="shared" ca="1" si="155"/>
        <v>#N/A</v>
      </c>
      <c r="AS410" s="406" t="e">
        <f t="shared" ca="1" si="155"/>
        <v>#N/A</v>
      </c>
      <c r="AT410" s="406" t="e">
        <f t="shared" ca="1" si="155"/>
        <v>#N/A</v>
      </c>
      <c r="AU410" s="406" t="e">
        <f t="shared" ca="1" si="155"/>
        <v>#N/A</v>
      </c>
      <c r="AV410" s="406" t="e">
        <f t="shared" ca="1" si="155"/>
        <v>#N/A</v>
      </c>
      <c r="AW410" s="406" t="e">
        <f t="shared" ca="1" si="155"/>
        <v>#N/A</v>
      </c>
      <c r="AX410" s="406" t="e">
        <f t="shared" ca="1" si="155"/>
        <v>#N/A</v>
      </c>
      <c r="AY410" s="406" t="e">
        <f t="shared" ca="1" si="155"/>
        <v>#N/A</v>
      </c>
      <c r="AZ410" s="406" t="e">
        <f t="shared" ca="1" si="155"/>
        <v>#N/A</v>
      </c>
      <c r="BA410" s="406" t="e">
        <f t="shared" ca="1" si="155"/>
        <v>#N/A</v>
      </c>
      <c r="BB410" s="408"/>
      <c r="BC410" s="408" t="str">
        <f t="shared" ca="1" si="154"/>
        <v/>
      </c>
      <c r="BD410" s="408" t="s">
        <v>1278</v>
      </c>
      <c r="BE410" s="408" t="s">
        <v>1278</v>
      </c>
    </row>
    <row r="411" spans="3:57" x14ac:dyDescent="0.25">
      <c r="C411" s="406">
        <f t="shared" si="156"/>
        <v>409</v>
      </c>
      <c r="D411" s="406" t="e">
        <f t="shared" ca="1" si="160"/>
        <v>#N/A</v>
      </c>
      <c r="E411" s="406" t="e">
        <f t="shared" ca="1" si="160"/>
        <v>#N/A</v>
      </c>
      <c r="F411" s="406" t="e">
        <f t="shared" ca="1" si="160"/>
        <v>#N/A</v>
      </c>
      <c r="G411" s="406" t="e">
        <f t="shared" ca="1" si="160"/>
        <v>#N/A</v>
      </c>
      <c r="H411" s="406" t="e">
        <f t="shared" ca="1" si="160"/>
        <v>#N/A</v>
      </c>
      <c r="I411" s="406" t="e">
        <f t="shared" ca="1" si="160"/>
        <v>#N/A</v>
      </c>
      <c r="J411" s="406" t="e">
        <f t="shared" ca="1" si="160"/>
        <v>#N/A</v>
      </c>
      <c r="K411" s="406" t="e">
        <f t="shared" ca="1" si="160"/>
        <v>#N/A</v>
      </c>
      <c r="L411" s="406" t="e">
        <f t="shared" ca="1" si="160"/>
        <v>#N/A</v>
      </c>
      <c r="M411" s="406" t="e">
        <f t="shared" ca="1" si="160"/>
        <v>#N/A</v>
      </c>
      <c r="N411" s="406" t="e">
        <f t="shared" ca="1" si="158"/>
        <v>#N/A</v>
      </c>
      <c r="O411" s="406" t="e">
        <f t="shared" ca="1" si="158"/>
        <v>#N/A</v>
      </c>
      <c r="P411" s="406" t="e">
        <f t="shared" ca="1" si="158"/>
        <v>#N/A</v>
      </c>
      <c r="Q411" s="406" t="e">
        <f t="shared" ca="1" si="158"/>
        <v>#N/A</v>
      </c>
      <c r="R411" s="406" t="e">
        <f t="shared" ca="1" si="158"/>
        <v>#N/A</v>
      </c>
      <c r="S411" s="406" t="e">
        <f t="shared" ca="1" si="158"/>
        <v>#N/A</v>
      </c>
      <c r="T411" s="406" t="e">
        <f t="shared" ca="1" si="158"/>
        <v>#N/A</v>
      </c>
      <c r="U411" s="406" t="e">
        <f t="shared" ca="1" si="158"/>
        <v>#N/A</v>
      </c>
      <c r="V411" s="406" t="e">
        <f t="shared" ca="1" si="158"/>
        <v>#N/A</v>
      </c>
      <c r="W411" s="406" t="e">
        <f t="shared" ca="1" si="158"/>
        <v>#N/A</v>
      </c>
      <c r="X411" s="406" t="e">
        <f t="shared" ca="1" si="157"/>
        <v>#N/A</v>
      </c>
      <c r="Y411" s="406" t="e">
        <f t="shared" ca="1" si="157"/>
        <v>#N/A</v>
      </c>
      <c r="Z411" s="406" t="e">
        <f t="shared" ca="1" si="157"/>
        <v>#N/A</v>
      </c>
      <c r="AA411" s="406" t="e">
        <f t="shared" ca="1" si="157"/>
        <v>#N/A</v>
      </c>
      <c r="AB411" s="406" t="e">
        <f t="shared" ca="1" si="157"/>
        <v>#N/A</v>
      </c>
      <c r="AC411" s="406" t="e">
        <f t="shared" ca="1" si="157"/>
        <v>#N/A</v>
      </c>
      <c r="AD411" s="406" t="e">
        <f t="shared" ca="1" si="157"/>
        <v>#N/A</v>
      </c>
      <c r="AE411" s="406" t="e">
        <f t="shared" ca="1" si="157"/>
        <v>#N/A</v>
      </c>
      <c r="AF411" s="406" t="e">
        <f t="shared" ca="1" si="157"/>
        <v>#N/A</v>
      </c>
      <c r="AG411" s="406" t="e">
        <f t="shared" ca="1" si="157"/>
        <v>#N/A</v>
      </c>
      <c r="AH411" s="406" t="e">
        <f t="shared" ca="1" si="159"/>
        <v>#N/A</v>
      </c>
      <c r="AI411" s="406" t="e">
        <f t="shared" ca="1" si="159"/>
        <v>#N/A</v>
      </c>
      <c r="AJ411" s="406" t="e">
        <f t="shared" ca="1" si="159"/>
        <v>#N/A</v>
      </c>
      <c r="AK411" s="406" t="e">
        <f t="shared" ca="1" si="159"/>
        <v>#N/A</v>
      </c>
      <c r="AL411" s="406" t="e">
        <f t="shared" ca="1" si="159"/>
        <v>#N/A</v>
      </c>
      <c r="AM411" s="406" t="e">
        <f t="shared" ca="1" si="159"/>
        <v>#N/A</v>
      </c>
      <c r="AN411" s="406" t="e">
        <f t="shared" ca="1" si="159"/>
        <v>#N/A</v>
      </c>
      <c r="AO411" s="406" t="e">
        <f t="shared" ca="1" si="159"/>
        <v>#N/A</v>
      </c>
      <c r="AP411" s="406" t="e">
        <f t="shared" ca="1" si="159"/>
        <v>#N/A</v>
      </c>
      <c r="AQ411" s="406" t="e">
        <f t="shared" ca="1" si="159"/>
        <v>#N/A</v>
      </c>
      <c r="AR411" s="406" t="e">
        <f t="shared" ca="1" si="155"/>
        <v>#N/A</v>
      </c>
      <c r="AS411" s="406" t="e">
        <f t="shared" ca="1" si="155"/>
        <v>#N/A</v>
      </c>
      <c r="AT411" s="406" t="e">
        <f t="shared" ca="1" si="155"/>
        <v>#N/A</v>
      </c>
      <c r="AU411" s="406" t="e">
        <f t="shared" ca="1" si="155"/>
        <v>#N/A</v>
      </c>
      <c r="AV411" s="406" t="e">
        <f t="shared" ca="1" si="155"/>
        <v>#N/A</v>
      </c>
      <c r="AW411" s="406" t="e">
        <f t="shared" ca="1" si="155"/>
        <v>#N/A</v>
      </c>
      <c r="AX411" s="406" t="e">
        <f t="shared" ca="1" si="155"/>
        <v>#N/A</v>
      </c>
      <c r="AY411" s="406" t="e">
        <f t="shared" ca="1" si="155"/>
        <v>#N/A</v>
      </c>
      <c r="AZ411" s="406" t="e">
        <f t="shared" ca="1" si="155"/>
        <v>#N/A</v>
      </c>
      <c r="BA411" s="406" t="e">
        <f t="shared" ca="1" si="155"/>
        <v>#N/A</v>
      </c>
      <c r="BB411" s="408"/>
      <c r="BC411" s="408" t="str">
        <f t="shared" ca="1" si="154"/>
        <v/>
      </c>
      <c r="BD411" s="408" t="s">
        <v>1278</v>
      </c>
      <c r="BE411" s="408" t="s">
        <v>1278</v>
      </c>
    </row>
    <row r="412" spans="3:57" x14ac:dyDescent="0.25">
      <c r="C412" s="406">
        <f t="shared" si="156"/>
        <v>410</v>
      </c>
      <c r="D412" s="406" t="e">
        <f t="shared" ca="1" si="160"/>
        <v>#N/A</v>
      </c>
      <c r="E412" s="406" t="e">
        <f t="shared" ca="1" si="160"/>
        <v>#N/A</v>
      </c>
      <c r="F412" s="406" t="e">
        <f t="shared" ca="1" si="160"/>
        <v>#N/A</v>
      </c>
      <c r="G412" s="406" t="e">
        <f t="shared" ca="1" si="160"/>
        <v>#N/A</v>
      </c>
      <c r="H412" s="406" t="e">
        <f t="shared" ca="1" si="160"/>
        <v>#N/A</v>
      </c>
      <c r="I412" s="406" t="e">
        <f t="shared" ca="1" si="160"/>
        <v>#N/A</v>
      </c>
      <c r="J412" s="406" t="e">
        <f t="shared" ca="1" si="160"/>
        <v>#N/A</v>
      </c>
      <c r="K412" s="406" t="e">
        <f t="shared" ca="1" si="160"/>
        <v>#N/A</v>
      </c>
      <c r="L412" s="406" t="e">
        <f t="shared" ca="1" si="160"/>
        <v>#N/A</v>
      </c>
      <c r="M412" s="406" t="e">
        <f t="shared" ca="1" si="160"/>
        <v>#N/A</v>
      </c>
      <c r="N412" s="406" t="e">
        <f t="shared" ca="1" si="158"/>
        <v>#N/A</v>
      </c>
      <c r="O412" s="406" t="e">
        <f t="shared" ca="1" si="158"/>
        <v>#N/A</v>
      </c>
      <c r="P412" s="406" t="e">
        <f t="shared" ca="1" si="158"/>
        <v>#N/A</v>
      </c>
      <c r="Q412" s="406" t="e">
        <f t="shared" ca="1" si="158"/>
        <v>#N/A</v>
      </c>
      <c r="R412" s="406" t="e">
        <f t="shared" ca="1" si="158"/>
        <v>#N/A</v>
      </c>
      <c r="S412" s="406" t="e">
        <f t="shared" ca="1" si="158"/>
        <v>#N/A</v>
      </c>
      <c r="T412" s="406" t="e">
        <f t="shared" ca="1" si="158"/>
        <v>#N/A</v>
      </c>
      <c r="U412" s="406" t="e">
        <f t="shared" ca="1" si="158"/>
        <v>#N/A</v>
      </c>
      <c r="V412" s="406" t="e">
        <f t="shared" ca="1" si="158"/>
        <v>#N/A</v>
      </c>
      <c r="W412" s="406" t="e">
        <f t="shared" ca="1" si="158"/>
        <v>#N/A</v>
      </c>
      <c r="X412" s="406" t="e">
        <f t="shared" ca="1" si="157"/>
        <v>#N/A</v>
      </c>
      <c r="Y412" s="406" t="e">
        <f t="shared" ca="1" si="157"/>
        <v>#N/A</v>
      </c>
      <c r="Z412" s="406" t="e">
        <f t="shared" ca="1" si="157"/>
        <v>#N/A</v>
      </c>
      <c r="AA412" s="406" t="e">
        <f t="shared" ca="1" si="157"/>
        <v>#N/A</v>
      </c>
      <c r="AB412" s="406" t="e">
        <f t="shared" ca="1" si="157"/>
        <v>#N/A</v>
      </c>
      <c r="AC412" s="406" t="e">
        <f t="shared" ca="1" si="157"/>
        <v>#N/A</v>
      </c>
      <c r="AD412" s="406" t="e">
        <f t="shared" ca="1" si="157"/>
        <v>#N/A</v>
      </c>
      <c r="AE412" s="406" t="e">
        <f t="shared" ca="1" si="157"/>
        <v>#N/A</v>
      </c>
      <c r="AF412" s="406" t="e">
        <f t="shared" ca="1" si="157"/>
        <v>#N/A</v>
      </c>
      <c r="AG412" s="406" t="e">
        <f t="shared" ca="1" si="157"/>
        <v>#N/A</v>
      </c>
      <c r="AH412" s="406" t="e">
        <f t="shared" ca="1" si="159"/>
        <v>#N/A</v>
      </c>
      <c r="AI412" s="406" t="e">
        <f t="shared" ca="1" si="159"/>
        <v>#N/A</v>
      </c>
      <c r="AJ412" s="406" t="e">
        <f t="shared" ca="1" si="159"/>
        <v>#N/A</v>
      </c>
      <c r="AK412" s="406" t="e">
        <f t="shared" ca="1" si="159"/>
        <v>#N/A</v>
      </c>
      <c r="AL412" s="406" t="e">
        <f t="shared" ca="1" si="159"/>
        <v>#N/A</v>
      </c>
      <c r="AM412" s="406" t="e">
        <f t="shared" ca="1" si="159"/>
        <v>#N/A</v>
      </c>
      <c r="AN412" s="406" t="e">
        <f t="shared" ca="1" si="159"/>
        <v>#N/A</v>
      </c>
      <c r="AO412" s="406" t="e">
        <f t="shared" ca="1" si="159"/>
        <v>#N/A</v>
      </c>
      <c r="AP412" s="406" t="e">
        <f t="shared" ca="1" si="159"/>
        <v>#N/A</v>
      </c>
      <c r="AQ412" s="406" t="e">
        <f t="shared" ca="1" si="159"/>
        <v>#N/A</v>
      </c>
      <c r="AR412" s="406" t="e">
        <f t="shared" ca="1" si="155"/>
        <v>#N/A</v>
      </c>
      <c r="AS412" s="406" t="e">
        <f t="shared" ca="1" si="155"/>
        <v>#N/A</v>
      </c>
      <c r="AT412" s="406" t="e">
        <f t="shared" ca="1" si="155"/>
        <v>#N/A</v>
      </c>
      <c r="AU412" s="406" t="e">
        <f t="shared" ca="1" si="155"/>
        <v>#N/A</v>
      </c>
      <c r="AV412" s="406" t="e">
        <f t="shared" ca="1" si="155"/>
        <v>#N/A</v>
      </c>
      <c r="AW412" s="406" t="e">
        <f t="shared" ca="1" si="155"/>
        <v>#N/A</v>
      </c>
      <c r="AX412" s="406" t="e">
        <f t="shared" ca="1" si="155"/>
        <v>#N/A</v>
      </c>
      <c r="AY412" s="406" t="e">
        <f t="shared" ca="1" si="155"/>
        <v>#N/A</v>
      </c>
      <c r="AZ412" s="406" t="e">
        <f t="shared" ref="AR412:BA438" ca="1" si="161">TRIM(INDIRECT("'" &amp; "TNX RTF" &amp; "'!" &amp; ADDRESS($A$3+$C412,AZ$1)))</f>
        <v>#N/A</v>
      </c>
      <c r="BA412" s="406" t="e">
        <f t="shared" ca="1" si="161"/>
        <v>#N/A</v>
      </c>
      <c r="BB412" s="408"/>
      <c r="BC412" s="408" t="str">
        <f t="shared" ca="1" si="154"/>
        <v/>
      </c>
      <c r="BD412" s="408" t="s">
        <v>1278</v>
      </c>
      <c r="BE412" s="408" t="s">
        <v>1278</v>
      </c>
    </row>
    <row r="413" spans="3:57" x14ac:dyDescent="0.25">
      <c r="C413" s="406">
        <f t="shared" si="156"/>
        <v>411</v>
      </c>
      <c r="D413" s="406" t="e">
        <f t="shared" ca="1" si="160"/>
        <v>#N/A</v>
      </c>
      <c r="E413" s="406" t="e">
        <f t="shared" ca="1" si="160"/>
        <v>#N/A</v>
      </c>
      <c r="F413" s="406" t="e">
        <f t="shared" ca="1" si="160"/>
        <v>#N/A</v>
      </c>
      <c r="G413" s="406" t="e">
        <f t="shared" ca="1" si="160"/>
        <v>#N/A</v>
      </c>
      <c r="H413" s="406" t="e">
        <f t="shared" ca="1" si="160"/>
        <v>#N/A</v>
      </c>
      <c r="I413" s="406" t="e">
        <f t="shared" ca="1" si="160"/>
        <v>#N/A</v>
      </c>
      <c r="J413" s="406" t="e">
        <f t="shared" ca="1" si="160"/>
        <v>#N/A</v>
      </c>
      <c r="K413" s="406" t="e">
        <f t="shared" ca="1" si="160"/>
        <v>#N/A</v>
      </c>
      <c r="L413" s="406" t="e">
        <f t="shared" ca="1" si="160"/>
        <v>#N/A</v>
      </c>
      <c r="M413" s="406" t="e">
        <f t="shared" ca="1" si="160"/>
        <v>#N/A</v>
      </c>
      <c r="N413" s="406" t="e">
        <f t="shared" ca="1" si="158"/>
        <v>#N/A</v>
      </c>
      <c r="O413" s="406" t="e">
        <f t="shared" ca="1" si="158"/>
        <v>#N/A</v>
      </c>
      <c r="P413" s="406" t="e">
        <f t="shared" ca="1" si="158"/>
        <v>#N/A</v>
      </c>
      <c r="Q413" s="406" t="e">
        <f t="shared" ca="1" si="158"/>
        <v>#N/A</v>
      </c>
      <c r="R413" s="406" t="e">
        <f t="shared" ca="1" si="158"/>
        <v>#N/A</v>
      </c>
      <c r="S413" s="406" t="e">
        <f t="shared" ca="1" si="158"/>
        <v>#N/A</v>
      </c>
      <c r="T413" s="406" t="e">
        <f t="shared" ca="1" si="158"/>
        <v>#N/A</v>
      </c>
      <c r="U413" s="406" t="e">
        <f t="shared" ca="1" si="158"/>
        <v>#N/A</v>
      </c>
      <c r="V413" s="406" t="e">
        <f t="shared" ca="1" si="158"/>
        <v>#N/A</v>
      </c>
      <c r="W413" s="406" t="e">
        <f t="shared" ca="1" si="158"/>
        <v>#N/A</v>
      </c>
      <c r="X413" s="406" t="e">
        <f t="shared" ca="1" si="157"/>
        <v>#N/A</v>
      </c>
      <c r="Y413" s="406" t="e">
        <f t="shared" ca="1" si="157"/>
        <v>#N/A</v>
      </c>
      <c r="Z413" s="406" t="e">
        <f t="shared" ca="1" si="157"/>
        <v>#N/A</v>
      </c>
      <c r="AA413" s="406" t="e">
        <f t="shared" ca="1" si="157"/>
        <v>#N/A</v>
      </c>
      <c r="AB413" s="406" t="e">
        <f t="shared" ca="1" si="157"/>
        <v>#N/A</v>
      </c>
      <c r="AC413" s="406" t="e">
        <f t="shared" ca="1" si="157"/>
        <v>#N/A</v>
      </c>
      <c r="AD413" s="406" t="e">
        <f t="shared" ca="1" si="157"/>
        <v>#N/A</v>
      </c>
      <c r="AE413" s="406" t="e">
        <f t="shared" ca="1" si="157"/>
        <v>#N/A</v>
      </c>
      <c r="AF413" s="406" t="e">
        <f t="shared" ca="1" si="157"/>
        <v>#N/A</v>
      </c>
      <c r="AG413" s="406" t="e">
        <f t="shared" ca="1" si="157"/>
        <v>#N/A</v>
      </c>
      <c r="AH413" s="406" t="e">
        <f t="shared" ca="1" si="159"/>
        <v>#N/A</v>
      </c>
      <c r="AI413" s="406" t="e">
        <f t="shared" ca="1" si="159"/>
        <v>#N/A</v>
      </c>
      <c r="AJ413" s="406" t="e">
        <f t="shared" ca="1" si="159"/>
        <v>#N/A</v>
      </c>
      <c r="AK413" s="406" t="e">
        <f t="shared" ca="1" si="159"/>
        <v>#N/A</v>
      </c>
      <c r="AL413" s="406" t="e">
        <f t="shared" ca="1" si="159"/>
        <v>#N/A</v>
      </c>
      <c r="AM413" s="406" t="e">
        <f t="shared" ca="1" si="159"/>
        <v>#N/A</v>
      </c>
      <c r="AN413" s="406" t="e">
        <f t="shared" ca="1" si="159"/>
        <v>#N/A</v>
      </c>
      <c r="AO413" s="406" t="e">
        <f t="shared" ca="1" si="159"/>
        <v>#N/A</v>
      </c>
      <c r="AP413" s="406" t="e">
        <f t="shared" ca="1" si="159"/>
        <v>#N/A</v>
      </c>
      <c r="AQ413" s="406" t="e">
        <f t="shared" ca="1" si="159"/>
        <v>#N/A</v>
      </c>
      <c r="AR413" s="406" t="e">
        <f t="shared" ca="1" si="161"/>
        <v>#N/A</v>
      </c>
      <c r="AS413" s="406" t="e">
        <f t="shared" ca="1" si="161"/>
        <v>#N/A</v>
      </c>
      <c r="AT413" s="406" t="e">
        <f t="shared" ca="1" si="161"/>
        <v>#N/A</v>
      </c>
      <c r="AU413" s="406" t="e">
        <f t="shared" ca="1" si="161"/>
        <v>#N/A</v>
      </c>
      <c r="AV413" s="406" t="e">
        <f t="shared" ca="1" si="161"/>
        <v>#N/A</v>
      </c>
      <c r="AW413" s="406" t="e">
        <f t="shared" ca="1" si="161"/>
        <v>#N/A</v>
      </c>
      <c r="AX413" s="406" t="e">
        <f t="shared" ca="1" si="161"/>
        <v>#N/A</v>
      </c>
      <c r="AY413" s="406" t="e">
        <f t="shared" ca="1" si="161"/>
        <v>#N/A</v>
      </c>
      <c r="AZ413" s="406" t="e">
        <f t="shared" ca="1" si="161"/>
        <v>#N/A</v>
      </c>
      <c r="BA413" s="406" t="e">
        <f t="shared" ca="1" si="161"/>
        <v>#N/A</v>
      </c>
      <c r="BB413" s="408"/>
      <c r="BC413" s="408" t="str">
        <f t="shared" ca="1" si="154"/>
        <v/>
      </c>
      <c r="BD413" s="408" t="s">
        <v>1278</v>
      </c>
      <c r="BE413" s="408" t="s">
        <v>1278</v>
      </c>
    </row>
    <row r="414" spans="3:57" x14ac:dyDescent="0.25">
      <c r="C414" s="406">
        <f t="shared" si="156"/>
        <v>412</v>
      </c>
      <c r="D414" s="406" t="e">
        <f t="shared" ca="1" si="160"/>
        <v>#N/A</v>
      </c>
      <c r="E414" s="406" t="e">
        <f t="shared" ca="1" si="160"/>
        <v>#N/A</v>
      </c>
      <c r="F414" s="406" t="e">
        <f t="shared" ca="1" si="160"/>
        <v>#N/A</v>
      </c>
      <c r="G414" s="406" t="e">
        <f t="shared" ca="1" si="160"/>
        <v>#N/A</v>
      </c>
      <c r="H414" s="406" t="e">
        <f t="shared" ca="1" si="160"/>
        <v>#N/A</v>
      </c>
      <c r="I414" s="406" t="e">
        <f t="shared" ca="1" si="160"/>
        <v>#N/A</v>
      </c>
      <c r="J414" s="406" t="e">
        <f t="shared" ca="1" si="160"/>
        <v>#N/A</v>
      </c>
      <c r="K414" s="406" t="e">
        <f t="shared" ca="1" si="160"/>
        <v>#N/A</v>
      </c>
      <c r="L414" s="406" t="e">
        <f t="shared" ca="1" si="160"/>
        <v>#N/A</v>
      </c>
      <c r="M414" s="406" t="e">
        <f t="shared" ca="1" si="160"/>
        <v>#N/A</v>
      </c>
      <c r="N414" s="406" t="e">
        <f t="shared" ca="1" si="158"/>
        <v>#N/A</v>
      </c>
      <c r="O414" s="406" t="e">
        <f t="shared" ca="1" si="158"/>
        <v>#N/A</v>
      </c>
      <c r="P414" s="406" t="e">
        <f t="shared" ca="1" si="158"/>
        <v>#N/A</v>
      </c>
      <c r="Q414" s="406" t="e">
        <f t="shared" ca="1" si="158"/>
        <v>#N/A</v>
      </c>
      <c r="R414" s="406" t="e">
        <f t="shared" ca="1" si="158"/>
        <v>#N/A</v>
      </c>
      <c r="S414" s="406" t="e">
        <f t="shared" ca="1" si="158"/>
        <v>#N/A</v>
      </c>
      <c r="T414" s="406" t="e">
        <f t="shared" ca="1" si="158"/>
        <v>#N/A</v>
      </c>
      <c r="U414" s="406" t="e">
        <f t="shared" ca="1" si="158"/>
        <v>#N/A</v>
      </c>
      <c r="V414" s="406" t="e">
        <f t="shared" ca="1" si="158"/>
        <v>#N/A</v>
      </c>
      <c r="W414" s="406" t="e">
        <f t="shared" ca="1" si="158"/>
        <v>#N/A</v>
      </c>
      <c r="X414" s="406" t="e">
        <f t="shared" ca="1" si="157"/>
        <v>#N/A</v>
      </c>
      <c r="Y414" s="406" t="e">
        <f t="shared" ca="1" si="157"/>
        <v>#N/A</v>
      </c>
      <c r="Z414" s="406" t="e">
        <f t="shared" ca="1" si="157"/>
        <v>#N/A</v>
      </c>
      <c r="AA414" s="406" t="e">
        <f t="shared" ca="1" si="157"/>
        <v>#N/A</v>
      </c>
      <c r="AB414" s="406" t="e">
        <f t="shared" ca="1" si="157"/>
        <v>#N/A</v>
      </c>
      <c r="AC414" s="406" t="e">
        <f t="shared" ca="1" si="157"/>
        <v>#N/A</v>
      </c>
      <c r="AD414" s="406" t="e">
        <f t="shared" ca="1" si="157"/>
        <v>#N/A</v>
      </c>
      <c r="AE414" s="406" t="e">
        <f t="shared" ca="1" si="157"/>
        <v>#N/A</v>
      </c>
      <c r="AF414" s="406" t="e">
        <f t="shared" ca="1" si="157"/>
        <v>#N/A</v>
      </c>
      <c r="AG414" s="406" t="e">
        <f t="shared" ca="1" si="157"/>
        <v>#N/A</v>
      </c>
      <c r="AH414" s="406" t="e">
        <f t="shared" ca="1" si="159"/>
        <v>#N/A</v>
      </c>
      <c r="AI414" s="406" t="e">
        <f t="shared" ca="1" si="159"/>
        <v>#N/A</v>
      </c>
      <c r="AJ414" s="406" t="e">
        <f t="shared" ca="1" si="159"/>
        <v>#N/A</v>
      </c>
      <c r="AK414" s="406" t="e">
        <f t="shared" ca="1" si="159"/>
        <v>#N/A</v>
      </c>
      <c r="AL414" s="406" t="e">
        <f t="shared" ca="1" si="159"/>
        <v>#N/A</v>
      </c>
      <c r="AM414" s="406" t="e">
        <f t="shared" ca="1" si="159"/>
        <v>#N/A</v>
      </c>
      <c r="AN414" s="406" t="e">
        <f t="shared" ca="1" si="159"/>
        <v>#N/A</v>
      </c>
      <c r="AO414" s="406" t="e">
        <f t="shared" ca="1" si="159"/>
        <v>#N/A</v>
      </c>
      <c r="AP414" s="406" t="e">
        <f t="shared" ca="1" si="159"/>
        <v>#N/A</v>
      </c>
      <c r="AQ414" s="406" t="e">
        <f t="shared" ca="1" si="159"/>
        <v>#N/A</v>
      </c>
      <c r="AR414" s="406" t="e">
        <f t="shared" ca="1" si="161"/>
        <v>#N/A</v>
      </c>
      <c r="AS414" s="406" t="e">
        <f t="shared" ca="1" si="161"/>
        <v>#N/A</v>
      </c>
      <c r="AT414" s="406" t="e">
        <f t="shared" ca="1" si="161"/>
        <v>#N/A</v>
      </c>
      <c r="AU414" s="406" t="e">
        <f t="shared" ca="1" si="161"/>
        <v>#N/A</v>
      </c>
      <c r="AV414" s="406" t="e">
        <f t="shared" ca="1" si="161"/>
        <v>#N/A</v>
      </c>
      <c r="AW414" s="406" t="e">
        <f t="shared" ca="1" si="161"/>
        <v>#N/A</v>
      </c>
      <c r="AX414" s="406" t="e">
        <f t="shared" ca="1" si="161"/>
        <v>#N/A</v>
      </c>
      <c r="AY414" s="406" t="e">
        <f t="shared" ca="1" si="161"/>
        <v>#N/A</v>
      </c>
      <c r="AZ414" s="406" t="e">
        <f t="shared" ca="1" si="161"/>
        <v>#N/A</v>
      </c>
      <c r="BA414" s="406" t="e">
        <f t="shared" ca="1" si="161"/>
        <v>#N/A</v>
      </c>
      <c r="BB414" s="408"/>
      <c r="BC414" s="408" t="str">
        <f t="shared" ca="1" si="154"/>
        <v/>
      </c>
      <c r="BD414" s="408" t="s">
        <v>1278</v>
      </c>
      <c r="BE414" s="408" t="s">
        <v>1278</v>
      </c>
    </row>
    <row r="415" spans="3:57" ht="15" customHeight="1" x14ac:dyDescent="0.25">
      <c r="C415" s="406">
        <f t="shared" si="156"/>
        <v>413</v>
      </c>
      <c r="D415" s="406" t="e">
        <f t="shared" ca="1" si="160"/>
        <v>#N/A</v>
      </c>
      <c r="E415" s="406" t="e">
        <f t="shared" ca="1" si="160"/>
        <v>#N/A</v>
      </c>
      <c r="F415" s="406" t="e">
        <f t="shared" ca="1" si="160"/>
        <v>#N/A</v>
      </c>
      <c r="G415" s="406" t="e">
        <f t="shared" ca="1" si="160"/>
        <v>#N/A</v>
      </c>
      <c r="H415" s="406" t="e">
        <f t="shared" ca="1" si="160"/>
        <v>#N/A</v>
      </c>
      <c r="I415" s="406" t="e">
        <f t="shared" ca="1" si="160"/>
        <v>#N/A</v>
      </c>
      <c r="J415" s="406" t="e">
        <f t="shared" ca="1" si="160"/>
        <v>#N/A</v>
      </c>
      <c r="K415" s="406" t="e">
        <f t="shared" ca="1" si="160"/>
        <v>#N/A</v>
      </c>
      <c r="L415" s="406" t="e">
        <f t="shared" ca="1" si="160"/>
        <v>#N/A</v>
      </c>
      <c r="M415" s="406" t="e">
        <f t="shared" ca="1" si="160"/>
        <v>#N/A</v>
      </c>
      <c r="N415" s="406" t="e">
        <f t="shared" ca="1" si="158"/>
        <v>#N/A</v>
      </c>
      <c r="O415" s="406" t="e">
        <f t="shared" ca="1" si="158"/>
        <v>#N/A</v>
      </c>
      <c r="P415" s="406" t="e">
        <f t="shared" ca="1" si="158"/>
        <v>#N/A</v>
      </c>
      <c r="Q415" s="406" t="e">
        <f t="shared" ca="1" si="158"/>
        <v>#N/A</v>
      </c>
      <c r="R415" s="406" t="e">
        <f t="shared" ca="1" si="158"/>
        <v>#N/A</v>
      </c>
      <c r="S415" s="406" t="e">
        <f t="shared" ca="1" si="158"/>
        <v>#N/A</v>
      </c>
      <c r="T415" s="406" t="e">
        <f t="shared" ca="1" si="158"/>
        <v>#N/A</v>
      </c>
      <c r="U415" s="406" t="e">
        <f t="shared" ca="1" si="158"/>
        <v>#N/A</v>
      </c>
      <c r="V415" s="406" t="e">
        <f t="shared" ca="1" si="158"/>
        <v>#N/A</v>
      </c>
      <c r="W415" s="406" t="e">
        <f t="shared" ca="1" si="158"/>
        <v>#N/A</v>
      </c>
      <c r="X415" s="406" t="e">
        <f t="shared" ca="1" si="157"/>
        <v>#N/A</v>
      </c>
      <c r="Y415" s="406" t="e">
        <f t="shared" ca="1" si="157"/>
        <v>#N/A</v>
      </c>
      <c r="Z415" s="406" t="e">
        <f t="shared" ca="1" si="157"/>
        <v>#N/A</v>
      </c>
      <c r="AA415" s="406" t="e">
        <f t="shared" ca="1" si="157"/>
        <v>#N/A</v>
      </c>
      <c r="AB415" s="406" t="e">
        <f t="shared" ca="1" si="157"/>
        <v>#N/A</v>
      </c>
      <c r="AC415" s="406" t="e">
        <f t="shared" ca="1" si="157"/>
        <v>#N/A</v>
      </c>
      <c r="AD415" s="406" t="e">
        <f t="shared" ca="1" si="157"/>
        <v>#N/A</v>
      </c>
      <c r="AE415" s="406" t="e">
        <f t="shared" ca="1" si="157"/>
        <v>#N/A</v>
      </c>
      <c r="AF415" s="406" t="e">
        <f t="shared" ca="1" si="157"/>
        <v>#N/A</v>
      </c>
      <c r="AG415" s="406" t="e">
        <f t="shared" ca="1" si="157"/>
        <v>#N/A</v>
      </c>
      <c r="AH415" s="406" t="e">
        <f t="shared" ca="1" si="159"/>
        <v>#N/A</v>
      </c>
      <c r="AI415" s="406" t="e">
        <f t="shared" ca="1" si="159"/>
        <v>#N/A</v>
      </c>
      <c r="AJ415" s="406" t="e">
        <f t="shared" ca="1" si="159"/>
        <v>#N/A</v>
      </c>
      <c r="AK415" s="406" t="e">
        <f t="shared" ca="1" si="159"/>
        <v>#N/A</v>
      </c>
      <c r="AL415" s="406" t="e">
        <f t="shared" ca="1" si="159"/>
        <v>#N/A</v>
      </c>
      <c r="AM415" s="406" t="e">
        <f t="shared" ca="1" si="159"/>
        <v>#N/A</v>
      </c>
      <c r="AN415" s="406" t="e">
        <f t="shared" ca="1" si="159"/>
        <v>#N/A</v>
      </c>
      <c r="AO415" s="406" t="e">
        <f t="shared" ca="1" si="159"/>
        <v>#N/A</v>
      </c>
      <c r="AP415" s="406" t="e">
        <f t="shared" ca="1" si="159"/>
        <v>#N/A</v>
      </c>
      <c r="AQ415" s="406" t="e">
        <f t="shared" ca="1" si="159"/>
        <v>#N/A</v>
      </c>
      <c r="AR415" s="406" t="e">
        <f t="shared" ca="1" si="161"/>
        <v>#N/A</v>
      </c>
      <c r="AS415" s="406" t="e">
        <f t="shared" ca="1" si="161"/>
        <v>#N/A</v>
      </c>
      <c r="AT415" s="406" t="e">
        <f t="shared" ca="1" si="161"/>
        <v>#N/A</v>
      </c>
      <c r="AU415" s="406" t="e">
        <f t="shared" ca="1" si="161"/>
        <v>#N/A</v>
      </c>
      <c r="AV415" s="406" t="e">
        <f t="shared" ca="1" si="161"/>
        <v>#N/A</v>
      </c>
      <c r="AW415" s="406" t="e">
        <f t="shared" ca="1" si="161"/>
        <v>#N/A</v>
      </c>
      <c r="AX415" s="406" t="e">
        <f t="shared" ca="1" si="161"/>
        <v>#N/A</v>
      </c>
      <c r="AY415" s="406" t="e">
        <f t="shared" ca="1" si="161"/>
        <v>#N/A</v>
      </c>
      <c r="AZ415" s="406" t="e">
        <f t="shared" ca="1" si="161"/>
        <v>#N/A</v>
      </c>
      <c r="BA415" s="406" t="e">
        <f t="shared" ca="1" si="161"/>
        <v>#N/A</v>
      </c>
      <c r="BB415" s="408"/>
      <c r="BC415" s="408" t="str">
        <f t="shared" ca="1" si="154"/>
        <v/>
      </c>
      <c r="BD415" s="408" t="s">
        <v>1278</v>
      </c>
      <c r="BE415" s="408" t="s">
        <v>1278</v>
      </c>
    </row>
    <row r="416" spans="3:57" x14ac:dyDescent="0.25">
      <c r="C416" s="406">
        <f t="shared" si="156"/>
        <v>414</v>
      </c>
      <c r="D416" s="406" t="e">
        <f t="shared" ca="1" si="160"/>
        <v>#N/A</v>
      </c>
      <c r="E416" s="406" t="e">
        <f t="shared" ca="1" si="160"/>
        <v>#N/A</v>
      </c>
      <c r="F416" s="406" t="e">
        <f t="shared" ca="1" si="160"/>
        <v>#N/A</v>
      </c>
      <c r="G416" s="406" t="e">
        <f t="shared" ca="1" si="160"/>
        <v>#N/A</v>
      </c>
      <c r="H416" s="406" t="e">
        <f t="shared" ca="1" si="160"/>
        <v>#N/A</v>
      </c>
      <c r="I416" s="406" t="e">
        <f t="shared" ca="1" si="160"/>
        <v>#N/A</v>
      </c>
      <c r="J416" s="406" t="e">
        <f t="shared" ca="1" si="160"/>
        <v>#N/A</v>
      </c>
      <c r="K416" s="406" t="e">
        <f t="shared" ca="1" si="160"/>
        <v>#N/A</v>
      </c>
      <c r="L416" s="406" t="e">
        <f t="shared" ca="1" si="160"/>
        <v>#N/A</v>
      </c>
      <c r="M416" s="406" t="e">
        <f t="shared" ca="1" si="160"/>
        <v>#N/A</v>
      </c>
      <c r="N416" s="406" t="e">
        <f t="shared" ca="1" si="158"/>
        <v>#N/A</v>
      </c>
      <c r="O416" s="406" t="e">
        <f t="shared" ca="1" si="158"/>
        <v>#N/A</v>
      </c>
      <c r="P416" s="406" t="e">
        <f t="shared" ca="1" si="158"/>
        <v>#N/A</v>
      </c>
      <c r="Q416" s="406" t="e">
        <f t="shared" ca="1" si="158"/>
        <v>#N/A</v>
      </c>
      <c r="R416" s="406" t="e">
        <f t="shared" ca="1" si="158"/>
        <v>#N/A</v>
      </c>
      <c r="S416" s="406" t="e">
        <f t="shared" ca="1" si="158"/>
        <v>#N/A</v>
      </c>
      <c r="T416" s="406" t="e">
        <f t="shared" ca="1" si="158"/>
        <v>#N/A</v>
      </c>
      <c r="U416" s="406" t="e">
        <f t="shared" ca="1" si="158"/>
        <v>#N/A</v>
      </c>
      <c r="V416" s="406" t="e">
        <f t="shared" ca="1" si="158"/>
        <v>#N/A</v>
      </c>
      <c r="W416" s="406" t="e">
        <f t="shared" ca="1" si="158"/>
        <v>#N/A</v>
      </c>
      <c r="X416" s="406" t="e">
        <f t="shared" ca="1" si="157"/>
        <v>#N/A</v>
      </c>
      <c r="Y416" s="406" t="e">
        <f t="shared" ca="1" si="157"/>
        <v>#N/A</v>
      </c>
      <c r="Z416" s="406" t="e">
        <f t="shared" ca="1" si="157"/>
        <v>#N/A</v>
      </c>
      <c r="AA416" s="406" t="e">
        <f t="shared" ca="1" si="157"/>
        <v>#N/A</v>
      </c>
      <c r="AB416" s="406" t="e">
        <f t="shared" ca="1" si="157"/>
        <v>#N/A</v>
      </c>
      <c r="AC416" s="406" t="e">
        <f t="shared" ca="1" si="157"/>
        <v>#N/A</v>
      </c>
      <c r="AD416" s="406" t="e">
        <f t="shared" ref="X416:AG442" ca="1" si="162">TRIM(INDIRECT("'" &amp; "TNX RTF" &amp; "'!" &amp; ADDRESS($A$3+$C416,AD$1)))</f>
        <v>#N/A</v>
      </c>
      <c r="AE416" s="406" t="e">
        <f t="shared" ca="1" si="162"/>
        <v>#N/A</v>
      </c>
      <c r="AF416" s="406" t="e">
        <f t="shared" ca="1" si="162"/>
        <v>#N/A</v>
      </c>
      <c r="AG416" s="406" t="e">
        <f t="shared" ca="1" si="162"/>
        <v>#N/A</v>
      </c>
      <c r="AH416" s="406" t="e">
        <f t="shared" ca="1" si="159"/>
        <v>#N/A</v>
      </c>
      <c r="AI416" s="406" t="e">
        <f t="shared" ca="1" si="159"/>
        <v>#N/A</v>
      </c>
      <c r="AJ416" s="406" t="e">
        <f t="shared" ca="1" si="159"/>
        <v>#N/A</v>
      </c>
      <c r="AK416" s="406" t="e">
        <f t="shared" ca="1" si="159"/>
        <v>#N/A</v>
      </c>
      <c r="AL416" s="406" t="e">
        <f t="shared" ca="1" si="159"/>
        <v>#N/A</v>
      </c>
      <c r="AM416" s="406" t="e">
        <f t="shared" ca="1" si="159"/>
        <v>#N/A</v>
      </c>
      <c r="AN416" s="406" t="e">
        <f t="shared" ca="1" si="159"/>
        <v>#N/A</v>
      </c>
      <c r="AO416" s="406" t="e">
        <f t="shared" ca="1" si="159"/>
        <v>#N/A</v>
      </c>
      <c r="AP416" s="406" t="e">
        <f t="shared" ca="1" si="159"/>
        <v>#N/A</v>
      </c>
      <c r="AQ416" s="406" t="e">
        <f t="shared" ca="1" si="159"/>
        <v>#N/A</v>
      </c>
      <c r="AR416" s="406" t="e">
        <f t="shared" ca="1" si="161"/>
        <v>#N/A</v>
      </c>
      <c r="AS416" s="406" t="e">
        <f t="shared" ca="1" si="161"/>
        <v>#N/A</v>
      </c>
      <c r="AT416" s="406" t="e">
        <f t="shared" ca="1" si="161"/>
        <v>#N/A</v>
      </c>
      <c r="AU416" s="406" t="e">
        <f t="shared" ca="1" si="161"/>
        <v>#N/A</v>
      </c>
      <c r="AV416" s="406" t="e">
        <f t="shared" ca="1" si="161"/>
        <v>#N/A</v>
      </c>
      <c r="AW416" s="406" t="e">
        <f t="shared" ca="1" si="161"/>
        <v>#N/A</v>
      </c>
      <c r="AX416" s="406" t="e">
        <f t="shared" ca="1" si="161"/>
        <v>#N/A</v>
      </c>
      <c r="AY416" s="406" t="e">
        <f t="shared" ca="1" si="161"/>
        <v>#N/A</v>
      </c>
      <c r="AZ416" s="406" t="e">
        <f t="shared" ca="1" si="161"/>
        <v>#N/A</v>
      </c>
      <c r="BA416" s="406" t="e">
        <f t="shared" ca="1" si="161"/>
        <v>#N/A</v>
      </c>
      <c r="BB416" s="408"/>
      <c r="BC416" s="408" t="str">
        <f t="shared" ca="1" si="154"/>
        <v/>
      </c>
      <c r="BD416" s="408" t="s">
        <v>1278</v>
      </c>
      <c r="BE416" s="408" t="s">
        <v>1278</v>
      </c>
    </row>
    <row r="417" spans="3:57" x14ac:dyDescent="0.25">
      <c r="C417" s="406">
        <f t="shared" si="156"/>
        <v>415</v>
      </c>
      <c r="D417" s="406" t="e">
        <f t="shared" ca="1" si="160"/>
        <v>#N/A</v>
      </c>
      <c r="E417" s="406" t="e">
        <f t="shared" ca="1" si="160"/>
        <v>#N/A</v>
      </c>
      <c r="F417" s="406" t="e">
        <f t="shared" ca="1" si="160"/>
        <v>#N/A</v>
      </c>
      <c r="G417" s="406" t="e">
        <f t="shared" ca="1" si="160"/>
        <v>#N/A</v>
      </c>
      <c r="H417" s="406" t="e">
        <f t="shared" ca="1" si="160"/>
        <v>#N/A</v>
      </c>
      <c r="I417" s="406" t="e">
        <f t="shared" ca="1" si="160"/>
        <v>#N/A</v>
      </c>
      <c r="J417" s="406" t="e">
        <f t="shared" ca="1" si="160"/>
        <v>#N/A</v>
      </c>
      <c r="K417" s="406" t="e">
        <f t="shared" ca="1" si="160"/>
        <v>#N/A</v>
      </c>
      <c r="L417" s="406" t="e">
        <f t="shared" ca="1" si="160"/>
        <v>#N/A</v>
      </c>
      <c r="M417" s="406" t="e">
        <f t="shared" ca="1" si="160"/>
        <v>#N/A</v>
      </c>
      <c r="N417" s="406" t="e">
        <f t="shared" ca="1" si="158"/>
        <v>#N/A</v>
      </c>
      <c r="O417" s="406" t="e">
        <f t="shared" ca="1" si="158"/>
        <v>#N/A</v>
      </c>
      <c r="P417" s="406" t="e">
        <f t="shared" ca="1" si="158"/>
        <v>#N/A</v>
      </c>
      <c r="Q417" s="406" t="e">
        <f t="shared" ca="1" si="158"/>
        <v>#N/A</v>
      </c>
      <c r="R417" s="406" t="e">
        <f t="shared" ca="1" si="158"/>
        <v>#N/A</v>
      </c>
      <c r="S417" s="406" t="e">
        <f t="shared" ca="1" si="158"/>
        <v>#N/A</v>
      </c>
      <c r="T417" s="406" t="e">
        <f t="shared" ca="1" si="158"/>
        <v>#N/A</v>
      </c>
      <c r="U417" s="406" t="e">
        <f t="shared" ca="1" si="158"/>
        <v>#N/A</v>
      </c>
      <c r="V417" s="406" t="e">
        <f t="shared" ca="1" si="158"/>
        <v>#N/A</v>
      </c>
      <c r="W417" s="406" t="e">
        <f t="shared" ca="1" si="158"/>
        <v>#N/A</v>
      </c>
      <c r="X417" s="406" t="e">
        <f t="shared" ca="1" si="162"/>
        <v>#N/A</v>
      </c>
      <c r="Y417" s="406" t="e">
        <f t="shared" ca="1" si="162"/>
        <v>#N/A</v>
      </c>
      <c r="Z417" s="406" t="e">
        <f t="shared" ca="1" si="162"/>
        <v>#N/A</v>
      </c>
      <c r="AA417" s="406" t="e">
        <f t="shared" ca="1" si="162"/>
        <v>#N/A</v>
      </c>
      <c r="AB417" s="406" t="e">
        <f t="shared" ca="1" si="162"/>
        <v>#N/A</v>
      </c>
      <c r="AC417" s="406" t="e">
        <f t="shared" ca="1" si="162"/>
        <v>#N/A</v>
      </c>
      <c r="AD417" s="406" t="e">
        <f t="shared" ca="1" si="162"/>
        <v>#N/A</v>
      </c>
      <c r="AE417" s="406" t="e">
        <f t="shared" ca="1" si="162"/>
        <v>#N/A</v>
      </c>
      <c r="AF417" s="406" t="e">
        <f t="shared" ca="1" si="162"/>
        <v>#N/A</v>
      </c>
      <c r="AG417" s="406" t="e">
        <f t="shared" ca="1" si="162"/>
        <v>#N/A</v>
      </c>
      <c r="AH417" s="406" t="e">
        <f t="shared" ca="1" si="159"/>
        <v>#N/A</v>
      </c>
      <c r="AI417" s="406" t="e">
        <f t="shared" ca="1" si="159"/>
        <v>#N/A</v>
      </c>
      <c r="AJ417" s="406" t="e">
        <f t="shared" ca="1" si="159"/>
        <v>#N/A</v>
      </c>
      <c r="AK417" s="406" t="e">
        <f t="shared" ca="1" si="159"/>
        <v>#N/A</v>
      </c>
      <c r="AL417" s="406" t="e">
        <f t="shared" ca="1" si="159"/>
        <v>#N/A</v>
      </c>
      <c r="AM417" s="406" t="e">
        <f t="shared" ca="1" si="159"/>
        <v>#N/A</v>
      </c>
      <c r="AN417" s="406" t="e">
        <f t="shared" ca="1" si="159"/>
        <v>#N/A</v>
      </c>
      <c r="AO417" s="406" t="e">
        <f t="shared" ca="1" si="159"/>
        <v>#N/A</v>
      </c>
      <c r="AP417" s="406" t="e">
        <f t="shared" ca="1" si="159"/>
        <v>#N/A</v>
      </c>
      <c r="AQ417" s="406" t="e">
        <f t="shared" ca="1" si="159"/>
        <v>#N/A</v>
      </c>
      <c r="AR417" s="406" t="e">
        <f t="shared" ca="1" si="161"/>
        <v>#N/A</v>
      </c>
      <c r="AS417" s="406" t="e">
        <f t="shared" ca="1" si="161"/>
        <v>#N/A</v>
      </c>
      <c r="AT417" s="406" t="e">
        <f t="shared" ca="1" si="161"/>
        <v>#N/A</v>
      </c>
      <c r="AU417" s="406" t="e">
        <f t="shared" ca="1" si="161"/>
        <v>#N/A</v>
      </c>
      <c r="AV417" s="406" t="e">
        <f t="shared" ca="1" si="161"/>
        <v>#N/A</v>
      </c>
      <c r="AW417" s="406" t="e">
        <f t="shared" ca="1" si="161"/>
        <v>#N/A</v>
      </c>
      <c r="AX417" s="406" t="e">
        <f t="shared" ca="1" si="161"/>
        <v>#N/A</v>
      </c>
      <c r="AY417" s="406" t="e">
        <f t="shared" ca="1" si="161"/>
        <v>#N/A</v>
      </c>
      <c r="AZ417" s="406" t="e">
        <f t="shared" ca="1" si="161"/>
        <v>#N/A</v>
      </c>
      <c r="BA417" s="406" t="e">
        <f t="shared" ca="1" si="161"/>
        <v>#N/A</v>
      </c>
      <c r="BB417" s="408"/>
      <c r="BC417" s="408" t="str">
        <f t="shared" ca="1" si="154"/>
        <v/>
      </c>
      <c r="BD417" s="408" t="s">
        <v>1278</v>
      </c>
      <c r="BE417" s="408" t="s">
        <v>1278</v>
      </c>
    </row>
    <row r="418" spans="3:57" ht="15" customHeight="1" x14ac:dyDescent="0.25">
      <c r="C418" s="406">
        <f t="shared" si="156"/>
        <v>416</v>
      </c>
      <c r="D418" s="406" t="e">
        <f t="shared" ca="1" si="160"/>
        <v>#N/A</v>
      </c>
      <c r="E418" s="406" t="e">
        <f t="shared" ca="1" si="160"/>
        <v>#N/A</v>
      </c>
      <c r="F418" s="406" t="e">
        <f t="shared" ca="1" si="160"/>
        <v>#N/A</v>
      </c>
      <c r="G418" s="406" t="e">
        <f t="shared" ca="1" si="160"/>
        <v>#N/A</v>
      </c>
      <c r="H418" s="406" t="e">
        <f t="shared" ca="1" si="160"/>
        <v>#N/A</v>
      </c>
      <c r="I418" s="406" t="e">
        <f t="shared" ca="1" si="160"/>
        <v>#N/A</v>
      </c>
      <c r="J418" s="406" t="e">
        <f t="shared" ca="1" si="160"/>
        <v>#N/A</v>
      </c>
      <c r="K418" s="406" t="e">
        <f t="shared" ca="1" si="160"/>
        <v>#N/A</v>
      </c>
      <c r="L418" s="406" t="e">
        <f t="shared" ca="1" si="160"/>
        <v>#N/A</v>
      </c>
      <c r="M418" s="406" t="e">
        <f t="shared" ca="1" si="160"/>
        <v>#N/A</v>
      </c>
      <c r="N418" s="406" t="e">
        <f t="shared" ca="1" si="158"/>
        <v>#N/A</v>
      </c>
      <c r="O418" s="406" t="e">
        <f t="shared" ca="1" si="158"/>
        <v>#N/A</v>
      </c>
      <c r="P418" s="406" t="e">
        <f t="shared" ca="1" si="158"/>
        <v>#N/A</v>
      </c>
      <c r="Q418" s="406" t="e">
        <f t="shared" ca="1" si="158"/>
        <v>#N/A</v>
      </c>
      <c r="R418" s="406" t="e">
        <f t="shared" ca="1" si="158"/>
        <v>#N/A</v>
      </c>
      <c r="S418" s="406" t="e">
        <f t="shared" ca="1" si="158"/>
        <v>#N/A</v>
      </c>
      <c r="T418" s="406" t="e">
        <f t="shared" ca="1" si="158"/>
        <v>#N/A</v>
      </c>
      <c r="U418" s="406" t="e">
        <f t="shared" ca="1" si="158"/>
        <v>#N/A</v>
      </c>
      <c r="V418" s="406" t="e">
        <f t="shared" ca="1" si="158"/>
        <v>#N/A</v>
      </c>
      <c r="W418" s="406" t="e">
        <f t="shared" ca="1" si="158"/>
        <v>#N/A</v>
      </c>
      <c r="X418" s="406" t="e">
        <f t="shared" ca="1" si="162"/>
        <v>#N/A</v>
      </c>
      <c r="Y418" s="406" t="e">
        <f t="shared" ca="1" si="162"/>
        <v>#N/A</v>
      </c>
      <c r="Z418" s="406" t="e">
        <f t="shared" ca="1" si="162"/>
        <v>#N/A</v>
      </c>
      <c r="AA418" s="406" t="e">
        <f t="shared" ca="1" si="162"/>
        <v>#N/A</v>
      </c>
      <c r="AB418" s="406" t="e">
        <f t="shared" ca="1" si="162"/>
        <v>#N/A</v>
      </c>
      <c r="AC418" s="406" t="e">
        <f t="shared" ca="1" si="162"/>
        <v>#N/A</v>
      </c>
      <c r="AD418" s="406" t="e">
        <f t="shared" ca="1" si="162"/>
        <v>#N/A</v>
      </c>
      <c r="AE418" s="406" t="e">
        <f t="shared" ca="1" si="162"/>
        <v>#N/A</v>
      </c>
      <c r="AF418" s="406" t="e">
        <f t="shared" ca="1" si="162"/>
        <v>#N/A</v>
      </c>
      <c r="AG418" s="406" t="e">
        <f t="shared" ca="1" si="162"/>
        <v>#N/A</v>
      </c>
      <c r="AH418" s="406" t="e">
        <f t="shared" ca="1" si="159"/>
        <v>#N/A</v>
      </c>
      <c r="AI418" s="406" t="e">
        <f t="shared" ca="1" si="159"/>
        <v>#N/A</v>
      </c>
      <c r="AJ418" s="406" t="e">
        <f t="shared" ca="1" si="159"/>
        <v>#N/A</v>
      </c>
      <c r="AK418" s="406" t="e">
        <f t="shared" ca="1" si="159"/>
        <v>#N/A</v>
      </c>
      <c r="AL418" s="406" t="e">
        <f t="shared" ca="1" si="159"/>
        <v>#N/A</v>
      </c>
      <c r="AM418" s="406" t="e">
        <f t="shared" ca="1" si="159"/>
        <v>#N/A</v>
      </c>
      <c r="AN418" s="406" t="e">
        <f t="shared" ca="1" si="159"/>
        <v>#N/A</v>
      </c>
      <c r="AO418" s="406" t="e">
        <f t="shared" ca="1" si="159"/>
        <v>#N/A</v>
      </c>
      <c r="AP418" s="406" t="e">
        <f t="shared" ca="1" si="159"/>
        <v>#N/A</v>
      </c>
      <c r="AQ418" s="406" t="e">
        <f t="shared" ca="1" si="159"/>
        <v>#N/A</v>
      </c>
      <c r="AR418" s="406" t="e">
        <f t="shared" ca="1" si="161"/>
        <v>#N/A</v>
      </c>
      <c r="AS418" s="406" t="e">
        <f t="shared" ca="1" si="161"/>
        <v>#N/A</v>
      </c>
      <c r="AT418" s="406" t="e">
        <f t="shared" ca="1" si="161"/>
        <v>#N/A</v>
      </c>
      <c r="AU418" s="406" t="e">
        <f t="shared" ca="1" si="161"/>
        <v>#N/A</v>
      </c>
      <c r="AV418" s="406" t="e">
        <f t="shared" ca="1" si="161"/>
        <v>#N/A</v>
      </c>
      <c r="AW418" s="406" t="e">
        <f t="shared" ca="1" si="161"/>
        <v>#N/A</v>
      </c>
      <c r="AX418" s="406" t="e">
        <f t="shared" ca="1" si="161"/>
        <v>#N/A</v>
      </c>
      <c r="AY418" s="406" t="e">
        <f t="shared" ca="1" si="161"/>
        <v>#N/A</v>
      </c>
      <c r="AZ418" s="406" t="e">
        <f t="shared" ca="1" si="161"/>
        <v>#N/A</v>
      </c>
      <c r="BA418" s="406" t="e">
        <f t="shared" ca="1" si="161"/>
        <v>#N/A</v>
      </c>
      <c r="BB418" s="408"/>
      <c r="BC418" s="408" t="str">
        <f t="shared" ca="1" si="154"/>
        <v/>
      </c>
      <c r="BD418" s="408" t="s">
        <v>1278</v>
      </c>
      <c r="BE418" s="408" t="s">
        <v>1278</v>
      </c>
    </row>
    <row r="419" spans="3:57" x14ac:dyDescent="0.25">
      <c r="C419" s="406">
        <f t="shared" si="156"/>
        <v>417</v>
      </c>
      <c r="D419" s="406" t="e">
        <f t="shared" ca="1" si="160"/>
        <v>#N/A</v>
      </c>
      <c r="E419" s="406" t="e">
        <f t="shared" ca="1" si="160"/>
        <v>#N/A</v>
      </c>
      <c r="F419" s="406" t="e">
        <f t="shared" ca="1" si="160"/>
        <v>#N/A</v>
      </c>
      <c r="G419" s="406" t="e">
        <f t="shared" ca="1" si="160"/>
        <v>#N/A</v>
      </c>
      <c r="H419" s="406" t="e">
        <f t="shared" ca="1" si="160"/>
        <v>#N/A</v>
      </c>
      <c r="I419" s="406" t="e">
        <f t="shared" ca="1" si="160"/>
        <v>#N/A</v>
      </c>
      <c r="J419" s="406" t="e">
        <f t="shared" ca="1" si="160"/>
        <v>#N/A</v>
      </c>
      <c r="K419" s="406" t="e">
        <f t="shared" ca="1" si="160"/>
        <v>#N/A</v>
      </c>
      <c r="L419" s="406" t="e">
        <f t="shared" ca="1" si="160"/>
        <v>#N/A</v>
      </c>
      <c r="M419" s="406" t="e">
        <f t="shared" ca="1" si="160"/>
        <v>#N/A</v>
      </c>
      <c r="N419" s="406" t="e">
        <f t="shared" ca="1" si="158"/>
        <v>#N/A</v>
      </c>
      <c r="O419" s="406" t="e">
        <f t="shared" ca="1" si="158"/>
        <v>#N/A</v>
      </c>
      <c r="P419" s="406" t="e">
        <f t="shared" ca="1" si="158"/>
        <v>#N/A</v>
      </c>
      <c r="Q419" s="406" t="e">
        <f t="shared" ca="1" si="158"/>
        <v>#N/A</v>
      </c>
      <c r="R419" s="406" t="e">
        <f t="shared" ca="1" si="158"/>
        <v>#N/A</v>
      </c>
      <c r="S419" s="406" t="e">
        <f t="shared" ca="1" si="158"/>
        <v>#N/A</v>
      </c>
      <c r="T419" s="406" t="e">
        <f t="shared" ca="1" si="158"/>
        <v>#N/A</v>
      </c>
      <c r="U419" s="406" t="e">
        <f t="shared" ca="1" si="158"/>
        <v>#N/A</v>
      </c>
      <c r="V419" s="406" t="e">
        <f t="shared" ca="1" si="158"/>
        <v>#N/A</v>
      </c>
      <c r="W419" s="406" t="e">
        <f t="shared" ca="1" si="158"/>
        <v>#N/A</v>
      </c>
      <c r="X419" s="406" t="e">
        <f t="shared" ca="1" si="162"/>
        <v>#N/A</v>
      </c>
      <c r="Y419" s="406" t="e">
        <f t="shared" ca="1" si="162"/>
        <v>#N/A</v>
      </c>
      <c r="Z419" s="406" t="e">
        <f t="shared" ca="1" si="162"/>
        <v>#N/A</v>
      </c>
      <c r="AA419" s="406" t="e">
        <f t="shared" ca="1" si="162"/>
        <v>#N/A</v>
      </c>
      <c r="AB419" s="406" t="e">
        <f t="shared" ca="1" si="162"/>
        <v>#N/A</v>
      </c>
      <c r="AC419" s="406" t="e">
        <f t="shared" ca="1" si="162"/>
        <v>#N/A</v>
      </c>
      <c r="AD419" s="406" t="e">
        <f t="shared" ca="1" si="162"/>
        <v>#N/A</v>
      </c>
      <c r="AE419" s="406" t="e">
        <f t="shared" ca="1" si="162"/>
        <v>#N/A</v>
      </c>
      <c r="AF419" s="406" t="e">
        <f t="shared" ca="1" si="162"/>
        <v>#N/A</v>
      </c>
      <c r="AG419" s="406" t="e">
        <f t="shared" ca="1" si="162"/>
        <v>#N/A</v>
      </c>
      <c r="AH419" s="406" t="e">
        <f t="shared" ca="1" si="159"/>
        <v>#N/A</v>
      </c>
      <c r="AI419" s="406" t="e">
        <f t="shared" ca="1" si="159"/>
        <v>#N/A</v>
      </c>
      <c r="AJ419" s="406" t="e">
        <f t="shared" ca="1" si="159"/>
        <v>#N/A</v>
      </c>
      <c r="AK419" s="406" t="e">
        <f t="shared" ca="1" si="159"/>
        <v>#N/A</v>
      </c>
      <c r="AL419" s="406" t="e">
        <f t="shared" ca="1" si="159"/>
        <v>#N/A</v>
      </c>
      <c r="AM419" s="406" t="e">
        <f t="shared" ca="1" si="159"/>
        <v>#N/A</v>
      </c>
      <c r="AN419" s="406" t="e">
        <f t="shared" ca="1" si="159"/>
        <v>#N/A</v>
      </c>
      <c r="AO419" s="406" t="e">
        <f t="shared" ca="1" si="159"/>
        <v>#N/A</v>
      </c>
      <c r="AP419" s="406" t="e">
        <f t="shared" ca="1" si="159"/>
        <v>#N/A</v>
      </c>
      <c r="AQ419" s="406" t="e">
        <f t="shared" ca="1" si="159"/>
        <v>#N/A</v>
      </c>
      <c r="AR419" s="406" t="e">
        <f t="shared" ca="1" si="161"/>
        <v>#N/A</v>
      </c>
      <c r="AS419" s="406" t="e">
        <f t="shared" ca="1" si="161"/>
        <v>#N/A</v>
      </c>
      <c r="AT419" s="406" t="e">
        <f t="shared" ca="1" si="161"/>
        <v>#N/A</v>
      </c>
      <c r="AU419" s="406" t="e">
        <f t="shared" ca="1" si="161"/>
        <v>#N/A</v>
      </c>
      <c r="AV419" s="406" t="e">
        <f t="shared" ca="1" si="161"/>
        <v>#N/A</v>
      </c>
      <c r="AW419" s="406" t="e">
        <f t="shared" ca="1" si="161"/>
        <v>#N/A</v>
      </c>
      <c r="AX419" s="406" t="e">
        <f t="shared" ca="1" si="161"/>
        <v>#N/A</v>
      </c>
      <c r="AY419" s="406" t="e">
        <f t="shared" ca="1" si="161"/>
        <v>#N/A</v>
      </c>
      <c r="AZ419" s="406" t="e">
        <f t="shared" ca="1" si="161"/>
        <v>#N/A</v>
      </c>
      <c r="BA419" s="406" t="e">
        <f t="shared" ca="1" si="161"/>
        <v>#N/A</v>
      </c>
      <c r="BB419" s="408"/>
      <c r="BC419" s="408" t="str">
        <f t="shared" ca="1" si="154"/>
        <v/>
      </c>
      <c r="BD419" s="408" t="s">
        <v>1278</v>
      </c>
      <c r="BE419" s="408" t="s">
        <v>1278</v>
      </c>
    </row>
    <row r="420" spans="3:57" x14ac:dyDescent="0.25">
      <c r="C420" s="406">
        <f t="shared" si="156"/>
        <v>418</v>
      </c>
      <c r="D420" s="406" t="e">
        <f t="shared" ca="1" si="160"/>
        <v>#N/A</v>
      </c>
      <c r="E420" s="406" t="e">
        <f t="shared" ca="1" si="160"/>
        <v>#N/A</v>
      </c>
      <c r="F420" s="406" t="e">
        <f t="shared" ca="1" si="160"/>
        <v>#N/A</v>
      </c>
      <c r="G420" s="406" t="e">
        <f t="shared" ca="1" si="160"/>
        <v>#N/A</v>
      </c>
      <c r="H420" s="406" t="e">
        <f t="shared" ca="1" si="160"/>
        <v>#N/A</v>
      </c>
      <c r="I420" s="406" t="e">
        <f t="shared" ca="1" si="160"/>
        <v>#N/A</v>
      </c>
      <c r="J420" s="406" t="e">
        <f t="shared" ca="1" si="160"/>
        <v>#N/A</v>
      </c>
      <c r="K420" s="406" t="e">
        <f t="shared" ca="1" si="160"/>
        <v>#N/A</v>
      </c>
      <c r="L420" s="406" t="e">
        <f t="shared" ca="1" si="160"/>
        <v>#N/A</v>
      </c>
      <c r="M420" s="406" t="e">
        <f t="shared" ca="1" si="160"/>
        <v>#N/A</v>
      </c>
      <c r="N420" s="406" t="e">
        <f t="shared" ca="1" si="158"/>
        <v>#N/A</v>
      </c>
      <c r="O420" s="406" t="e">
        <f t="shared" ca="1" si="158"/>
        <v>#N/A</v>
      </c>
      <c r="P420" s="406" t="e">
        <f t="shared" ca="1" si="158"/>
        <v>#N/A</v>
      </c>
      <c r="Q420" s="406" t="e">
        <f t="shared" ca="1" si="158"/>
        <v>#N/A</v>
      </c>
      <c r="R420" s="406" t="e">
        <f t="shared" ca="1" si="158"/>
        <v>#N/A</v>
      </c>
      <c r="S420" s="406" t="e">
        <f t="shared" ca="1" si="158"/>
        <v>#N/A</v>
      </c>
      <c r="T420" s="406" t="e">
        <f t="shared" ca="1" si="158"/>
        <v>#N/A</v>
      </c>
      <c r="U420" s="406" t="e">
        <f t="shared" ca="1" si="158"/>
        <v>#N/A</v>
      </c>
      <c r="V420" s="406" t="e">
        <f t="shared" ca="1" si="158"/>
        <v>#N/A</v>
      </c>
      <c r="W420" s="406" t="e">
        <f t="shared" ca="1" si="158"/>
        <v>#N/A</v>
      </c>
      <c r="X420" s="406" t="e">
        <f t="shared" ca="1" si="162"/>
        <v>#N/A</v>
      </c>
      <c r="Y420" s="406" t="e">
        <f t="shared" ca="1" si="162"/>
        <v>#N/A</v>
      </c>
      <c r="Z420" s="406" t="e">
        <f t="shared" ca="1" si="162"/>
        <v>#N/A</v>
      </c>
      <c r="AA420" s="406" t="e">
        <f t="shared" ca="1" si="162"/>
        <v>#N/A</v>
      </c>
      <c r="AB420" s="406" t="e">
        <f t="shared" ca="1" si="162"/>
        <v>#N/A</v>
      </c>
      <c r="AC420" s="406" t="e">
        <f t="shared" ca="1" si="162"/>
        <v>#N/A</v>
      </c>
      <c r="AD420" s="406" t="e">
        <f t="shared" ca="1" si="162"/>
        <v>#N/A</v>
      </c>
      <c r="AE420" s="406" t="e">
        <f t="shared" ca="1" si="162"/>
        <v>#N/A</v>
      </c>
      <c r="AF420" s="406" t="e">
        <f t="shared" ca="1" si="162"/>
        <v>#N/A</v>
      </c>
      <c r="AG420" s="406" t="e">
        <f t="shared" ca="1" si="162"/>
        <v>#N/A</v>
      </c>
      <c r="AH420" s="406" t="e">
        <f t="shared" ca="1" si="159"/>
        <v>#N/A</v>
      </c>
      <c r="AI420" s="406" t="e">
        <f t="shared" ca="1" si="159"/>
        <v>#N/A</v>
      </c>
      <c r="AJ420" s="406" t="e">
        <f t="shared" ca="1" si="159"/>
        <v>#N/A</v>
      </c>
      <c r="AK420" s="406" t="e">
        <f t="shared" ca="1" si="159"/>
        <v>#N/A</v>
      </c>
      <c r="AL420" s="406" t="e">
        <f t="shared" ca="1" si="159"/>
        <v>#N/A</v>
      </c>
      <c r="AM420" s="406" t="e">
        <f t="shared" ca="1" si="159"/>
        <v>#N/A</v>
      </c>
      <c r="AN420" s="406" t="e">
        <f t="shared" ca="1" si="159"/>
        <v>#N/A</v>
      </c>
      <c r="AO420" s="406" t="e">
        <f t="shared" ca="1" si="159"/>
        <v>#N/A</v>
      </c>
      <c r="AP420" s="406" t="e">
        <f t="shared" ca="1" si="159"/>
        <v>#N/A</v>
      </c>
      <c r="AQ420" s="406" t="e">
        <f t="shared" ca="1" si="159"/>
        <v>#N/A</v>
      </c>
      <c r="AR420" s="406" t="e">
        <f t="shared" ca="1" si="161"/>
        <v>#N/A</v>
      </c>
      <c r="AS420" s="406" t="e">
        <f t="shared" ca="1" si="161"/>
        <v>#N/A</v>
      </c>
      <c r="AT420" s="406" t="e">
        <f t="shared" ca="1" si="161"/>
        <v>#N/A</v>
      </c>
      <c r="AU420" s="406" t="e">
        <f t="shared" ca="1" si="161"/>
        <v>#N/A</v>
      </c>
      <c r="AV420" s="406" t="e">
        <f t="shared" ca="1" si="161"/>
        <v>#N/A</v>
      </c>
      <c r="AW420" s="406" t="e">
        <f t="shared" ca="1" si="161"/>
        <v>#N/A</v>
      </c>
      <c r="AX420" s="406" t="e">
        <f t="shared" ca="1" si="161"/>
        <v>#N/A</v>
      </c>
      <c r="AY420" s="406" t="e">
        <f t="shared" ca="1" si="161"/>
        <v>#N/A</v>
      </c>
      <c r="AZ420" s="406" t="e">
        <f t="shared" ca="1" si="161"/>
        <v>#N/A</v>
      </c>
      <c r="BA420" s="406" t="e">
        <f t="shared" ca="1" si="161"/>
        <v>#N/A</v>
      </c>
      <c r="BB420" s="408"/>
      <c r="BC420" s="408" t="str">
        <f t="shared" ca="1" si="154"/>
        <v/>
      </c>
      <c r="BD420" s="408" t="s">
        <v>1278</v>
      </c>
      <c r="BE420" s="408" t="s">
        <v>1278</v>
      </c>
    </row>
    <row r="421" spans="3:57" ht="15" customHeight="1" x14ac:dyDescent="0.25">
      <c r="C421" s="406">
        <f t="shared" si="156"/>
        <v>419</v>
      </c>
      <c r="D421" s="406" t="e">
        <f t="shared" ca="1" si="160"/>
        <v>#N/A</v>
      </c>
      <c r="E421" s="406" t="e">
        <f t="shared" ca="1" si="160"/>
        <v>#N/A</v>
      </c>
      <c r="F421" s="406" t="e">
        <f t="shared" ca="1" si="160"/>
        <v>#N/A</v>
      </c>
      <c r="G421" s="406" t="e">
        <f t="shared" ca="1" si="160"/>
        <v>#N/A</v>
      </c>
      <c r="H421" s="406" t="e">
        <f t="shared" ca="1" si="160"/>
        <v>#N/A</v>
      </c>
      <c r="I421" s="406" t="e">
        <f t="shared" ca="1" si="160"/>
        <v>#N/A</v>
      </c>
      <c r="J421" s="406" t="e">
        <f t="shared" ca="1" si="160"/>
        <v>#N/A</v>
      </c>
      <c r="K421" s="406" t="e">
        <f t="shared" ca="1" si="160"/>
        <v>#N/A</v>
      </c>
      <c r="L421" s="406" t="e">
        <f t="shared" ca="1" si="160"/>
        <v>#N/A</v>
      </c>
      <c r="M421" s="406" t="e">
        <f t="shared" ca="1" si="160"/>
        <v>#N/A</v>
      </c>
      <c r="N421" s="406" t="e">
        <f t="shared" ca="1" si="158"/>
        <v>#N/A</v>
      </c>
      <c r="O421" s="406" t="e">
        <f t="shared" ca="1" si="158"/>
        <v>#N/A</v>
      </c>
      <c r="P421" s="406" t="e">
        <f t="shared" ca="1" si="158"/>
        <v>#N/A</v>
      </c>
      <c r="Q421" s="406" t="e">
        <f t="shared" ca="1" si="158"/>
        <v>#N/A</v>
      </c>
      <c r="R421" s="406" t="e">
        <f t="shared" ca="1" si="158"/>
        <v>#N/A</v>
      </c>
      <c r="S421" s="406" t="e">
        <f t="shared" ca="1" si="158"/>
        <v>#N/A</v>
      </c>
      <c r="T421" s="406" t="e">
        <f t="shared" ca="1" si="158"/>
        <v>#N/A</v>
      </c>
      <c r="U421" s="406" t="e">
        <f t="shared" ca="1" si="158"/>
        <v>#N/A</v>
      </c>
      <c r="V421" s="406" t="e">
        <f t="shared" ca="1" si="158"/>
        <v>#N/A</v>
      </c>
      <c r="W421" s="406" t="e">
        <f t="shared" ca="1" si="158"/>
        <v>#N/A</v>
      </c>
      <c r="X421" s="406" t="e">
        <f t="shared" ca="1" si="162"/>
        <v>#N/A</v>
      </c>
      <c r="Y421" s="406" t="e">
        <f t="shared" ca="1" si="162"/>
        <v>#N/A</v>
      </c>
      <c r="Z421" s="406" t="e">
        <f t="shared" ca="1" si="162"/>
        <v>#N/A</v>
      </c>
      <c r="AA421" s="406" t="e">
        <f t="shared" ca="1" si="162"/>
        <v>#N/A</v>
      </c>
      <c r="AB421" s="406" t="e">
        <f t="shared" ca="1" si="162"/>
        <v>#N/A</v>
      </c>
      <c r="AC421" s="406" t="e">
        <f t="shared" ca="1" si="162"/>
        <v>#N/A</v>
      </c>
      <c r="AD421" s="406" t="e">
        <f t="shared" ca="1" si="162"/>
        <v>#N/A</v>
      </c>
      <c r="AE421" s="406" t="e">
        <f t="shared" ca="1" si="162"/>
        <v>#N/A</v>
      </c>
      <c r="AF421" s="406" t="e">
        <f t="shared" ca="1" si="162"/>
        <v>#N/A</v>
      </c>
      <c r="AG421" s="406" t="e">
        <f t="shared" ca="1" si="162"/>
        <v>#N/A</v>
      </c>
      <c r="AH421" s="406" t="e">
        <f t="shared" ca="1" si="159"/>
        <v>#N/A</v>
      </c>
      <c r="AI421" s="406" t="e">
        <f t="shared" ca="1" si="159"/>
        <v>#N/A</v>
      </c>
      <c r="AJ421" s="406" t="e">
        <f t="shared" ca="1" si="159"/>
        <v>#N/A</v>
      </c>
      <c r="AK421" s="406" t="e">
        <f t="shared" ca="1" si="159"/>
        <v>#N/A</v>
      </c>
      <c r="AL421" s="406" t="e">
        <f t="shared" ca="1" si="159"/>
        <v>#N/A</v>
      </c>
      <c r="AM421" s="406" t="e">
        <f t="shared" ca="1" si="159"/>
        <v>#N/A</v>
      </c>
      <c r="AN421" s="406" t="e">
        <f t="shared" ca="1" si="159"/>
        <v>#N/A</v>
      </c>
      <c r="AO421" s="406" t="e">
        <f t="shared" ca="1" si="159"/>
        <v>#N/A</v>
      </c>
      <c r="AP421" s="406" t="e">
        <f t="shared" ca="1" si="159"/>
        <v>#N/A</v>
      </c>
      <c r="AQ421" s="406" t="e">
        <f t="shared" ca="1" si="159"/>
        <v>#N/A</v>
      </c>
      <c r="AR421" s="406" t="e">
        <f t="shared" ca="1" si="161"/>
        <v>#N/A</v>
      </c>
      <c r="AS421" s="406" t="e">
        <f t="shared" ca="1" si="161"/>
        <v>#N/A</v>
      </c>
      <c r="AT421" s="406" t="e">
        <f t="shared" ca="1" si="161"/>
        <v>#N/A</v>
      </c>
      <c r="AU421" s="406" t="e">
        <f t="shared" ca="1" si="161"/>
        <v>#N/A</v>
      </c>
      <c r="AV421" s="406" t="e">
        <f t="shared" ca="1" si="161"/>
        <v>#N/A</v>
      </c>
      <c r="AW421" s="406" t="e">
        <f t="shared" ca="1" si="161"/>
        <v>#N/A</v>
      </c>
      <c r="AX421" s="406" t="e">
        <f t="shared" ca="1" si="161"/>
        <v>#N/A</v>
      </c>
      <c r="AY421" s="406" t="e">
        <f t="shared" ca="1" si="161"/>
        <v>#N/A</v>
      </c>
      <c r="AZ421" s="406" t="e">
        <f t="shared" ca="1" si="161"/>
        <v>#N/A</v>
      </c>
      <c r="BA421" s="406" t="e">
        <f t="shared" ca="1" si="161"/>
        <v>#N/A</v>
      </c>
      <c r="BB421" s="408"/>
      <c r="BC421" s="408" t="str">
        <f t="shared" ca="1" si="154"/>
        <v/>
      </c>
      <c r="BD421" s="408" t="s">
        <v>1278</v>
      </c>
      <c r="BE421" s="408" t="s">
        <v>1278</v>
      </c>
    </row>
    <row r="422" spans="3:57" x14ac:dyDescent="0.25">
      <c r="C422" s="406">
        <f t="shared" si="156"/>
        <v>420</v>
      </c>
      <c r="D422" s="406" t="e">
        <f t="shared" ca="1" si="160"/>
        <v>#N/A</v>
      </c>
      <c r="E422" s="406" t="e">
        <f t="shared" ca="1" si="160"/>
        <v>#N/A</v>
      </c>
      <c r="F422" s="406" t="e">
        <f t="shared" ca="1" si="160"/>
        <v>#N/A</v>
      </c>
      <c r="G422" s="406" t="e">
        <f t="shared" ca="1" si="160"/>
        <v>#N/A</v>
      </c>
      <c r="H422" s="406" t="e">
        <f t="shared" ca="1" si="160"/>
        <v>#N/A</v>
      </c>
      <c r="I422" s="406" t="e">
        <f t="shared" ca="1" si="160"/>
        <v>#N/A</v>
      </c>
      <c r="J422" s="406" t="e">
        <f t="shared" ca="1" si="160"/>
        <v>#N/A</v>
      </c>
      <c r="K422" s="406" t="e">
        <f t="shared" ca="1" si="160"/>
        <v>#N/A</v>
      </c>
      <c r="L422" s="406" t="e">
        <f t="shared" ca="1" si="160"/>
        <v>#N/A</v>
      </c>
      <c r="M422" s="406" t="e">
        <f t="shared" ca="1" si="160"/>
        <v>#N/A</v>
      </c>
      <c r="N422" s="406" t="e">
        <f t="shared" ca="1" si="158"/>
        <v>#N/A</v>
      </c>
      <c r="O422" s="406" t="e">
        <f t="shared" ca="1" si="158"/>
        <v>#N/A</v>
      </c>
      <c r="P422" s="406" t="e">
        <f t="shared" ca="1" si="158"/>
        <v>#N/A</v>
      </c>
      <c r="Q422" s="406" t="e">
        <f t="shared" ca="1" si="158"/>
        <v>#N/A</v>
      </c>
      <c r="R422" s="406" t="e">
        <f t="shared" ca="1" si="158"/>
        <v>#N/A</v>
      </c>
      <c r="S422" s="406" t="e">
        <f t="shared" ca="1" si="158"/>
        <v>#N/A</v>
      </c>
      <c r="T422" s="406" t="e">
        <f t="shared" ca="1" si="158"/>
        <v>#N/A</v>
      </c>
      <c r="U422" s="406" t="e">
        <f t="shared" ca="1" si="158"/>
        <v>#N/A</v>
      </c>
      <c r="V422" s="406" t="e">
        <f t="shared" ca="1" si="158"/>
        <v>#N/A</v>
      </c>
      <c r="W422" s="406" t="e">
        <f t="shared" ca="1" si="158"/>
        <v>#N/A</v>
      </c>
      <c r="X422" s="406" t="e">
        <f t="shared" ca="1" si="162"/>
        <v>#N/A</v>
      </c>
      <c r="Y422" s="406" t="e">
        <f t="shared" ca="1" si="162"/>
        <v>#N/A</v>
      </c>
      <c r="Z422" s="406" t="e">
        <f t="shared" ca="1" si="162"/>
        <v>#N/A</v>
      </c>
      <c r="AA422" s="406" t="e">
        <f t="shared" ca="1" si="162"/>
        <v>#N/A</v>
      </c>
      <c r="AB422" s="406" t="e">
        <f t="shared" ca="1" si="162"/>
        <v>#N/A</v>
      </c>
      <c r="AC422" s="406" t="e">
        <f t="shared" ca="1" si="162"/>
        <v>#N/A</v>
      </c>
      <c r="AD422" s="406" t="e">
        <f t="shared" ca="1" si="162"/>
        <v>#N/A</v>
      </c>
      <c r="AE422" s="406" t="e">
        <f t="shared" ca="1" si="162"/>
        <v>#N/A</v>
      </c>
      <c r="AF422" s="406" t="e">
        <f t="shared" ca="1" si="162"/>
        <v>#N/A</v>
      </c>
      <c r="AG422" s="406" t="e">
        <f t="shared" ca="1" si="162"/>
        <v>#N/A</v>
      </c>
      <c r="AH422" s="406" t="e">
        <f t="shared" ca="1" si="159"/>
        <v>#N/A</v>
      </c>
      <c r="AI422" s="406" t="e">
        <f t="shared" ca="1" si="159"/>
        <v>#N/A</v>
      </c>
      <c r="AJ422" s="406" t="e">
        <f t="shared" ca="1" si="159"/>
        <v>#N/A</v>
      </c>
      <c r="AK422" s="406" t="e">
        <f t="shared" ca="1" si="159"/>
        <v>#N/A</v>
      </c>
      <c r="AL422" s="406" t="e">
        <f t="shared" ca="1" si="159"/>
        <v>#N/A</v>
      </c>
      <c r="AM422" s="406" t="e">
        <f t="shared" ca="1" si="159"/>
        <v>#N/A</v>
      </c>
      <c r="AN422" s="406" t="e">
        <f t="shared" ca="1" si="159"/>
        <v>#N/A</v>
      </c>
      <c r="AO422" s="406" t="e">
        <f t="shared" ca="1" si="159"/>
        <v>#N/A</v>
      </c>
      <c r="AP422" s="406" t="e">
        <f t="shared" ca="1" si="159"/>
        <v>#N/A</v>
      </c>
      <c r="AQ422" s="406" t="e">
        <f t="shared" ca="1" si="159"/>
        <v>#N/A</v>
      </c>
      <c r="AR422" s="406" t="e">
        <f t="shared" ca="1" si="161"/>
        <v>#N/A</v>
      </c>
      <c r="AS422" s="406" t="e">
        <f t="shared" ca="1" si="161"/>
        <v>#N/A</v>
      </c>
      <c r="AT422" s="406" t="e">
        <f t="shared" ca="1" si="161"/>
        <v>#N/A</v>
      </c>
      <c r="AU422" s="406" t="e">
        <f t="shared" ca="1" si="161"/>
        <v>#N/A</v>
      </c>
      <c r="AV422" s="406" t="e">
        <f t="shared" ca="1" si="161"/>
        <v>#N/A</v>
      </c>
      <c r="AW422" s="406" t="e">
        <f t="shared" ca="1" si="161"/>
        <v>#N/A</v>
      </c>
      <c r="AX422" s="406" t="e">
        <f t="shared" ca="1" si="161"/>
        <v>#N/A</v>
      </c>
      <c r="AY422" s="406" t="e">
        <f t="shared" ca="1" si="161"/>
        <v>#N/A</v>
      </c>
      <c r="AZ422" s="406" t="e">
        <f t="shared" ca="1" si="161"/>
        <v>#N/A</v>
      </c>
      <c r="BA422" s="406" t="e">
        <f t="shared" ca="1" si="161"/>
        <v>#N/A</v>
      </c>
      <c r="BB422" s="408"/>
      <c r="BC422" s="408" t="str">
        <f t="shared" ca="1" si="154"/>
        <v/>
      </c>
      <c r="BD422" s="408" t="s">
        <v>1278</v>
      </c>
      <c r="BE422" s="408" t="s">
        <v>1278</v>
      </c>
    </row>
    <row r="423" spans="3:57" x14ac:dyDescent="0.25">
      <c r="C423" s="406">
        <f t="shared" si="156"/>
        <v>421</v>
      </c>
      <c r="D423" s="406" t="e">
        <f t="shared" ca="1" si="160"/>
        <v>#N/A</v>
      </c>
      <c r="E423" s="406" t="e">
        <f t="shared" ca="1" si="160"/>
        <v>#N/A</v>
      </c>
      <c r="F423" s="406" t="e">
        <f t="shared" ca="1" si="160"/>
        <v>#N/A</v>
      </c>
      <c r="G423" s="406" t="e">
        <f t="shared" ca="1" si="160"/>
        <v>#N/A</v>
      </c>
      <c r="H423" s="406" t="e">
        <f t="shared" ca="1" si="160"/>
        <v>#N/A</v>
      </c>
      <c r="I423" s="406" t="e">
        <f t="shared" ca="1" si="160"/>
        <v>#N/A</v>
      </c>
      <c r="J423" s="406" t="e">
        <f t="shared" ca="1" si="160"/>
        <v>#N/A</v>
      </c>
      <c r="K423" s="406" t="e">
        <f t="shared" ca="1" si="160"/>
        <v>#N/A</v>
      </c>
      <c r="L423" s="406" t="e">
        <f t="shared" ca="1" si="160"/>
        <v>#N/A</v>
      </c>
      <c r="M423" s="406" t="e">
        <f t="shared" ca="1" si="160"/>
        <v>#N/A</v>
      </c>
      <c r="N423" s="406" t="e">
        <f t="shared" ca="1" si="158"/>
        <v>#N/A</v>
      </c>
      <c r="O423" s="406" t="e">
        <f t="shared" ca="1" si="158"/>
        <v>#N/A</v>
      </c>
      <c r="P423" s="406" t="e">
        <f t="shared" ca="1" si="158"/>
        <v>#N/A</v>
      </c>
      <c r="Q423" s="406" t="e">
        <f t="shared" ca="1" si="158"/>
        <v>#N/A</v>
      </c>
      <c r="R423" s="406" t="e">
        <f t="shared" ref="N423:W448" ca="1" si="163">TRIM(INDIRECT("'" &amp; "TNX RTF" &amp; "'!" &amp; ADDRESS($A$3+$C423,R$1)))</f>
        <v>#N/A</v>
      </c>
      <c r="S423" s="406" t="e">
        <f t="shared" ca="1" si="163"/>
        <v>#N/A</v>
      </c>
      <c r="T423" s="406" t="e">
        <f t="shared" ca="1" si="163"/>
        <v>#N/A</v>
      </c>
      <c r="U423" s="406" t="e">
        <f t="shared" ca="1" si="163"/>
        <v>#N/A</v>
      </c>
      <c r="V423" s="406" t="e">
        <f t="shared" ca="1" si="163"/>
        <v>#N/A</v>
      </c>
      <c r="W423" s="406" t="e">
        <f t="shared" ca="1" si="163"/>
        <v>#N/A</v>
      </c>
      <c r="X423" s="406" t="e">
        <f t="shared" ca="1" si="162"/>
        <v>#N/A</v>
      </c>
      <c r="Y423" s="406" t="e">
        <f t="shared" ca="1" si="162"/>
        <v>#N/A</v>
      </c>
      <c r="Z423" s="406" t="e">
        <f t="shared" ca="1" si="162"/>
        <v>#N/A</v>
      </c>
      <c r="AA423" s="406" t="e">
        <f t="shared" ca="1" si="162"/>
        <v>#N/A</v>
      </c>
      <c r="AB423" s="406" t="e">
        <f t="shared" ca="1" si="162"/>
        <v>#N/A</v>
      </c>
      <c r="AC423" s="406" t="e">
        <f t="shared" ca="1" si="162"/>
        <v>#N/A</v>
      </c>
      <c r="AD423" s="406" t="e">
        <f t="shared" ca="1" si="162"/>
        <v>#N/A</v>
      </c>
      <c r="AE423" s="406" t="e">
        <f t="shared" ca="1" si="162"/>
        <v>#N/A</v>
      </c>
      <c r="AF423" s="406" t="e">
        <f t="shared" ca="1" si="162"/>
        <v>#N/A</v>
      </c>
      <c r="AG423" s="406" t="e">
        <f t="shared" ca="1" si="162"/>
        <v>#N/A</v>
      </c>
      <c r="AH423" s="406" t="e">
        <f t="shared" ca="1" si="159"/>
        <v>#N/A</v>
      </c>
      <c r="AI423" s="406" t="e">
        <f t="shared" ca="1" si="159"/>
        <v>#N/A</v>
      </c>
      <c r="AJ423" s="406" t="e">
        <f t="shared" ca="1" si="159"/>
        <v>#N/A</v>
      </c>
      <c r="AK423" s="406" t="e">
        <f t="shared" ref="AH423:AQ448" ca="1" si="164">TRIM(INDIRECT("'" &amp; "TNX RTF" &amp; "'!" &amp; ADDRESS($A$3+$C423,AK$1)))</f>
        <v>#N/A</v>
      </c>
      <c r="AL423" s="406" t="e">
        <f t="shared" ca="1" si="164"/>
        <v>#N/A</v>
      </c>
      <c r="AM423" s="406" t="e">
        <f t="shared" ca="1" si="164"/>
        <v>#N/A</v>
      </c>
      <c r="AN423" s="406" t="e">
        <f t="shared" ca="1" si="164"/>
        <v>#N/A</v>
      </c>
      <c r="AO423" s="406" t="e">
        <f t="shared" ca="1" si="164"/>
        <v>#N/A</v>
      </c>
      <c r="AP423" s="406" t="e">
        <f t="shared" ca="1" si="164"/>
        <v>#N/A</v>
      </c>
      <c r="AQ423" s="406" t="e">
        <f t="shared" ca="1" si="164"/>
        <v>#N/A</v>
      </c>
      <c r="AR423" s="406" t="e">
        <f t="shared" ca="1" si="161"/>
        <v>#N/A</v>
      </c>
      <c r="AS423" s="406" t="e">
        <f t="shared" ca="1" si="161"/>
        <v>#N/A</v>
      </c>
      <c r="AT423" s="406" t="e">
        <f t="shared" ca="1" si="161"/>
        <v>#N/A</v>
      </c>
      <c r="AU423" s="406" t="e">
        <f t="shared" ca="1" si="161"/>
        <v>#N/A</v>
      </c>
      <c r="AV423" s="406" t="e">
        <f t="shared" ca="1" si="161"/>
        <v>#N/A</v>
      </c>
      <c r="AW423" s="406" t="e">
        <f t="shared" ca="1" si="161"/>
        <v>#N/A</v>
      </c>
      <c r="AX423" s="406" t="e">
        <f t="shared" ca="1" si="161"/>
        <v>#N/A</v>
      </c>
      <c r="AY423" s="406" t="e">
        <f t="shared" ca="1" si="161"/>
        <v>#N/A</v>
      </c>
      <c r="AZ423" s="406" t="e">
        <f t="shared" ca="1" si="161"/>
        <v>#N/A</v>
      </c>
      <c r="BA423" s="406" t="e">
        <f t="shared" ca="1" si="161"/>
        <v>#N/A</v>
      </c>
      <c r="BB423" s="408"/>
      <c r="BC423" s="408" t="str">
        <f t="shared" ca="1" si="154"/>
        <v/>
      </c>
      <c r="BD423" s="408" t="s">
        <v>1278</v>
      </c>
      <c r="BE423" s="408" t="s">
        <v>1278</v>
      </c>
    </row>
    <row r="424" spans="3:57" ht="15" customHeight="1" x14ac:dyDescent="0.25">
      <c r="C424" s="406">
        <f t="shared" si="156"/>
        <v>422</v>
      </c>
      <c r="D424" s="406" t="e">
        <f t="shared" ca="1" si="160"/>
        <v>#N/A</v>
      </c>
      <c r="E424" s="406" t="e">
        <f t="shared" ca="1" si="160"/>
        <v>#N/A</v>
      </c>
      <c r="F424" s="406" t="e">
        <f t="shared" ca="1" si="160"/>
        <v>#N/A</v>
      </c>
      <c r="G424" s="406" t="e">
        <f t="shared" ca="1" si="160"/>
        <v>#N/A</v>
      </c>
      <c r="H424" s="406" t="e">
        <f t="shared" ca="1" si="160"/>
        <v>#N/A</v>
      </c>
      <c r="I424" s="406" t="e">
        <f t="shared" ca="1" si="160"/>
        <v>#N/A</v>
      </c>
      <c r="J424" s="406" t="e">
        <f t="shared" ca="1" si="160"/>
        <v>#N/A</v>
      </c>
      <c r="K424" s="406" t="e">
        <f t="shared" ca="1" si="160"/>
        <v>#N/A</v>
      </c>
      <c r="L424" s="406" t="e">
        <f t="shared" ca="1" si="160"/>
        <v>#N/A</v>
      </c>
      <c r="M424" s="406" t="e">
        <f t="shared" ca="1" si="160"/>
        <v>#N/A</v>
      </c>
      <c r="N424" s="406" t="e">
        <f t="shared" ca="1" si="163"/>
        <v>#N/A</v>
      </c>
      <c r="O424" s="406" t="e">
        <f t="shared" ca="1" si="163"/>
        <v>#N/A</v>
      </c>
      <c r="P424" s="406" t="e">
        <f t="shared" ca="1" si="163"/>
        <v>#N/A</v>
      </c>
      <c r="Q424" s="406" t="e">
        <f t="shared" ca="1" si="163"/>
        <v>#N/A</v>
      </c>
      <c r="R424" s="406" t="e">
        <f t="shared" ca="1" si="163"/>
        <v>#N/A</v>
      </c>
      <c r="S424" s="406" t="e">
        <f t="shared" ca="1" si="163"/>
        <v>#N/A</v>
      </c>
      <c r="T424" s="406" t="e">
        <f t="shared" ca="1" si="163"/>
        <v>#N/A</v>
      </c>
      <c r="U424" s="406" t="e">
        <f t="shared" ca="1" si="163"/>
        <v>#N/A</v>
      </c>
      <c r="V424" s="406" t="e">
        <f t="shared" ca="1" si="163"/>
        <v>#N/A</v>
      </c>
      <c r="W424" s="406" t="e">
        <f t="shared" ca="1" si="163"/>
        <v>#N/A</v>
      </c>
      <c r="X424" s="406" t="e">
        <f t="shared" ca="1" si="162"/>
        <v>#N/A</v>
      </c>
      <c r="Y424" s="406" t="e">
        <f t="shared" ca="1" si="162"/>
        <v>#N/A</v>
      </c>
      <c r="Z424" s="406" t="e">
        <f t="shared" ca="1" si="162"/>
        <v>#N/A</v>
      </c>
      <c r="AA424" s="406" t="e">
        <f t="shared" ca="1" si="162"/>
        <v>#N/A</v>
      </c>
      <c r="AB424" s="406" t="e">
        <f t="shared" ca="1" si="162"/>
        <v>#N/A</v>
      </c>
      <c r="AC424" s="406" t="e">
        <f t="shared" ca="1" si="162"/>
        <v>#N/A</v>
      </c>
      <c r="AD424" s="406" t="e">
        <f t="shared" ca="1" si="162"/>
        <v>#N/A</v>
      </c>
      <c r="AE424" s="406" t="e">
        <f t="shared" ca="1" si="162"/>
        <v>#N/A</v>
      </c>
      <c r="AF424" s="406" t="e">
        <f t="shared" ca="1" si="162"/>
        <v>#N/A</v>
      </c>
      <c r="AG424" s="406" t="e">
        <f t="shared" ca="1" si="162"/>
        <v>#N/A</v>
      </c>
      <c r="AH424" s="406" t="e">
        <f t="shared" ca="1" si="164"/>
        <v>#N/A</v>
      </c>
      <c r="AI424" s="406" t="e">
        <f t="shared" ca="1" si="164"/>
        <v>#N/A</v>
      </c>
      <c r="AJ424" s="406" t="e">
        <f t="shared" ca="1" si="164"/>
        <v>#N/A</v>
      </c>
      <c r="AK424" s="406" t="e">
        <f t="shared" ca="1" si="164"/>
        <v>#N/A</v>
      </c>
      <c r="AL424" s="406" t="e">
        <f t="shared" ca="1" si="164"/>
        <v>#N/A</v>
      </c>
      <c r="AM424" s="406" t="e">
        <f t="shared" ca="1" si="164"/>
        <v>#N/A</v>
      </c>
      <c r="AN424" s="406" t="e">
        <f t="shared" ca="1" si="164"/>
        <v>#N/A</v>
      </c>
      <c r="AO424" s="406" t="e">
        <f t="shared" ca="1" si="164"/>
        <v>#N/A</v>
      </c>
      <c r="AP424" s="406" t="e">
        <f t="shared" ca="1" si="164"/>
        <v>#N/A</v>
      </c>
      <c r="AQ424" s="406" t="e">
        <f t="shared" ca="1" si="164"/>
        <v>#N/A</v>
      </c>
      <c r="AR424" s="406" t="e">
        <f t="shared" ca="1" si="161"/>
        <v>#N/A</v>
      </c>
      <c r="AS424" s="406" t="e">
        <f t="shared" ca="1" si="161"/>
        <v>#N/A</v>
      </c>
      <c r="AT424" s="406" t="e">
        <f t="shared" ca="1" si="161"/>
        <v>#N/A</v>
      </c>
      <c r="AU424" s="406" t="e">
        <f t="shared" ca="1" si="161"/>
        <v>#N/A</v>
      </c>
      <c r="AV424" s="406" t="e">
        <f t="shared" ca="1" si="161"/>
        <v>#N/A</v>
      </c>
      <c r="AW424" s="406" t="e">
        <f t="shared" ca="1" si="161"/>
        <v>#N/A</v>
      </c>
      <c r="AX424" s="406" t="e">
        <f t="shared" ca="1" si="161"/>
        <v>#N/A</v>
      </c>
      <c r="AY424" s="406" t="e">
        <f t="shared" ca="1" si="161"/>
        <v>#N/A</v>
      </c>
      <c r="AZ424" s="406" t="e">
        <f t="shared" ca="1" si="161"/>
        <v>#N/A</v>
      </c>
      <c r="BA424" s="406" t="e">
        <f t="shared" ca="1" si="161"/>
        <v>#N/A</v>
      </c>
      <c r="BB424" s="408"/>
      <c r="BC424" s="408" t="str">
        <f t="shared" ca="1" si="154"/>
        <v/>
      </c>
      <c r="BD424" s="408" t="s">
        <v>1278</v>
      </c>
      <c r="BE424" s="408" t="s">
        <v>1278</v>
      </c>
    </row>
    <row r="425" spans="3:57" x14ac:dyDescent="0.25">
      <c r="C425" s="406">
        <f t="shared" si="156"/>
        <v>423</v>
      </c>
      <c r="D425" s="406" t="e">
        <f t="shared" ref="D425:M450" ca="1" si="165">TRIM(INDIRECT("'" &amp; "TNX RTF" &amp; "'!" &amp; ADDRESS($A$3+$C425,D$1)))</f>
        <v>#N/A</v>
      </c>
      <c r="E425" s="406" t="e">
        <f t="shared" ca="1" si="165"/>
        <v>#N/A</v>
      </c>
      <c r="F425" s="406" t="e">
        <f t="shared" ca="1" si="165"/>
        <v>#N/A</v>
      </c>
      <c r="G425" s="406" t="e">
        <f t="shared" ca="1" si="165"/>
        <v>#N/A</v>
      </c>
      <c r="H425" s="406" t="e">
        <f t="shared" ca="1" si="165"/>
        <v>#N/A</v>
      </c>
      <c r="I425" s="406" t="e">
        <f t="shared" ca="1" si="165"/>
        <v>#N/A</v>
      </c>
      <c r="J425" s="406" t="e">
        <f t="shared" ca="1" si="165"/>
        <v>#N/A</v>
      </c>
      <c r="K425" s="406" t="e">
        <f t="shared" ca="1" si="165"/>
        <v>#N/A</v>
      </c>
      <c r="L425" s="406" t="e">
        <f t="shared" ca="1" si="165"/>
        <v>#N/A</v>
      </c>
      <c r="M425" s="406" t="e">
        <f t="shared" ca="1" si="165"/>
        <v>#N/A</v>
      </c>
      <c r="N425" s="406" t="e">
        <f t="shared" ca="1" si="163"/>
        <v>#N/A</v>
      </c>
      <c r="O425" s="406" t="e">
        <f t="shared" ca="1" si="163"/>
        <v>#N/A</v>
      </c>
      <c r="P425" s="406" t="e">
        <f t="shared" ca="1" si="163"/>
        <v>#N/A</v>
      </c>
      <c r="Q425" s="406" t="e">
        <f t="shared" ca="1" si="163"/>
        <v>#N/A</v>
      </c>
      <c r="R425" s="406" t="e">
        <f t="shared" ca="1" si="163"/>
        <v>#N/A</v>
      </c>
      <c r="S425" s="406" t="e">
        <f t="shared" ca="1" si="163"/>
        <v>#N/A</v>
      </c>
      <c r="T425" s="406" t="e">
        <f t="shared" ca="1" si="163"/>
        <v>#N/A</v>
      </c>
      <c r="U425" s="406" t="e">
        <f t="shared" ca="1" si="163"/>
        <v>#N/A</v>
      </c>
      <c r="V425" s="406" t="e">
        <f t="shared" ca="1" si="163"/>
        <v>#N/A</v>
      </c>
      <c r="W425" s="406" t="e">
        <f t="shared" ca="1" si="163"/>
        <v>#N/A</v>
      </c>
      <c r="X425" s="406" t="e">
        <f t="shared" ca="1" si="162"/>
        <v>#N/A</v>
      </c>
      <c r="Y425" s="406" t="e">
        <f t="shared" ca="1" si="162"/>
        <v>#N/A</v>
      </c>
      <c r="Z425" s="406" t="e">
        <f t="shared" ca="1" si="162"/>
        <v>#N/A</v>
      </c>
      <c r="AA425" s="406" t="e">
        <f t="shared" ca="1" si="162"/>
        <v>#N/A</v>
      </c>
      <c r="AB425" s="406" t="e">
        <f t="shared" ca="1" si="162"/>
        <v>#N/A</v>
      </c>
      <c r="AC425" s="406" t="e">
        <f t="shared" ca="1" si="162"/>
        <v>#N/A</v>
      </c>
      <c r="AD425" s="406" t="e">
        <f t="shared" ca="1" si="162"/>
        <v>#N/A</v>
      </c>
      <c r="AE425" s="406" t="e">
        <f t="shared" ca="1" si="162"/>
        <v>#N/A</v>
      </c>
      <c r="AF425" s="406" t="e">
        <f t="shared" ca="1" si="162"/>
        <v>#N/A</v>
      </c>
      <c r="AG425" s="406" t="e">
        <f t="shared" ca="1" si="162"/>
        <v>#N/A</v>
      </c>
      <c r="AH425" s="406" t="e">
        <f t="shared" ca="1" si="164"/>
        <v>#N/A</v>
      </c>
      <c r="AI425" s="406" t="e">
        <f t="shared" ca="1" si="164"/>
        <v>#N/A</v>
      </c>
      <c r="AJ425" s="406" t="e">
        <f t="shared" ca="1" si="164"/>
        <v>#N/A</v>
      </c>
      <c r="AK425" s="406" t="e">
        <f t="shared" ca="1" si="164"/>
        <v>#N/A</v>
      </c>
      <c r="AL425" s="406" t="e">
        <f t="shared" ca="1" si="164"/>
        <v>#N/A</v>
      </c>
      <c r="AM425" s="406" t="e">
        <f t="shared" ca="1" si="164"/>
        <v>#N/A</v>
      </c>
      <c r="AN425" s="406" t="e">
        <f t="shared" ca="1" si="164"/>
        <v>#N/A</v>
      </c>
      <c r="AO425" s="406" t="e">
        <f t="shared" ca="1" si="164"/>
        <v>#N/A</v>
      </c>
      <c r="AP425" s="406" t="e">
        <f t="shared" ca="1" si="164"/>
        <v>#N/A</v>
      </c>
      <c r="AQ425" s="406" t="e">
        <f t="shared" ca="1" si="164"/>
        <v>#N/A</v>
      </c>
      <c r="AR425" s="406" t="e">
        <f t="shared" ca="1" si="161"/>
        <v>#N/A</v>
      </c>
      <c r="AS425" s="406" t="e">
        <f t="shared" ca="1" si="161"/>
        <v>#N/A</v>
      </c>
      <c r="AT425" s="406" t="e">
        <f t="shared" ca="1" si="161"/>
        <v>#N/A</v>
      </c>
      <c r="AU425" s="406" t="e">
        <f t="shared" ca="1" si="161"/>
        <v>#N/A</v>
      </c>
      <c r="AV425" s="406" t="e">
        <f t="shared" ca="1" si="161"/>
        <v>#N/A</v>
      </c>
      <c r="AW425" s="406" t="e">
        <f t="shared" ca="1" si="161"/>
        <v>#N/A</v>
      </c>
      <c r="AX425" s="406" t="e">
        <f t="shared" ca="1" si="161"/>
        <v>#N/A</v>
      </c>
      <c r="AY425" s="406" t="e">
        <f t="shared" ca="1" si="161"/>
        <v>#N/A</v>
      </c>
      <c r="AZ425" s="406" t="e">
        <f t="shared" ca="1" si="161"/>
        <v>#N/A</v>
      </c>
      <c r="BA425" s="406" t="e">
        <f t="shared" ca="1" si="161"/>
        <v>#N/A</v>
      </c>
      <c r="BB425" s="408"/>
      <c r="BC425" s="408" t="str">
        <f t="shared" ca="1" si="154"/>
        <v/>
      </c>
      <c r="BD425" s="408" t="s">
        <v>1278</v>
      </c>
      <c r="BE425" s="408" t="s">
        <v>1278</v>
      </c>
    </row>
    <row r="426" spans="3:57" x14ac:dyDescent="0.25">
      <c r="C426" s="406">
        <f t="shared" si="156"/>
        <v>424</v>
      </c>
      <c r="D426" s="406" t="e">
        <f t="shared" ca="1" si="165"/>
        <v>#N/A</v>
      </c>
      <c r="E426" s="406" t="e">
        <f t="shared" ca="1" si="165"/>
        <v>#N/A</v>
      </c>
      <c r="F426" s="406" t="e">
        <f t="shared" ca="1" si="165"/>
        <v>#N/A</v>
      </c>
      <c r="G426" s="406" t="e">
        <f t="shared" ca="1" si="165"/>
        <v>#N/A</v>
      </c>
      <c r="H426" s="406" t="e">
        <f t="shared" ca="1" si="165"/>
        <v>#N/A</v>
      </c>
      <c r="I426" s="406" t="e">
        <f t="shared" ca="1" si="165"/>
        <v>#N/A</v>
      </c>
      <c r="J426" s="406" t="e">
        <f t="shared" ca="1" si="165"/>
        <v>#N/A</v>
      </c>
      <c r="K426" s="406" t="e">
        <f t="shared" ca="1" si="165"/>
        <v>#N/A</v>
      </c>
      <c r="L426" s="406" t="e">
        <f t="shared" ca="1" si="165"/>
        <v>#N/A</v>
      </c>
      <c r="M426" s="406" t="e">
        <f t="shared" ca="1" si="165"/>
        <v>#N/A</v>
      </c>
      <c r="N426" s="406" t="e">
        <f t="shared" ca="1" si="163"/>
        <v>#N/A</v>
      </c>
      <c r="O426" s="406" t="e">
        <f t="shared" ca="1" si="163"/>
        <v>#N/A</v>
      </c>
      <c r="P426" s="406" t="e">
        <f t="shared" ca="1" si="163"/>
        <v>#N/A</v>
      </c>
      <c r="Q426" s="406" t="e">
        <f t="shared" ca="1" si="163"/>
        <v>#N/A</v>
      </c>
      <c r="R426" s="406" t="e">
        <f t="shared" ca="1" si="163"/>
        <v>#N/A</v>
      </c>
      <c r="S426" s="406" t="e">
        <f t="shared" ca="1" si="163"/>
        <v>#N/A</v>
      </c>
      <c r="T426" s="406" t="e">
        <f t="shared" ca="1" si="163"/>
        <v>#N/A</v>
      </c>
      <c r="U426" s="406" t="e">
        <f t="shared" ca="1" si="163"/>
        <v>#N/A</v>
      </c>
      <c r="V426" s="406" t="e">
        <f t="shared" ca="1" si="163"/>
        <v>#N/A</v>
      </c>
      <c r="W426" s="406" t="e">
        <f t="shared" ca="1" si="163"/>
        <v>#N/A</v>
      </c>
      <c r="X426" s="406" t="e">
        <f t="shared" ca="1" si="162"/>
        <v>#N/A</v>
      </c>
      <c r="Y426" s="406" t="e">
        <f t="shared" ca="1" si="162"/>
        <v>#N/A</v>
      </c>
      <c r="Z426" s="406" t="e">
        <f t="shared" ca="1" si="162"/>
        <v>#N/A</v>
      </c>
      <c r="AA426" s="406" t="e">
        <f t="shared" ca="1" si="162"/>
        <v>#N/A</v>
      </c>
      <c r="AB426" s="406" t="e">
        <f t="shared" ca="1" si="162"/>
        <v>#N/A</v>
      </c>
      <c r="AC426" s="406" t="e">
        <f t="shared" ca="1" si="162"/>
        <v>#N/A</v>
      </c>
      <c r="AD426" s="406" t="e">
        <f t="shared" ca="1" si="162"/>
        <v>#N/A</v>
      </c>
      <c r="AE426" s="406" t="e">
        <f t="shared" ca="1" si="162"/>
        <v>#N/A</v>
      </c>
      <c r="AF426" s="406" t="e">
        <f t="shared" ca="1" si="162"/>
        <v>#N/A</v>
      </c>
      <c r="AG426" s="406" t="e">
        <f t="shared" ca="1" si="162"/>
        <v>#N/A</v>
      </c>
      <c r="AH426" s="406" t="e">
        <f t="shared" ca="1" si="164"/>
        <v>#N/A</v>
      </c>
      <c r="AI426" s="406" t="e">
        <f t="shared" ca="1" si="164"/>
        <v>#N/A</v>
      </c>
      <c r="AJ426" s="406" t="e">
        <f t="shared" ca="1" si="164"/>
        <v>#N/A</v>
      </c>
      <c r="AK426" s="406" t="e">
        <f t="shared" ca="1" si="164"/>
        <v>#N/A</v>
      </c>
      <c r="AL426" s="406" t="e">
        <f t="shared" ca="1" si="164"/>
        <v>#N/A</v>
      </c>
      <c r="AM426" s="406" t="e">
        <f t="shared" ca="1" si="164"/>
        <v>#N/A</v>
      </c>
      <c r="AN426" s="406" t="e">
        <f t="shared" ca="1" si="164"/>
        <v>#N/A</v>
      </c>
      <c r="AO426" s="406" t="e">
        <f t="shared" ca="1" si="164"/>
        <v>#N/A</v>
      </c>
      <c r="AP426" s="406" t="e">
        <f t="shared" ca="1" si="164"/>
        <v>#N/A</v>
      </c>
      <c r="AQ426" s="406" t="e">
        <f t="shared" ca="1" si="164"/>
        <v>#N/A</v>
      </c>
      <c r="AR426" s="406" t="e">
        <f t="shared" ca="1" si="161"/>
        <v>#N/A</v>
      </c>
      <c r="AS426" s="406" t="e">
        <f t="shared" ca="1" si="161"/>
        <v>#N/A</v>
      </c>
      <c r="AT426" s="406" t="e">
        <f t="shared" ca="1" si="161"/>
        <v>#N/A</v>
      </c>
      <c r="AU426" s="406" t="e">
        <f t="shared" ca="1" si="161"/>
        <v>#N/A</v>
      </c>
      <c r="AV426" s="406" t="e">
        <f t="shared" ca="1" si="161"/>
        <v>#N/A</v>
      </c>
      <c r="AW426" s="406" t="e">
        <f t="shared" ca="1" si="161"/>
        <v>#N/A</v>
      </c>
      <c r="AX426" s="406" t="e">
        <f t="shared" ca="1" si="161"/>
        <v>#N/A</v>
      </c>
      <c r="AY426" s="406" t="e">
        <f t="shared" ca="1" si="161"/>
        <v>#N/A</v>
      </c>
      <c r="AZ426" s="406" t="e">
        <f t="shared" ca="1" si="161"/>
        <v>#N/A</v>
      </c>
      <c r="BA426" s="406" t="e">
        <f t="shared" ca="1" si="161"/>
        <v>#N/A</v>
      </c>
      <c r="BB426" s="408"/>
      <c r="BC426" s="408" t="str">
        <f t="shared" ca="1" si="154"/>
        <v/>
      </c>
      <c r="BD426" s="408" t="s">
        <v>1278</v>
      </c>
      <c r="BE426" s="408" t="s">
        <v>1278</v>
      </c>
    </row>
    <row r="427" spans="3:57" ht="15" customHeight="1" x14ac:dyDescent="0.25">
      <c r="C427" s="406">
        <f t="shared" si="156"/>
        <v>425</v>
      </c>
      <c r="D427" s="406" t="e">
        <f t="shared" ca="1" si="165"/>
        <v>#N/A</v>
      </c>
      <c r="E427" s="406" t="e">
        <f t="shared" ca="1" si="165"/>
        <v>#N/A</v>
      </c>
      <c r="F427" s="406" t="e">
        <f t="shared" ca="1" si="165"/>
        <v>#N/A</v>
      </c>
      <c r="G427" s="406" t="e">
        <f t="shared" ca="1" si="165"/>
        <v>#N/A</v>
      </c>
      <c r="H427" s="406" t="e">
        <f t="shared" ca="1" si="165"/>
        <v>#N/A</v>
      </c>
      <c r="I427" s="406" t="e">
        <f t="shared" ca="1" si="165"/>
        <v>#N/A</v>
      </c>
      <c r="J427" s="406" t="e">
        <f t="shared" ca="1" si="165"/>
        <v>#N/A</v>
      </c>
      <c r="K427" s="406" t="e">
        <f t="shared" ca="1" si="165"/>
        <v>#N/A</v>
      </c>
      <c r="L427" s="406" t="e">
        <f t="shared" ca="1" si="165"/>
        <v>#N/A</v>
      </c>
      <c r="M427" s="406" t="e">
        <f t="shared" ca="1" si="165"/>
        <v>#N/A</v>
      </c>
      <c r="N427" s="406" t="e">
        <f t="shared" ca="1" si="163"/>
        <v>#N/A</v>
      </c>
      <c r="O427" s="406" t="e">
        <f t="shared" ca="1" si="163"/>
        <v>#N/A</v>
      </c>
      <c r="P427" s="406" t="e">
        <f t="shared" ca="1" si="163"/>
        <v>#N/A</v>
      </c>
      <c r="Q427" s="406" t="e">
        <f t="shared" ca="1" si="163"/>
        <v>#N/A</v>
      </c>
      <c r="R427" s="406" t="e">
        <f t="shared" ca="1" si="163"/>
        <v>#N/A</v>
      </c>
      <c r="S427" s="406" t="e">
        <f t="shared" ca="1" si="163"/>
        <v>#N/A</v>
      </c>
      <c r="T427" s="406" t="e">
        <f t="shared" ca="1" si="163"/>
        <v>#N/A</v>
      </c>
      <c r="U427" s="406" t="e">
        <f t="shared" ca="1" si="163"/>
        <v>#N/A</v>
      </c>
      <c r="V427" s="406" t="e">
        <f t="shared" ca="1" si="163"/>
        <v>#N/A</v>
      </c>
      <c r="W427" s="406" t="e">
        <f t="shared" ca="1" si="163"/>
        <v>#N/A</v>
      </c>
      <c r="X427" s="406" t="e">
        <f t="shared" ca="1" si="162"/>
        <v>#N/A</v>
      </c>
      <c r="Y427" s="406" t="e">
        <f t="shared" ca="1" si="162"/>
        <v>#N/A</v>
      </c>
      <c r="Z427" s="406" t="e">
        <f t="shared" ca="1" si="162"/>
        <v>#N/A</v>
      </c>
      <c r="AA427" s="406" t="e">
        <f t="shared" ca="1" si="162"/>
        <v>#N/A</v>
      </c>
      <c r="AB427" s="406" t="e">
        <f t="shared" ca="1" si="162"/>
        <v>#N/A</v>
      </c>
      <c r="AC427" s="406" t="e">
        <f t="shared" ca="1" si="162"/>
        <v>#N/A</v>
      </c>
      <c r="AD427" s="406" t="e">
        <f t="shared" ca="1" si="162"/>
        <v>#N/A</v>
      </c>
      <c r="AE427" s="406" t="e">
        <f t="shared" ca="1" si="162"/>
        <v>#N/A</v>
      </c>
      <c r="AF427" s="406" t="e">
        <f t="shared" ca="1" si="162"/>
        <v>#N/A</v>
      </c>
      <c r="AG427" s="406" t="e">
        <f t="shared" ca="1" si="162"/>
        <v>#N/A</v>
      </c>
      <c r="AH427" s="406" t="e">
        <f t="shared" ca="1" si="164"/>
        <v>#N/A</v>
      </c>
      <c r="AI427" s="406" t="e">
        <f t="shared" ca="1" si="164"/>
        <v>#N/A</v>
      </c>
      <c r="AJ427" s="406" t="e">
        <f t="shared" ca="1" si="164"/>
        <v>#N/A</v>
      </c>
      <c r="AK427" s="406" t="e">
        <f t="shared" ca="1" si="164"/>
        <v>#N/A</v>
      </c>
      <c r="AL427" s="406" t="e">
        <f t="shared" ca="1" si="164"/>
        <v>#N/A</v>
      </c>
      <c r="AM427" s="406" t="e">
        <f t="shared" ca="1" si="164"/>
        <v>#N/A</v>
      </c>
      <c r="AN427" s="406" t="e">
        <f t="shared" ca="1" si="164"/>
        <v>#N/A</v>
      </c>
      <c r="AO427" s="406" t="e">
        <f t="shared" ca="1" si="164"/>
        <v>#N/A</v>
      </c>
      <c r="AP427" s="406" t="e">
        <f t="shared" ca="1" si="164"/>
        <v>#N/A</v>
      </c>
      <c r="AQ427" s="406" t="e">
        <f t="shared" ca="1" si="164"/>
        <v>#N/A</v>
      </c>
      <c r="AR427" s="406" t="e">
        <f t="shared" ca="1" si="161"/>
        <v>#N/A</v>
      </c>
      <c r="AS427" s="406" t="e">
        <f t="shared" ca="1" si="161"/>
        <v>#N/A</v>
      </c>
      <c r="AT427" s="406" t="e">
        <f t="shared" ca="1" si="161"/>
        <v>#N/A</v>
      </c>
      <c r="AU427" s="406" t="e">
        <f t="shared" ca="1" si="161"/>
        <v>#N/A</v>
      </c>
      <c r="AV427" s="406" t="e">
        <f t="shared" ca="1" si="161"/>
        <v>#N/A</v>
      </c>
      <c r="AW427" s="406" t="e">
        <f t="shared" ca="1" si="161"/>
        <v>#N/A</v>
      </c>
      <c r="AX427" s="406" t="e">
        <f t="shared" ca="1" si="161"/>
        <v>#N/A</v>
      </c>
      <c r="AY427" s="406" t="e">
        <f t="shared" ca="1" si="161"/>
        <v>#N/A</v>
      </c>
      <c r="AZ427" s="406" t="e">
        <f t="shared" ca="1" si="161"/>
        <v>#N/A</v>
      </c>
      <c r="BA427" s="406" t="e">
        <f t="shared" ca="1" si="161"/>
        <v>#N/A</v>
      </c>
      <c r="BB427" s="408"/>
      <c r="BC427" s="408" t="str">
        <f t="shared" ca="1" si="154"/>
        <v/>
      </c>
      <c r="BD427" s="408" t="s">
        <v>1278</v>
      </c>
      <c r="BE427" s="408" t="s">
        <v>1278</v>
      </c>
    </row>
    <row r="428" spans="3:57" x14ac:dyDescent="0.25">
      <c r="C428" s="406">
        <f t="shared" si="156"/>
        <v>426</v>
      </c>
      <c r="D428" s="406" t="e">
        <f t="shared" ca="1" si="165"/>
        <v>#N/A</v>
      </c>
      <c r="E428" s="406" t="e">
        <f t="shared" ca="1" si="165"/>
        <v>#N/A</v>
      </c>
      <c r="F428" s="406" t="e">
        <f t="shared" ca="1" si="165"/>
        <v>#N/A</v>
      </c>
      <c r="G428" s="406" t="e">
        <f t="shared" ca="1" si="165"/>
        <v>#N/A</v>
      </c>
      <c r="H428" s="406" t="e">
        <f t="shared" ca="1" si="165"/>
        <v>#N/A</v>
      </c>
      <c r="I428" s="406" t="e">
        <f t="shared" ca="1" si="165"/>
        <v>#N/A</v>
      </c>
      <c r="J428" s="406" t="e">
        <f t="shared" ca="1" si="165"/>
        <v>#N/A</v>
      </c>
      <c r="K428" s="406" t="e">
        <f t="shared" ca="1" si="165"/>
        <v>#N/A</v>
      </c>
      <c r="L428" s="406" t="e">
        <f t="shared" ca="1" si="165"/>
        <v>#N/A</v>
      </c>
      <c r="M428" s="406" t="e">
        <f t="shared" ca="1" si="165"/>
        <v>#N/A</v>
      </c>
      <c r="N428" s="406" t="e">
        <f t="shared" ca="1" si="163"/>
        <v>#N/A</v>
      </c>
      <c r="O428" s="406" t="e">
        <f t="shared" ca="1" si="163"/>
        <v>#N/A</v>
      </c>
      <c r="P428" s="406" t="e">
        <f t="shared" ca="1" si="163"/>
        <v>#N/A</v>
      </c>
      <c r="Q428" s="406" t="e">
        <f t="shared" ca="1" si="163"/>
        <v>#N/A</v>
      </c>
      <c r="R428" s="406" t="e">
        <f t="shared" ca="1" si="163"/>
        <v>#N/A</v>
      </c>
      <c r="S428" s="406" t="e">
        <f t="shared" ca="1" si="163"/>
        <v>#N/A</v>
      </c>
      <c r="T428" s="406" t="e">
        <f t="shared" ca="1" si="163"/>
        <v>#N/A</v>
      </c>
      <c r="U428" s="406" t="e">
        <f t="shared" ca="1" si="163"/>
        <v>#N/A</v>
      </c>
      <c r="V428" s="406" t="e">
        <f t="shared" ca="1" si="163"/>
        <v>#N/A</v>
      </c>
      <c r="W428" s="406" t="e">
        <f t="shared" ca="1" si="163"/>
        <v>#N/A</v>
      </c>
      <c r="X428" s="406" t="e">
        <f t="shared" ca="1" si="162"/>
        <v>#N/A</v>
      </c>
      <c r="Y428" s="406" t="e">
        <f t="shared" ca="1" si="162"/>
        <v>#N/A</v>
      </c>
      <c r="Z428" s="406" t="e">
        <f t="shared" ca="1" si="162"/>
        <v>#N/A</v>
      </c>
      <c r="AA428" s="406" t="e">
        <f t="shared" ca="1" si="162"/>
        <v>#N/A</v>
      </c>
      <c r="AB428" s="406" t="e">
        <f t="shared" ca="1" si="162"/>
        <v>#N/A</v>
      </c>
      <c r="AC428" s="406" t="e">
        <f t="shared" ca="1" si="162"/>
        <v>#N/A</v>
      </c>
      <c r="AD428" s="406" t="e">
        <f t="shared" ca="1" si="162"/>
        <v>#N/A</v>
      </c>
      <c r="AE428" s="406" t="e">
        <f t="shared" ca="1" si="162"/>
        <v>#N/A</v>
      </c>
      <c r="AF428" s="406" t="e">
        <f t="shared" ca="1" si="162"/>
        <v>#N/A</v>
      </c>
      <c r="AG428" s="406" t="e">
        <f t="shared" ca="1" si="162"/>
        <v>#N/A</v>
      </c>
      <c r="AH428" s="406" t="e">
        <f t="shared" ca="1" si="164"/>
        <v>#N/A</v>
      </c>
      <c r="AI428" s="406" t="e">
        <f t="shared" ca="1" si="164"/>
        <v>#N/A</v>
      </c>
      <c r="AJ428" s="406" t="e">
        <f t="shared" ca="1" si="164"/>
        <v>#N/A</v>
      </c>
      <c r="AK428" s="406" t="e">
        <f t="shared" ca="1" si="164"/>
        <v>#N/A</v>
      </c>
      <c r="AL428" s="406" t="e">
        <f t="shared" ca="1" si="164"/>
        <v>#N/A</v>
      </c>
      <c r="AM428" s="406" t="e">
        <f t="shared" ca="1" si="164"/>
        <v>#N/A</v>
      </c>
      <c r="AN428" s="406" t="e">
        <f t="shared" ca="1" si="164"/>
        <v>#N/A</v>
      </c>
      <c r="AO428" s="406" t="e">
        <f t="shared" ca="1" si="164"/>
        <v>#N/A</v>
      </c>
      <c r="AP428" s="406" t="e">
        <f t="shared" ca="1" si="164"/>
        <v>#N/A</v>
      </c>
      <c r="AQ428" s="406" t="e">
        <f t="shared" ca="1" si="164"/>
        <v>#N/A</v>
      </c>
      <c r="AR428" s="406" t="e">
        <f t="shared" ca="1" si="161"/>
        <v>#N/A</v>
      </c>
      <c r="AS428" s="406" t="e">
        <f t="shared" ca="1" si="161"/>
        <v>#N/A</v>
      </c>
      <c r="AT428" s="406" t="e">
        <f t="shared" ca="1" si="161"/>
        <v>#N/A</v>
      </c>
      <c r="AU428" s="406" t="e">
        <f t="shared" ca="1" si="161"/>
        <v>#N/A</v>
      </c>
      <c r="AV428" s="406" t="e">
        <f t="shared" ca="1" si="161"/>
        <v>#N/A</v>
      </c>
      <c r="AW428" s="406" t="e">
        <f t="shared" ca="1" si="161"/>
        <v>#N/A</v>
      </c>
      <c r="AX428" s="406" t="e">
        <f t="shared" ca="1" si="161"/>
        <v>#N/A</v>
      </c>
      <c r="AY428" s="406" t="e">
        <f t="shared" ca="1" si="161"/>
        <v>#N/A</v>
      </c>
      <c r="AZ428" s="406" t="e">
        <f t="shared" ca="1" si="161"/>
        <v>#N/A</v>
      </c>
      <c r="BA428" s="406" t="e">
        <f t="shared" ca="1" si="161"/>
        <v>#N/A</v>
      </c>
      <c r="BB428" s="408"/>
      <c r="BC428" s="408" t="str">
        <f t="shared" ca="1" si="154"/>
        <v/>
      </c>
      <c r="BD428" s="408" t="s">
        <v>1278</v>
      </c>
      <c r="BE428" s="408" t="s">
        <v>1278</v>
      </c>
    </row>
    <row r="429" spans="3:57" x14ac:dyDescent="0.25">
      <c r="C429" s="406">
        <f t="shared" si="156"/>
        <v>427</v>
      </c>
      <c r="D429" s="406" t="e">
        <f t="shared" ca="1" si="165"/>
        <v>#N/A</v>
      </c>
      <c r="E429" s="406" t="e">
        <f t="shared" ca="1" si="165"/>
        <v>#N/A</v>
      </c>
      <c r="F429" s="406" t="e">
        <f t="shared" ca="1" si="165"/>
        <v>#N/A</v>
      </c>
      <c r="G429" s="406" t="e">
        <f t="shared" ca="1" si="165"/>
        <v>#N/A</v>
      </c>
      <c r="H429" s="406" t="e">
        <f t="shared" ca="1" si="165"/>
        <v>#N/A</v>
      </c>
      <c r="I429" s="406" t="e">
        <f t="shared" ca="1" si="165"/>
        <v>#N/A</v>
      </c>
      <c r="J429" s="406" t="e">
        <f t="shared" ca="1" si="165"/>
        <v>#N/A</v>
      </c>
      <c r="K429" s="406" t="e">
        <f t="shared" ca="1" si="165"/>
        <v>#N/A</v>
      </c>
      <c r="L429" s="406" t="e">
        <f t="shared" ca="1" si="165"/>
        <v>#N/A</v>
      </c>
      <c r="M429" s="406" t="e">
        <f t="shared" ca="1" si="165"/>
        <v>#N/A</v>
      </c>
      <c r="N429" s="406" t="e">
        <f t="shared" ca="1" si="163"/>
        <v>#N/A</v>
      </c>
      <c r="O429" s="406" t="e">
        <f t="shared" ca="1" si="163"/>
        <v>#N/A</v>
      </c>
      <c r="P429" s="406" t="e">
        <f t="shared" ca="1" si="163"/>
        <v>#N/A</v>
      </c>
      <c r="Q429" s="406" t="e">
        <f t="shared" ca="1" si="163"/>
        <v>#N/A</v>
      </c>
      <c r="R429" s="406" t="e">
        <f t="shared" ca="1" si="163"/>
        <v>#N/A</v>
      </c>
      <c r="S429" s="406" t="e">
        <f t="shared" ca="1" si="163"/>
        <v>#N/A</v>
      </c>
      <c r="T429" s="406" t="e">
        <f t="shared" ca="1" si="163"/>
        <v>#N/A</v>
      </c>
      <c r="U429" s="406" t="e">
        <f t="shared" ca="1" si="163"/>
        <v>#N/A</v>
      </c>
      <c r="V429" s="406" t="e">
        <f t="shared" ca="1" si="163"/>
        <v>#N/A</v>
      </c>
      <c r="W429" s="406" t="e">
        <f t="shared" ca="1" si="163"/>
        <v>#N/A</v>
      </c>
      <c r="X429" s="406" t="e">
        <f t="shared" ca="1" si="162"/>
        <v>#N/A</v>
      </c>
      <c r="Y429" s="406" t="e">
        <f t="shared" ca="1" si="162"/>
        <v>#N/A</v>
      </c>
      <c r="Z429" s="406" t="e">
        <f t="shared" ca="1" si="162"/>
        <v>#N/A</v>
      </c>
      <c r="AA429" s="406" t="e">
        <f t="shared" ca="1" si="162"/>
        <v>#N/A</v>
      </c>
      <c r="AB429" s="406" t="e">
        <f t="shared" ca="1" si="162"/>
        <v>#N/A</v>
      </c>
      <c r="AC429" s="406" t="e">
        <f t="shared" ca="1" si="162"/>
        <v>#N/A</v>
      </c>
      <c r="AD429" s="406" t="e">
        <f t="shared" ca="1" si="162"/>
        <v>#N/A</v>
      </c>
      <c r="AE429" s="406" t="e">
        <f t="shared" ca="1" si="162"/>
        <v>#N/A</v>
      </c>
      <c r="AF429" s="406" t="e">
        <f t="shared" ca="1" si="162"/>
        <v>#N/A</v>
      </c>
      <c r="AG429" s="406" t="e">
        <f t="shared" ca="1" si="162"/>
        <v>#N/A</v>
      </c>
      <c r="AH429" s="406" t="e">
        <f t="shared" ca="1" si="164"/>
        <v>#N/A</v>
      </c>
      <c r="AI429" s="406" t="e">
        <f t="shared" ca="1" si="164"/>
        <v>#N/A</v>
      </c>
      <c r="AJ429" s="406" t="e">
        <f t="shared" ca="1" si="164"/>
        <v>#N/A</v>
      </c>
      <c r="AK429" s="406" t="e">
        <f t="shared" ca="1" si="164"/>
        <v>#N/A</v>
      </c>
      <c r="AL429" s="406" t="e">
        <f t="shared" ca="1" si="164"/>
        <v>#N/A</v>
      </c>
      <c r="AM429" s="406" t="e">
        <f t="shared" ca="1" si="164"/>
        <v>#N/A</v>
      </c>
      <c r="AN429" s="406" t="e">
        <f t="shared" ca="1" si="164"/>
        <v>#N/A</v>
      </c>
      <c r="AO429" s="406" t="e">
        <f t="shared" ca="1" si="164"/>
        <v>#N/A</v>
      </c>
      <c r="AP429" s="406" t="e">
        <f t="shared" ca="1" si="164"/>
        <v>#N/A</v>
      </c>
      <c r="AQ429" s="406" t="e">
        <f t="shared" ca="1" si="164"/>
        <v>#N/A</v>
      </c>
      <c r="AR429" s="406" t="e">
        <f t="shared" ca="1" si="161"/>
        <v>#N/A</v>
      </c>
      <c r="AS429" s="406" t="e">
        <f t="shared" ca="1" si="161"/>
        <v>#N/A</v>
      </c>
      <c r="AT429" s="406" t="e">
        <f t="shared" ca="1" si="161"/>
        <v>#N/A</v>
      </c>
      <c r="AU429" s="406" t="e">
        <f t="shared" ca="1" si="161"/>
        <v>#N/A</v>
      </c>
      <c r="AV429" s="406" t="e">
        <f t="shared" ca="1" si="161"/>
        <v>#N/A</v>
      </c>
      <c r="AW429" s="406" t="e">
        <f t="shared" ca="1" si="161"/>
        <v>#N/A</v>
      </c>
      <c r="AX429" s="406" t="e">
        <f t="shared" ca="1" si="161"/>
        <v>#N/A</v>
      </c>
      <c r="AY429" s="406" t="e">
        <f t="shared" ca="1" si="161"/>
        <v>#N/A</v>
      </c>
      <c r="AZ429" s="406" t="e">
        <f t="shared" ca="1" si="161"/>
        <v>#N/A</v>
      </c>
      <c r="BA429" s="406" t="e">
        <f t="shared" ca="1" si="161"/>
        <v>#N/A</v>
      </c>
      <c r="BB429" s="408"/>
      <c r="BC429" s="408" t="str">
        <f t="shared" ca="1" si="154"/>
        <v/>
      </c>
      <c r="BD429" s="408" t="s">
        <v>1278</v>
      </c>
      <c r="BE429" s="408" t="s">
        <v>1278</v>
      </c>
    </row>
    <row r="430" spans="3:57" ht="15" customHeight="1" x14ac:dyDescent="0.25">
      <c r="C430" s="406">
        <f t="shared" si="156"/>
        <v>428</v>
      </c>
      <c r="D430" s="406" t="e">
        <f t="shared" ca="1" si="165"/>
        <v>#N/A</v>
      </c>
      <c r="E430" s="406" t="e">
        <f t="shared" ca="1" si="165"/>
        <v>#N/A</v>
      </c>
      <c r="F430" s="406" t="e">
        <f t="shared" ca="1" si="165"/>
        <v>#N/A</v>
      </c>
      <c r="G430" s="406" t="e">
        <f t="shared" ca="1" si="165"/>
        <v>#N/A</v>
      </c>
      <c r="H430" s="406" t="e">
        <f t="shared" ca="1" si="165"/>
        <v>#N/A</v>
      </c>
      <c r="I430" s="406" t="e">
        <f t="shared" ca="1" si="165"/>
        <v>#N/A</v>
      </c>
      <c r="J430" s="406" t="e">
        <f t="shared" ca="1" si="165"/>
        <v>#N/A</v>
      </c>
      <c r="K430" s="406" t="e">
        <f t="shared" ca="1" si="165"/>
        <v>#N/A</v>
      </c>
      <c r="L430" s="406" t="e">
        <f t="shared" ca="1" si="165"/>
        <v>#N/A</v>
      </c>
      <c r="M430" s="406" t="e">
        <f t="shared" ca="1" si="165"/>
        <v>#N/A</v>
      </c>
      <c r="N430" s="406" t="e">
        <f t="shared" ca="1" si="163"/>
        <v>#N/A</v>
      </c>
      <c r="O430" s="406" t="e">
        <f t="shared" ca="1" si="163"/>
        <v>#N/A</v>
      </c>
      <c r="P430" s="406" t="e">
        <f t="shared" ca="1" si="163"/>
        <v>#N/A</v>
      </c>
      <c r="Q430" s="406" t="e">
        <f t="shared" ca="1" si="163"/>
        <v>#N/A</v>
      </c>
      <c r="R430" s="406" t="e">
        <f t="shared" ca="1" si="163"/>
        <v>#N/A</v>
      </c>
      <c r="S430" s="406" t="e">
        <f t="shared" ca="1" si="163"/>
        <v>#N/A</v>
      </c>
      <c r="T430" s="406" t="e">
        <f t="shared" ca="1" si="163"/>
        <v>#N/A</v>
      </c>
      <c r="U430" s="406" t="e">
        <f t="shared" ca="1" si="163"/>
        <v>#N/A</v>
      </c>
      <c r="V430" s="406" t="e">
        <f t="shared" ca="1" si="163"/>
        <v>#N/A</v>
      </c>
      <c r="W430" s="406" t="e">
        <f t="shared" ca="1" si="163"/>
        <v>#N/A</v>
      </c>
      <c r="X430" s="406" t="e">
        <f t="shared" ca="1" si="162"/>
        <v>#N/A</v>
      </c>
      <c r="Y430" s="406" t="e">
        <f t="shared" ca="1" si="162"/>
        <v>#N/A</v>
      </c>
      <c r="Z430" s="406" t="e">
        <f t="shared" ca="1" si="162"/>
        <v>#N/A</v>
      </c>
      <c r="AA430" s="406" t="e">
        <f t="shared" ca="1" si="162"/>
        <v>#N/A</v>
      </c>
      <c r="AB430" s="406" t="e">
        <f t="shared" ca="1" si="162"/>
        <v>#N/A</v>
      </c>
      <c r="AC430" s="406" t="e">
        <f t="shared" ca="1" si="162"/>
        <v>#N/A</v>
      </c>
      <c r="AD430" s="406" t="e">
        <f t="shared" ca="1" si="162"/>
        <v>#N/A</v>
      </c>
      <c r="AE430" s="406" t="e">
        <f t="shared" ca="1" si="162"/>
        <v>#N/A</v>
      </c>
      <c r="AF430" s="406" t="e">
        <f t="shared" ca="1" si="162"/>
        <v>#N/A</v>
      </c>
      <c r="AG430" s="406" t="e">
        <f t="shared" ca="1" si="162"/>
        <v>#N/A</v>
      </c>
      <c r="AH430" s="406" t="e">
        <f t="shared" ca="1" si="164"/>
        <v>#N/A</v>
      </c>
      <c r="AI430" s="406" t="e">
        <f t="shared" ca="1" si="164"/>
        <v>#N/A</v>
      </c>
      <c r="AJ430" s="406" t="e">
        <f t="shared" ca="1" si="164"/>
        <v>#N/A</v>
      </c>
      <c r="AK430" s="406" t="e">
        <f t="shared" ca="1" si="164"/>
        <v>#N/A</v>
      </c>
      <c r="AL430" s="406" t="e">
        <f t="shared" ca="1" si="164"/>
        <v>#N/A</v>
      </c>
      <c r="AM430" s="406" t="e">
        <f t="shared" ca="1" si="164"/>
        <v>#N/A</v>
      </c>
      <c r="AN430" s="406" t="e">
        <f t="shared" ca="1" si="164"/>
        <v>#N/A</v>
      </c>
      <c r="AO430" s="406" t="e">
        <f t="shared" ca="1" si="164"/>
        <v>#N/A</v>
      </c>
      <c r="AP430" s="406" t="e">
        <f t="shared" ca="1" si="164"/>
        <v>#N/A</v>
      </c>
      <c r="AQ430" s="406" t="e">
        <f t="shared" ca="1" si="164"/>
        <v>#N/A</v>
      </c>
      <c r="AR430" s="406" t="e">
        <f t="shared" ca="1" si="161"/>
        <v>#N/A</v>
      </c>
      <c r="AS430" s="406" t="e">
        <f t="shared" ca="1" si="161"/>
        <v>#N/A</v>
      </c>
      <c r="AT430" s="406" t="e">
        <f t="shared" ca="1" si="161"/>
        <v>#N/A</v>
      </c>
      <c r="AU430" s="406" t="e">
        <f t="shared" ca="1" si="161"/>
        <v>#N/A</v>
      </c>
      <c r="AV430" s="406" t="e">
        <f t="shared" ca="1" si="161"/>
        <v>#N/A</v>
      </c>
      <c r="AW430" s="406" t="e">
        <f t="shared" ca="1" si="161"/>
        <v>#N/A</v>
      </c>
      <c r="AX430" s="406" t="e">
        <f t="shared" ca="1" si="161"/>
        <v>#N/A</v>
      </c>
      <c r="AY430" s="406" t="e">
        <f t="shared" ca="1" si="161"/>
        <v>#N/A</v>
      </c>
      <c r="AZ430" s="406" t="e">
        <f t="shared" ca="1" si="161"/>
        <v>#N/A</v>
      </c>
      <c r="BA430" s="406" t="e">
        <f t="shared" ca="1" si="161"/>
        <v>#N/A</v>
      </c>
      <c r="BB430" s="408"/>
      <c r="BC430" s="408" t="str">
        <f t="shared" ca="1" si="154"/>
        <v/>
      </c>
      <c r="BD430" s="408" t="s">
        <v>1278</v>
      </c>
      <c r="BE430" s="408" t="s">
        <v>1278</v>
      </c>
    </row>
    <row r="431" spans="3:57" x14ac:dyDescent="0.25">
      <c r="C431" s="406">
        <f t="shared" si="156"/>
        <v>429</v>
      </c>
      <c r="D431" s="406" t="e">
        <f t="shared" ca="1" si="165"/>
        <v>#N/A</v>
      </c>
      <c r="E431" s="406" t="e">
        <f t="shared" ca="1" si="165"/>
        <v>#N/A</v>
      </c>
      <c r="F431" s="406" t="e">
        <f t="shared" ca="1" si="165"/>
        <v>#N/A</v>
      </c>
      <c r="G431" s="406" t="e">
        <f t="shared" ca="1" si="165"/>
        <v>#N/A</v>
      </c>
      <c r="H431" s="406" t="e">
        <f t="shared" ca="1" si="165"/>
        <v>#N/A</v>
      </c>
      <c r="I431" s="406" t="e">
        <f t="shared" ca="1" si="165"/>
        <v>#N/A</v>
      </c>
      <c r="J431" s="406" t="e">
        <f t="shared" ca="1" si="165"/>
        <v>#N/A</v>
      </c>
      <c r="K431" s="406" t="e">
        <f t="shared" ca="1" si="165"/>
        <v>#N/A</v>
      </c>
      <c r="L431" s="406" t="e">
        <f t="shared" ca="1" si="165"/>
        <v>#N/A</v>
      </c>
      <c r="M431" s="406" t="e">
        <f t="shared" ca="1" si="165"/>
        <v>#N/A</v>
      </c>
      <c r="N431" s="406" t="e">
        <f t="shared" ca="1" si="163"/>
        <v>#N/A</v>
      </c>
      <c r="O431" s="406" t="e">
        <f t="shared" ca="1" si="163"/>
        <v>#N/A</v>
      </c>
      <c r="P431" s="406" t="e">
        <f t="shared" ca="1" si="163"/>
        <v>#N/A</v>
      </c>
      <c r="Q431" s="406" t="e">
        <f t="shared" ca="1" si="163"/>
        <v>#N/A</v>
      </c>
      <c r="R431" s="406" t="e">
        <f t="shared" ca="1" si="163"/>
        <v>#N/A</v>
      </c>
      <c r="S431" s="406" t="e">
        <f t="shared" ca="1" si="163"/>
        <v>#N/A</v>
      </c>
      <c r="T431" s="406" t="e">
        <f t="shared" ca="1" si="163"/>
        <v>#N/A</v>
      </c>
      <c r="U431" s="406" t="e">
        <f t="shared" ca="1" si="163"/>
        <v>#N/A</v>
      </c>
      <c r="V431" s="406" t="e">
        <f t="shared" ca="1" si="163"/>
        <v>#N/A</v>
      </c>
      <c r="W431" s="406" t="e">
        <f t="shared" ca="1" si="163"/>
        <v>#N/A</v>
      </c>
      <c r="X431" s="406" t="e">
        <f t="shared" ca="1" si="162"/>
        <v>#N/A</v>
      </c>
      <c r="Y431" s="406" t="e">
        <f t="shared" ca="1" si="162"/>
        <v>#N/A</v>
      </c>
      <c r="Z431" s="406" t="e">
        <f t="shared" ca="1" si="162"/>
        <v>#N/A</v>
      </c>
      <c r="AA431" s="406" t="e">
        <f t="shared" ca="1" si="162"/>
        <v>#N/A</v>
      </c>
      <c r="AB431" s="406" t="e">
        <f t="shared" ca="1" si="162"/>
        <v>#N/A</v>
      </c>
      <c r="AC431" s="406" t="e">
        <f t="shared" ca="1" si="162"/>
        <v>#N/A</v>
      </c>
      <c r="AD431" s="406" t="e">
        <f t="shared" ca="1" si="162"/>
        <v>#N/A</v>
      </c>
      <c r="AE431" s="406" t="e">
        <f t="shared" ca="1" si="162"/>
        <v>#N/A</v>
      </c>
      <c r="AF431" s="406" t="e">
        <f t="shared" ca="1" si="162"/>
        <v>#N/A</v>
      </c>
      <c r="AG431" s="406" t="e">
        <f t="shared" ca="1" si="162"/>
        <v>#N/A</v>
      </c>
      <c r="AH431" s="406" t="e">
        <f t="shared" ca="1" si="164"/>
        <v>#N/A</v>
      </c>
      <c r="AI431" s="406" t="e">
        <f t="shared" ca="1" si="164"/>
        <v>#N/A</v>
      </c>
      <c r="AJ431" s="406" t="e">
        <f t="shared" ca="1" si="164"/>
        <v>#N/A</v>
      </c>
      <c r="AK431" s="406" t="e">
        <f t="shared" ca="1" si="164"/>
        <v>#N/A</v>
      </c>
      <c r="AL431" s="406" t="e">
        <f t="shared" ca="1" si="164"/>
        <v>#N/A</v>
      </c>
      <c r="AM431" s="406" t="e">
        <f t="shared" ca="1" si="164"/>
        <v>#N/A</v>
      </c>
      <c r="AN431" s="406" t="e">
        <f t="shared" ca="1" si="164"/>
        <v>#N/A</v>
      </c>
      <c r="AO431" s="406" t="e">
        <f t="shared" ca="1" si="164"/>
        <v>#N/A</v>
      </c>
      <c r="AP431" s="406" t="e">
        <f t="shared" ca="1" si="164"/>
        <v>#N/A</v>
      </c>
      <c r="AQ431" s="406" t="e">
        <f t="shared" ca="1" si="164"/>
        <v>#N/A</v>
      </c>
      <c r="AR431" s="406" t="e">
        <f t="shared" ca="1" si="161"/>
        <v>#N/A</v>
      </c>
      <c r="AS431" s="406" t="e">
        <f t="shared" ca="1" si="161"/>
        <v>#N/A</v>
      </c>
      <c r="AT431" s="406" t="e">
        <f t="shared" ca="1" si="161"/>
        <v>#N/A</v>
      </c>
      <c r="AU431" s="406" t="e">
        <f t="shared" ca="1" si="161"/>
        <v>#N/A</v>
      </c>
      <c r="AV431" s="406" t="e">
        <f t="shared" ca="1" si="161"/>
        <v>#N/A</v>
      </c>
      <c r="AW431" s="406" t="e">
        <f t="shared" ca="1" si="161"/>
        <v>#N/A</v>
      </c>
      <c r="AX431" s="406" t="e">
        <f t="shared" ca="1" si="161"/>
        <v>#N/A</v>
      </c>
      <c r="AY431" s="406" t="e">
        <f t="shared" ca="1" si="161"/>
        <v>#N/A</v>
      </c>
      <c r="AZ431" s="406" t="e">
        <f t="shared" ca="1" si="161"/>
        <v>#N/A</v>
      </c>
      <c r="BA431" s="406" t="e">
        <f t="shared" ca="1" si="161"/>
        <v>#N/A</v>
      </c>
      <c r="BB431" s="408"/>
      <c r="BC431" s="408" t="str">
        <f t="shared" ca="1" si="154"/>
        <v/>
      </c>
      <c r="BD431" s="408" t="s">
        <v>1278</v>
      </c>
      <c r="BE431" s="408" t="s">
        <v>1278</v>
      </c>
    </row>
    <row r="432" spans="3:57" x14ac:dyDescent="0.25">
      <c r="C432" s="406">
        <f t="shared" si="156"/>
        <v>430</v>
      </c>
      <c r="D432" s="406" t="e">
        <f t="shared" ca="1" si="165"/>
        <v>#N/A</v>
      </c>
      <c r="E432" s="406" t="e">
        <f t="shared" ca="1" si="165"/>
        <v>#N/A</v>
      </c>
      <c r="F432" s="406" t="e">
        <f t="shared" ca="1" si="165"/>
        <v>#N/A</v>
      </c>
      <c r="G432" s="406" t="e">
        <f t="shared" ca="1" si="165"/>
        <v>#N/A</v>
      </c>
      <c r="H432" s="406" t="e">
        <f t="shared" ca="1" si="165"/>
        <v>#N/A</v>
      </c>
      <c r="I432" s="406" t="e">
        <f t="shared" ca="1" si="165"/>
        <v>#N/A</v>
      </c>
      <c r="J432" s="406" t="e">
        <f t="shared" ca="1" si="165"/>
        <v>#N/A</v>
      </c>
      <c r="K432" s="406" t="e">
        <f t="shared" ca="1" si="165"/>
        <v>#N/A</v>
      </c>
      <c r="L432" s="406" t="e">
        <f t="shared" ca="1" si="165"/>
        <v>#N/A</v>
      </c>
      <c r="M432" s="406" t="e">
        <f t="shared" ca="1" si="165"/>
        <v>#N/A</v>
      </c>
      <c r="N432" s="406" t="e">
        <f t="shared" ca="1" si="163"/>
        <v>#N/A</v>
      </c>
      <c r="O432" s="406" t="e">
        <f t="shared" ca="1" si="163"/>
        <v>#N/A</v>
      </c>
      <c r="P432" s="406" t="e">
        <f t="shared" ca="1" si="163"/>
        <v>#N/A</v>
      </c>
      <c r="Q432" s="406" t="e">
        <f t="shared" ca="1" si="163"/>
        <v>#N/A</v>
      </c>
      <c r="R432" s="406" t="e">
        <f t="shared" ca="1" si="163"/>
        <v>#N/A</v>
      </c>
      <c r="S432" s="406" t="e">
        <f t="shared" ca="1" si="163"/>
        <v>#N/A</v>
      </c>
      <c r="T432" s="406" t="e">
        <f t="shared" ca="1" si="163"/>
        <v>#N/A</v>
      </c>
      <c r="U432" s="406" t="e">
        <f t="shared" ca="1" si="163"/>
        <v>#N/A</v>
      </c>
      <c r="V432" s="406" t="e">
        <f t="shared" ca="1" si="163"/>
        <v>#N/A</v>
      </c>
      <c r="W432" s="406" t="e">
        <f t="shared" ca="1" si="163"/>
        <v>#N/A</v>
      </c>
      <c r="X432" s="406" t="e">
        <f t="shared" ca="1" si="162"/>
        <v>#N/A</v>
      </c>
      <c r="Y432" s="406" t="e">
        <f t="shared" ca="1" si="162"/>
        <v>#N/A</v>
      </c>
      <c r="Z432" s="406" t="e">
        <f t="shared" ca="1" si="162"/>
        <v>#N/A</v>
      </c>
      <c r="AA432" s="406" t="e">
        <f t="shared" ca="1" si="162"/>
        <v>#N/A</v>
      </c>
      <c r="AB432" s="406" t="e">
        <f t="shared" ca="1" si="162"/>
        <v>#N/A</v>
      </c>
      <c r="AC432" s="406" t="e">
        <f t="shared" ca="1" si="162"/>
        <v>#N/A</v>
      </c>
      <c r="AD432" s="406" t="e">
        <f t="shared" ca="1" si="162"/>
        <v>#N/A</v>
      </c>
      <c r="AE432" s="406" t="e">
        <f t="shared" ca="1" si="162"/>
        <v>#N/A</v>
      </c>
      <c r="AF432" s="406" t="e">
        <f t="shared" ca="1" si="162"/>
        <v>#N/A</v>
      </c>
      <c r="AG432" s="406" t="e">
        <f t="shared" ca="1" si="162"/>
        <v>#N/A</v>
      </c>
      <c r="AH432" s="406" t="e">
        <f t="shared" ca="1" si="164"/>
        <v>#N/A</v>
      </c>
      <c r="AI432" s="406" t="e">
        <f t="shared" ca="1" si="164"/>
        <v>#N/A</v>
      </c>
      <c r="AJ432" s="406" t="e">
        <f t="shared" ca="1" si="164"/>
        <v>#N/A</v>
      </c>
      <c r="AK432" s="406" t="e">
        <f t="shared" ca="1" si="164"/>
        <v>#N/A</v>
      </c>
      <c r="AL432" s="406" t="e">
        <f t="shared" ca="1" si="164"/>
        <v>#N/A</v>
      </c>
      <c r="AM432" s="406" t="e">
        <f t="shared" ca="1" si="164"/>
        <v>#N/A</v>
      </c>
      <c r="AN432" s="406" t="e">
        <f t="shared" ca="1" si="164"/>
        <v>#N/A</v>
      </c>
      <c r="AO432" s="406" t="e">
        <f t="shared" ca="1" si="164"/>
        <v>#N/A</v>
      </c>
      <c r="AP432" s="406" t="e">
        <f t="shared" ca="1" si="164"/>
        <v>#N/A</v>
      </c>
      <c r="AQ432" s="406" t="e">
        <f t="shared" ca="1" si="164"/>
        <v>#N/A</v>
      </c>
      <c r="AR432" s="406" t="e">
        <f t="shared" ca="1" si="161"/>
        <v>#N/A</v>
      </c>
      <c r="AS432" s="406" t="e">
        <f t="shared" ca="1" si="161"/>
        <v>#N/A</v>
      </c>
      <c r="AT432" s="406" t="e">
        <f t="shared" ca="1" si="161"/>
        <v>#N/A</v>
      </c>
      <c r="AU432" s="406" t="e">
        <f t="shared" ca="1" si="161"/>
        <v>#N/A</v>
      </c>
      <c r="AV432" s="406" t="e">
        <f t="shared" ca="1" si="161"/>
        <v>#N/A</v>
      </c>
      <c r="AW432" s="406" t="e">
        <f t="shared" ca="1" si="161"/>
        <v>#N/A</v>
      </c>
      <c r="AX432" s="406" t="e">
        <f t="shared" ca="1" si="161"/>
        <v>#N/A</v>
      </c>
      <c r="AY432" s="406" t="e">
        <f t="shared" ca="1" si="161"/>
        <v>#N/A</v>
      </c>
      <c r="AZ432" s="406" t="e">
        <f t="shared" ca="1" si="161"/>
        <v>#N/A</v>
      </c>
      <c r="BA432" s="406" t="e">
        <f t="shared" ca="1" si="161"/>
        <v>#N/A</v>
      </c>
      <c r="BB432" s="408"/>
      <c r="BC432" s="408" t="str">
        <f t="shared" ca="1" si="154"/>
        <v/>
      </c>
      <c r="BD432" s="408" t="s">
        <v>1278</v>
      </c>
      <c r="BE432" s="408" t="s">
        <v>1278</v>
      </c>
    </row>
    <row r="433" spans="3:57" ht="15" customHeight="1" x14ac:dyDescent="0.25">
      <c r="C433" s="406">
        <f t="shared" si="156"/>
        <v>431</v>
      </c>
      <c r="D433" s="406" t="e">
        <f t="shared" ca="1" si="165"/>
        <v>#N/A</v>
      </c>
      <c r="E433" s="406" t="e">
        <f t="shared" ca="1" si="165"/>
        <v>#N/A</v>
      </c>
      <c r="F433" s="406" t="e">
        <f t="shared" ca="1" si="165"/>
        <v>#N/A</v>
      </c>
      <c r="G433" s="406" t="e">
        <f t="shared" ca="1" si="165"/>
        <v>#N/A</v>
      </c>
      <c r="H433" s="406" t="e">
        <f t="shared" ca="1" si="165"/>
        <v>#N/A</v>
      </c>
      <c r="I433" s="406" t="e">
        <f t="shared" ca="1" si="165"/>
        <v>#N/A</v>
      </c>
      <c r="J433" s="406" t="e">
        <f t="shared" ca="1" si="165"/>
        <v>#N/A</v>
      </c>
      <c r="K433" s="406" t="e">
        <f t="shared" ca="1" si="165"/>
        <v>#N/A</v>
      </c>
      <c r="L433" s="406" t="e">
        <f t="shared" ca="1" si="165"/>
        <v>#N/A</v>
      </c>
      <c r="M433" s="406" t="e">
        <f t="shared" ca="1" si="165"/>
        <v>#N/A</v>
      </c>
      <c r="N433" s="406" t="e">
        <f t="shared" ca="1" si="163"/>
        <v>#N/A</v>
      </c>
      <c r="O433" s="406" t="e">
        <f t="shared" ca="1" si="163"/>
        <v>#N/A</v>
      </c>
      <c r="P433" s="406" t="e">
        <f t="shared" ca="1" si="163"/>
        <v>#N/A</v>
      </c>
      <c r="Q433" s="406" t="e">
        <f t="shared" ca="1" si="163"/>
        <v>#N/A</v>
      </c>
      <c r="R433" s="406" t="e">
        <f t="shared" ca="1" si="163"/>
        <v>#N/A</v>
      </c>
      <c r="S433" s="406" t="e">
        <f t="shared" ca="1" si="163"/>
        <v>#N/A</v>
      </c>
      <c r="T433" s="406" t="e">
        <f t="shared" ca="1" si="163"/>
        <v>#N/A</v>
      </c>
      <c r="U433" s="406" t="e">
        <f t="shared" ca="1" si="163"/>
        <v>#N/A</v>
      </c>
      <c r="V433" s="406" t="e">
        <f t="shared" ca="1" si="163"/>
        <v>#N/A</v>
      </c>
      <c r="W433" s="406" t="e">
        <f t="shared" ca="1" si="163"/>
        <v>#N/A</v>
      </c>
      <c r="X433" s="406" t="e">
        <f t="shared" ca="1" si="162"/>
        <v>#N/A</v>
      </c>
      <c r="Y433" s="406" t="e">
        <f t="shared" ca="1" si="162"/>
        <v>#N/A</v>
      </c>
      <c r="Z433" s="406" t="e">
        <f t="shared" ca="1" si="162"/>
        <v>#N/A</v>
      </c>
      <c r="AA433" s="406" t="e">
        <f t="shared" ca="1" si="162"/>
        <v>#N/A</v>
      </c>
      <c r="AB433" s="406" t="e">
        <f t="shared" ca="1" si="162"/>
        <v>#N/A</v>
      </c>
      <c r="AC433" s="406" t="e">
        <f t="shared" ca="1" si="162"/>
        <v>#N/A</v>
      </c>
      <c r="AD433" s="406" t="e">
        <f t="shared" ca="1" si="162"/>
        <v>#N/A</v>
      </c>
      <c r="AE433" s="406" t="e">
        <f t="shared" ca="1" si="162"/>
        <v>#N/A</v>
      </c>
      <c r="AF433" s="406" t="e">
        <f t="shared" ca="1" si="162"/>
        <v>#N/A</v>
      </c>
      <c r="AG433" s="406" t="e">
        <f t="shared" ca="1" si="162"/>
        <v>#N/A</v>
      </c>
      <c r="AH433" s="406" t="e">
        <f t="shared" ca="1" si="164"/>
        <v>#N/A</v>
      </c>
      <c r="AI433" s="406" t="e">
        <f t="shared" ca="1" si="164"/>
        <v>#N/A</v>
      </c>
      <c r="AJ433" s="406" t="e">
        <f t="shared" ca="1" si="164"/>
        <v>#N/A</v>
      </c>
      <c r="AK433" s="406" t="e">
        <f t="shared" ca="1" si="164"/>
        <v>#N/A</v>
      </c>
      <c r="AL433" s="406" t="e">
        <f t="shared" ca="1" si="164"/>
        <v>#N/A</v>
      </c>
      <c r="AM433" s="406" t="e">
        <f t="shared" ca="1" si="164"/>
        <v>#N/A</v>
      </c>
      <c r="AN433" s="406" t="e">
        <f t="shared" ca="1" si="164"/>
        <v>#N/A</v>
      </c>
      <c r="AO433" s="406" t="e">
        <f t="shared" ca="1" si="164"/>
        <v>#N/A</v>
      </c>
      <c r="AP433" s="406" t="e">
        <f t="shared" ca="1" si="164"/>
        <v>#N/A</v>
      </c>
      <c r="AQ433" s="406" t="e">
        <f t="shared" ca="1" si="164"/>
        <v>#N/A</v>
      </c>
      <c r="AR433" s="406" t="e">
        <f t="shared" ca="1" si="161"/>
        <v>#N/A</v>
      </c>
      <c r="AS433" s="406" t="e">
        <f t="shared" ca="1" si="161"/>
        <v>#N/A</v>
      </c>
      <c r="AT433" s="406" t="e">
        <f t="shared" ca="1" si="161"/>
        <v>#N/A</v>
      </c>
      <c r="AU433" s="406" t="e">
        <f t="shared" ca="1" si="161"/>
        <v>#N/A</v>
      </c>
      <c r="AV433" s="406" t="e">
        <f t="shared" ca="1" si="161"/>
        <v>#N/A</v>
      </c>
      <c r="AW433" s="406" t="e">
        <f t="shared" ca="1" si="161"/>
        <v>#N/A</v>
      </c>
      <c r="AX433" s="406" t="e">
        <f t="shared" ca="1" si="161"/>
        <v>#N/A</v>
      </c>
      <c r="AY433" s="406" t="e">
        <f t="shared" ca="1" si="161"/>
        <v>#N/A</v>
      </c>
      <c r="AZ433" s="406" t="e">
        <f t="shared" ca="1" si="161"/>
        <v>#N/A</v>
      </c>
      <c r="BA433" s="406" t="e">
        <f t="shared" ca="1" si="161"/>
        <v>#N/A</v>
      </c>
      <c r="BB433" s="408"/>
      <c r="BC433" s="408" t="str">
        <f t="shared" ca="1" si="154"/>
        <v/>
      </c>
      <c r="BD433" s="408" t="s">
        <v>1278</v>
      </c>
      <c r="BE433" s="408" t="s">
        <v>1278</v>
      </c>
    </row>
    <row r="434" spans="3:57" x14ac:dyDescent="0.25">
      <c r="C434" s="406">
        <f t="shared" si="156"/>
        <v>432</v>
      </c>
      <c r="D434" s="406" t="e">
        <f t="shared" ca="1" si="165"/>
        <v>#N/A</v>
      </c>
      <c r="E434" s="406" t="e">
        <f t="shared" ca="1" si="165"/>
        <v>#N/A</v>
      </c>
      <c r="F434" s="406" t="e">
        <f t="shared" ca="1" si="165"/>
        <v>#N/A</v>
      </c>
      <c r="G434" s="406" t="e">
        <f t="shared" ca="1" si="165"/>
        <v>#N/A</v>
      </c>
      <c r="H434" s="406" t="e">
        <f t="shared" ca="1" si="165"/>
        <v>#N/A</v>
      </c>
      <c r="I434" s="406" t="e">
        <f t="shared" ca="1" si="165"/>
        <v>#N/A</v>
      </c>
      <c r="J434" s="406" t="e">
        <f t="shared" ca="1" si="165"/>
        <v>#N/A</v>
      </c>
      <c r="K434" s="406" t="e">
        <f t="shared" ca="1" si="165"/>
        <v>#N/A</v>
      </c>
      <c r="L434" s="406" t="e">
        <f t="shared" ca="1" si="165"/>
        <v>#N/A</v>
      </c>
      <c r="M434" s="406" t="e">
        <f t="shared" ca="1" si="165"/>
        <v>#N/A</v>
      </c>
      <c r="N434" s="406" t="e">
        <f t="shared" ca="1" si="163"/>
        <v>#N/A</v>
      </c>
      <c r="O434" s="406" t="e">
        <f t="shared" ca="1" si="163"/>
        <v>#N/A</v>
      </c>
      <c r="P434" s="406" t="e">
        <f t="shared" ca="1" si="163"/>
        <v>#N/A</v>
      </c>
      <c r="Q434" s="406" t="e">
        <f t="shared" ca="1" si="163"/>
        <v>#N/A</v>
      </c>
      <c r="R434" s="406" t="e">
        <f t="shared" ca="1" si="163"/>
        <v>#N/A</v>
      </c>
      <c r="S434" s="406" t="e">
        <f t="shared" ca="1" si="163"/>
        <v>#N/A</v>
      </c>
      <c r="T434" s="406" t="e">
        <f t="shared" ca="1" si="163"/>
        <v>#N/A</v>
      </c>
      <c r="U434" s="406" t="e">
        <f t="shared" ca="1" si="163"/>
        <v>#N/A</v>
      </c>
      <c r="V434" s="406" t="e">
        <f t="shared" ca="1" si="163"/>
        <v>#N/A</v>
      </c>
      <c r="W434" s="406" t="e">
        <f t="shared" ca="1" si="163"/>
        <v>#N/A</v>
      </c>
      <c r="X434" s="406" t="e">
        <f t="shared" ca="1" si="162"/>
        <v>#N/A</v>
      </c>
      <c r="Y434" s="406" t="e">
        <f t="shared" ca="1" si="162"/>
        <v>#N/A</v>
      </c>
      <c r="Z434" s="406" t="e">
        <f t="shared" ca="1" si="162"/>
        <v>#N/A</v>
      </c>
      <c r="AA434" s="406" t="e">
        <f t="shared" ca="1" si="162"/>
        <v>#N/A</v>
      </c>
      <c r="AB434" s="406" t="e">
        <f t="shared" ca="1" si="162"/>
        <v>#N/A</v>
      </c>
      <c r="AC434" s="406" t="e">
        <f t="shared" ca="1" si="162"/>
        <v>#N/A</v>
      </c>
      <c r="AD434" s="406" t="e">
        <f t="shared" ca="1" si="162"/>
        <v>#N/A</v>
      </c>
      <c r="AE434" s="406" t="e">
        <f t="shared" ca="1" si="162"/>
        <v>#N/A</v>
      </c>
      <c r="AF434" s="406" t="e">
        <f t="shared" ca="1" si="162"/>
        <v>#N/A</v>
      </c>
      <c r="AG434" s="406" t="e">
        <f t="shared" ca="1" si="162"/>
        <v>#N/A</v>
      </c>
      <c r="AH434" s="406" t="e">
        <f t="shared" ca="1" si="164"/>
        <v>#N/A</v>
      </c>
      <c r="AI434" s="406" t="e">
        <f t="shared" ca="1" si="164"/>
        <v>#N/A</v>
      </c>
      <c r="AJ434" s="406" t="e">
        <f t="shared" ca="1" si="164"/>
        <v>#N/A</v>
      </c>
      <c r="AK434" s="406" t="e">
        <f t="shared" ca="1" si="164"/>
        <v>#N/A</v>
      </c>
      <c r="AL434" s="406" t="e">
        <f t="shared" ca="1" si="164"/>
        <v>#N/A</v>
      </c>
      <c r="AM434" s="406" t="e">
        <f t="shared" ca="1" si="164"/>
        <v>#N/A</v>
      </c>
      <c r="AN434" s="406" t="e">
        <f t="shared" ca="1" si="164"/>
        <v>#N/A</v>
      </c>
      <c r="AO434" s="406" t="e">
        <f t="shared" ca="1" si="164"/>
        <v>#N/A</v>
      </c>
      <c r="AP434" s="406" t="e">
        <f t="shared" ca="1" si="164"/>
        <v>#N/A</v>
      </c>
      <c r="AQ434" s="406" t="e">
        <f t="shared" ca="1" si="164"/>
        <v>#N/A</v>
      </c>
      <c r="AR434" s="406" t="e">
        <f t="shared" ca="1" si="161"/>
        <v>#N/A</v>
      </c>
      <c r="AS434" s="406" t="e">
        <f t="shared" ca="1" si="161"/>
        <v>#N/A</v>
      </c>
      <c r="AT434" s="406" t="e">
        <f t="shared" ca="1" si="161"/>
        <v>#N/A</v>
      </c>
      <c r="AU434" s="406" t="e">
        <f t="shared" ca="1" si="161"/>
        <v>#N/A</v>
      </c>
      <c r="AV434" s="406" t="e">
        <f t="shared" ca="1" si="161"/>
        <v>#N/A</v>
      </c>
      <c r="AW434" s="406" t="e">
        <f t="shared" ca="1" si="161"/>
        <v>#N/A</v>
      </c>
      <c r="AX434" s="406" t="e">
        <f t="shared" ca="1" si="161"/>
        <v>#N/A</v>
      </c>
      <c r="AY434" s="406" t="e">
        <f t="shared" ca="1" si="161"/>
        <v>#N/A</v>
      </c>
      <c r="AZ434" s="406" t="e">
        <f t="shared" ca="1" si="161"/>
        <v>#N/A</v>
      </c>
      <c r="BA434" s="406" t="e">
        <f t="shared" ca="1" si="161"/>
        <v>#N/A</v>
      </c>
      <c r="BB434" s="408"/>
      <c r="BC434" s="408" t="str">
        <f t="shared" ca="1" si="154"/>
        <v/>
      </c>
      <c r="BD434" s="408" t="s">
        <v>1278</v>
      </c>
      <c r="BE434" s="408" t="s">
        <v>1278</v>
      </c>
    </row>
    <row r="435" spans="3:57" x14ac:dyDescent="0.25">
      <c r="C435" s="406">
        <f t="shared" si="156"/>
        <v>433</v>
      </c>
      <c r="D435" s="406" t="e">
        <f t="shared" ca="1" si="165"/>
        <v>#N/A</v>
      </c>
      <c r="E435" s="406" t="e">
        <f t="shared" ca="1" si="165"/>
        <v>#N/A</v>
      </c>
      <c r="F435" s="406" t="e">
        <f t="shared" ca="1" si="165"/>
        <v>#N/A</v>
      </c>
      <c r="G435" s="406" t="e">
        <f t="shared" ca="1" si="165"/>
        <v>#N/A</v>
      </c>
      <c r="H435" s="406" t="e">
        <f t="shared" ca="1" si="165"/>
        <v>#N/A</v>
      </c>
      <c r="I435" s="406" t="e">
        <f t="shared" ca="1" si="165"/>
        <v>#N/A</v>
      </c>
      <c r="J435" s="406" t="e">
        <f t="shared" ca="1" si="165"/>
        <v>#N/A</v>
      </c>
      <c r="K435" s="406" t="e">
        <f t="shared" ca="1" si="165"/>
        <v>#N/A</v>
      </c>
      <c r="L435" s="406" t="e">
        <f t="shared" ca="1" si="165"/>
        <v>#N/A</v>
      </c>
      <c r="M435" s="406" t="e">
        <f t="shared" ca="1" si="165"/>
        <v>#N/A</v>
      </c>
      <c r="N435" s="406" t="e">
        <f t="shared" ca="1" si="163"/>
        <v>#N/A</v>
      </c>
      <c r="O435" s="406" t="e">
        <f t="shared" ca="1" si="163"/>
        <v>#N/A</v>
      </c>
      <c r="P435" s="406" t="e">
        <f t="shared" ca="1" si="163"/>
        <v>#N/A</v>
      </c>
      <c r="Q435" s="406" t="e">
        <f t="shared" ca="1" si="163"/>
        <v>#N/A</v>
      </c>
      <c r="R435" s="406" t="e">
        <f t="shared" ca="1" si="163"/>
        <v>#N/A</v>
      </c>
      <c r="S435" s="406" t="e">
        <f t="shared" ca="1" si="163"/>
        <v>#N/A</v>
      </c>
      <c r="T435" s="406" t="e">
        <f t="shared" ca="1" si="163"/>
        <v>#N/A</v>
      </c>
      <c r="U435" s="406" t="e">
        <f t="shared" ca="1" si="163"/>
        <v>#N/A</v>
      </c>
      <c r="V435" s="406" t="e">
        <f t="shared" ca="1" si="163"/>
        <v>#N/A</v>
      </c>
      <c r="W435" s="406" t="e">
        <f t="shared" ca="1" si="163"/>
        <v>#N/A</v>
      </c>
      <c r="X435" s="406" t="e">
        <f t="shared" ca="1" si="162"/>
        <v>#N/A</v>
      </c>
      <c r="Y435" s="406" t="e">
        <f t="shared" ca="1" si="162"/>
        <v>#N/A</v>
      </c>
      <c r="Z435" s="406" t="e">
        <f t="shared" ca="1" si="162"/>
        <v>#N/A</v>
      </c>
      <c r="AA435" s="406" t="e">
        <f t="shared" ca="1" si="162"/>
        <v>#N/A</v>
      </c>
      <c r="AB435" s="406" t="e">
        <f t="shared" ca="1" si="162"/>
        <v>#N/A</v>
      </c>
      <c r="AC435" s="406" t="e">
        <f t="shared" ca="1" si="162"/>
        <v>#N/A</v>
      </c>
      <c r="AD435" s="406" t="e">
        <f t="shared" ca="1" si="162"/>
        <v>#N/A</v>
      </c>
      <c r="AE435" s="406" t="e">
        <f t="shared" ca="1" si="162"/>
        <v>#N/A</v>
      </c>
      <c r="AF435" s="406" t="e">
        <f t="shared" ca="1" si="162"/>
        <v>#N/A</v>
      </c>
      <c r="AG435" s="406" t="e">
        <f t="shared" ca="1" si="162"/>
        <v>#N/A</v>
      </c>
      <c r="AH435" s="406" t="e">
        <f t="shared" ca="1" si="164"/>
        <v>#N/A</v>
      </c>
      <c r="AI435" s="406" t="e">
        <f t="shared" ca="1" si="164"/>
        <v>#N/A</v>
      </c>
      <c r="AJ435" s="406" t="e">
        <f t="shared" ca="1" si="164"/>
        <v>#N/A</v>
      </c>
      <c r="AK435" s="406" t="e">
        <f t="shared" ca="1" si="164"/>
        <v>#N/A</v>
      </c>
      <c r="AL435" s="406" t="e">
        <f t="shared" ca="1" si="164"/>
        <v>#N/A</v>
      </c>
      <c r="AM435" s="406" t="e">
        <f t="shared" ca="1" si="164"/>
        <v>#N/A</v>
      </c>
      <c r="AN435" s="406" t="e">
        <f t="shared" ca="1" si="164"/>
        <v>#N/A</v>
      </c>
      <c r="AO435" s="406" t="e">
        <f t="shared" ca="1" si="164"/>
        <v>#N/A</v>
      </c>
      <c r="AP435" s="406" t="e">
        <f t="shared" ca="1" si="164"/>
        <v>#N/A</v>
      </c>
      <c r="AQ435" s="406" t="e">
        <f t="shared" ca="1" si="164"/>
        <v>#N/A</v>
      </c>
      <c r="AR435" s="406" t="e">
        <f t="shared" ca="1" si="161"/>
        <v>#N/A</v>
      </c>
      <c r="AS435" s="406" t="e">
        <f t="shared" ca="1" si="161"/>
        <v>#N/A</v>
      </c>
      <c r="AT435" s="406" t="e">
        <f t="shared" ca="1" si="161"/>
        <v>#N/A</v>
      </c>
      <c r="AU435" s="406" t="e">
        <f t="shared" ca="1" si="161"/>
        <v>#N/A</v>
      </c>
      <c r="AV435" s="406" t="e">
        <f t="shared" ca="1" si="161"/>
        <v>#N/A</v>
      </c>
      <c r="AW435" s="406" t="e">
        <f t="shared" ca="1" si="161"/>
        <v>#N/A</v>
      </c>
      <c r="AX435" s="406" t="e">
        <f t="shared" ca="1" si="161"/>
        <v>#N/A</v>
      </c>
      <c r="AY435" s="406" t="e">
        <f t="shared" ca="1" si="161"/>
        <v>#N/A</v>
      </c>
      <c r="AZ435" s="406" t="e">
        <f t="shared" ca="1" si="161"/>
        <v>#N/A</v>
      </c>
      <c r="BA435" s="406" t="e">
        <f t="shared" ca="1" si="161"/>
        <v>#N/A</v>
      </c>
      <c r="BB435" s="408"/>
      <c r="BC435" s="408" t="str">
        <f t="shared" ca="1" si="154"/>
        <v/>
      </c>
      <c r="BD435" s="408" t="s">
        <v>1278</v>
      </c>
      <c r="BE435" s="408" t="s">
        <v>1278</v>
      </c>
    </row>
    <row r="436" spans="3:57" ht="15" customHeight="1" x14ac:dyDescent="0.25">
      <c r="C436" s="406">
        <f t="shared" si="156"/>
        <v>434</v>
      </c>
      <c r="D436" s="406" t="e">
        <f t="shared" ca="1" si="165"/>
        <v>#N/A</v>
      </c>
      <c r="E436" s="406" t="e">
        <f t="shared" ca="1" si="165"/>
        <v>#N/A</v>
      </c>
      <c r="F436" s="406" t="e">
        <f t="shared" ca="1" si="165"/>
        <v>#N/A</v>
      </c>
      <c r="G436" s="406" t="e">
        <f t="shared" ca="1" si="165"/>
        <v>#N/A</v>
      </c>
      <c r="H436" s="406" t="e">
        <f t="shared" ca="1" si="165"/>
        <v>#N/A</v>
      </c>
      <c r="I436" s="406" t="e">
        <f t="shared" ca="1" si="165"/>
        <v>#N/A</v>
      </c>
      <c r="J436" s="406" t="e">
        <f t="shared" ca="1" si="165"/>
        <v>#N/A</v>
      </c>
      <c r="K436" s="406" t="e">
        <f t="shared" ca="1" si="165"/>
        <v>#N/A</v>
      </c>
      <c r="L436" s="406" t="e">
        <f t="shared" ca="1" si="165"/>
        <v>#N/A</v>
      </c>
      <c r="M436" s="406" t="e">
        <f t="shared" ca="1" si="165"/>
        <v>#N/A</v>
      </c>
      <c r="N436" s="406" t="e">
        <f t="shared" ca="1" si="163"/>
        <v>#N/A</v>
      </c>
      <c r="O436" s="406" t="e">
        <f t="shared" ca="1" si="163"/>
        <v>#N/A</v>
      </c>
      <c r="P436" s="406" t="e">
        <f t="shared" ca="1" si="163"/>
        <v>#N/A</v>
      </c>
      <c r="Q436" s="406" t="e">
        <f t="shared" ca="1" si="163"/>
        <v>#N/A</v>
      </c>
      <c r="R436" s="406" t="e">
        <f t="shared" ca="1" si="163"/>
        <v>#N/A</v>
      </c>
      <c r="S436" s="406" t="e">
        <f t="shared" ca="1" si="163"/>
        <v>#N/A</v>
      </c>
      <c r="T436" s="406" t="e">
        <f t="shared" ca="1" si="163"/>
        <v>#N/A</v>
      </c>
      <c r="U436" s="406" t="e">
        <f t="shared" ca="1" si="163"/>
        <v>#N/A</v>
      </c>
      <c r="V436" s="406" t="e">
        <f t="shared" ca="1" si="163"/>
        <v>#N/A</v>
      </c>
      <c r="W436" s="406" t="e">
        <f t="shared" ca="1" si="163"/>
        <v>#N/A</v>
      </c>
      <c r="X436" s="406" t="e">
        <f t="shared" ca="1" si="162"/>
        <v>#N/A</v>
      </c>
      <c r="Y436" s="406" t="e">
        <f t="shared" ca="1" si="162"/>
        <v>#N/A</v>
      </c>
      <c r="Z436" s="406" t="e">
        <f t="shared" ca="1" si="162"/>
        <v>#N/A</v>
      </c>
      <c r="AA436" s="406" t="e">
        <f t="shared" ca="1" si="162"/>
        <v>#N/A</v>
      </c>
      <c r="AB436" s="406" t="e">
        <f t="shared" ca="1" si="162"/>
        <v>#N/A</v>
      </c>
      <c r="AC436" s="406" t="e">
        <f t="shared" ca="1" si="162"/>
        <v>#N/A</v>
      </c>
      <c r="AD436" s="406" t="e">
        <f t="shared" ca="1" si="162"/>
        <v>#N/A</v>
      </c>
      <c r="AE436" s="406" t="e">
        <f t="shared" ca="1" si="162"/>
        <v>#N/A</v>
      </c>
      <c r="AF436" s="406" t="e">
        <f t="shared" ca="1" si="162"/>
        <v>#N/A</v>
      </c>
      <c r="AG436" s="406" t="e">
        <f t="shared" ca="1" si="162"/>
        <v>#N/A</v>
      </c>
      <c r="AH436" s="406" t="e">
        <f t="shared" ca="1" si="164"/>
        <v>#N/A</v>
      </c>
      <c r="AI436" s="406" t="e">
        <f t="shared" ca="1" si="164"/>
        <v>#N/A</v>
      </c>
      <c r="AJ436" s="406" t="e">
        <f t="shared" ca="1" si="164"/>
        <v>#N/A</v>
      </c>
      <c r="AK436" s="406" t="e">
        <f t="shared" ca="1" si="164"/>
        <v>#N/A</v>
      </c>
      <c r="AL436" s="406" t="e">
        <f t="shared" ca="1" si="164"/>
        <v>#N/A</v>
      </c>
      <c r="AM436" s="406" t="e">
        <f t="shared" ca="1" si="164"/>
        <v>#N/A</v>
      </c>
      <c r="AN436" s="406" t="e">
        <f t="shared" ca="1" si="164"/>
        <v>#N/A</v>
      </c>
      <c r="AO436" s="406" t="e">
        <f t="shared" ca="1" si="164"/>
        <v>#N/A</v>
      </c>
      <c r="AP436" s="406" t="e">
        <f t="shared" ca="1" si="164"/>
        <v>#N/A</v>
      </c>
      <c r="AQ436" s="406" t="e">
        <f t="shared" ca="1" si="164"/>
        <v>#N/A</v>
      </c>
      <c r="AR436" s="406" t="e">
        <f t="shared" ca="1" si="161"/>
        <v>#N/A</v>
      </c>
      <c r="AS436" s="406" t="e">
        <f t="shared" ca="1" si="161"/>
        <v>#N/A</v>
      </c>
      <c r="AT436" s="406" t="e">
        <f t="shared" ca="1" si="161"/>
        <v>#N/A</v>
      </c>
      <c r="AU436" s="406" t="e">
        <f t="shared" ca="1" si="161"/>
        <v>#N/A</v>
      </c>
      <c r="AV436" s="406" t="e">
        <f t="shared" ca="1" si="161"/>
        <v>#N/A</v>
      </c>
      <c r="AW436" s="406" t="e">
        <f t="shared" ca="1" si="161"/>
        <v>#N/A</v>
      </c>
      <c r="AX436" s="406" t="e">
        <f t="shared" ca="1" si="161"/>
        <v>#N/A</v>
      </c>
      <c r="AY436" s="406" t="e">
        <f t="shared" ca="1" si="161"/>
        <v>#N/A</v>
      </c>
      <c r="AZ436" s="406" t="e">
        <f t="shared" ca="1" si="161"/>
        <v>#N/A</v>
      </c>
      <c r="BA436" s="406" t="e">
        <f t="shared" ca="1" si="161"/>
        <v>#N/A</v>
      </c>
      <c r="BB436" s="408"/>
      <c r="BC436" s="408" t="str">
        <f t="shared" ca="1" si="154"/>
        <v/>
      </c>
      <c r="BD436" s="408" t="s">
        <v>1278</v>
      </c>
      <c r="BE436" s="408" t="s">
        <v>1278</v>
      </c>
    </row>
    <row r="437" spans="3:57" x14ac:dyDescent="0.25">
      <c r="C437" s="406">
        <f t="shared" si="156"/>
        <v>435</v>
      </c>
      <c r="D437" s="406" t="e">
        <f t="shared" ca="1" si="165"/>
        <v>#N/A</v>
      </c>
      <c r="E437" s="406" t="e">
        <f t="shared" ca="1" si="165"/>
        <v>#N/A</v>
      </c>
      <c r="F437" s="406" t="e">
        <f t="shared" ca="1" si="165"/>
        <v>#N/A</v>
      </c>
      <c r="G437" s="406" t="e">
        <f t="shared" ca="1" si="165"/>
        <v>#N/A</v>
      </c>
      <c r="H437" s="406" t="e">
        <f t="shared" ca="1" si="165"/>
        <v>#N/A</v>
      </c>
      <c r="I437" s="406" t="e">
        <f t="shared" ca="1" si="165"/>
        <v>#N/A</v>
      </c>
      <c r="J437" s="406" t="e">
        <f t="shared" ca="1" si="165"/>
        <v>#N/A</v>
      </c>
      <c r="K437" s="406" t="e">
        <f t="shared" ca="1" si="165"/>
        <v>#N/A</v>
      </c>
      <c r="L437" s="406" t="e">
        <f t="shared" ca="1" si="165"/>
        <v>#N/A</v>
      </c>
      <c r="M437" s="406" t="e">
        <f t="shared" ca="1" si="165"/>
        <v>#N/A</v>
      </c>
      <c r="N437" s="406" t="e">
        <f t="shared" ca="1" si="163"/>
        <v>#N/A</v>
      </c>
      <c r="O437" s="406" t="e">
        <f t="shared" ca="1" si="163"/>
        <v>#N/A</v>
      </c>
      <c r="P437" s="406" t="e">
        <f t="shared" ca="1" si="163"/>
        <v>#N/A</v>
      </c>
      <c r="Q437" s="406" t="e">
        <f t="shared" ca="1" si="163"/>
        <v>#N/A</v>
      </c>
      <c r="R437" s="406" t="e">
        <f t="shared" ca="1" si="163"/>
        <v>#N/A</v>
      </c>
      <c r="S437" s="406" t="e">
        <f t="shared" ca="1" si="163"/>
        <v>#N/A</v>
      </c>
      <c r="T437" s="406" t="e">
        <f t="shared" ca="1" si="163"/>
        <v>#N/A</v>
      </c>
      <c r="U437" s="406" t="e">
        <f t="shared" ca="1" si="163"/>
        <v>#N/A</v>
      </c>
      <c r="V437" s="406" t="e">
        <f t="shared" ca="1" si="163"/>
        <v>#N/A</v>
      </c>
      <c r="W437" s="406" t="e">
        <f t="shared" ca="1" si="163"/>
        <v>#N/A</v>
      </c>
      <c r="X437" s="406" t="e">
        <f t="shared" ca="1" si="162"/>
        <v>#N/A</v>
      </c>
      <c r="Y437" s="406" t="e">
        <f t="shared" ca="1" si="162"/>
        <v>#N/A</v>
      </c>
      <c r="Z437" s="406" t="e">
        <f t="shared" ca="1" si="162"/>
        <v>#N/A</v>
      </c>
      <c r="AA437" s="406" t="e">
        <f t="shared" ca="1" si="162"/>
        <v>#N/A</v>
      </c>
      <c r="AB437" s="406" t="e">
        <f t="shared" ca="1" si="162"/>
        <v>#N/A</v>
      </c>
      <c r="AC437" s="406" t="e">
        <f t="shared" ca="1" si="162"/>
        <v>#N/A</v>
      </c>
      <c r="AD437" s="406" t="e">
        <f t="shared" ca="1" si="162"/>
        <v>#N/A</v>
      </c>
      <c r="AE437" s="406" t="e">
        <f t="shared" ca="1" si="162"/>
        <v>#N/A</v>
      </c>
      <c r="AF437" s="406" t="e">
        <f t="shared" ca="1" si="162"/>
        <v>#N/A</v>
      </c>
      <c r="AG437" s="406" t="e">
        <f t="shared" ca="1" si="162"/>
        <v>#N/A</v>
      </c>
      <c r="AH437" s="406" t="e">
        <f t="shared" ca="1" si="164"/>
        <v>#N/A</v>
      </c>
      <c r="AI437" s="406" t="e">
        <f t="shared" ca="1" si="164"/>
        <v>#N/A</v>
      </c>
      <c r="AJ437" s="406" t="e">
        <f t="shared" ca="1" si="164"/>
        <v>#N/A</v>
      </c>
      <c r="AK437" s="406" t="e">
        <f t="shared" ca="1" si="164"/>
        <v>#N/A</v>
      </c>
      <c r="AL437" s="406" t="e">
        <f t="shared" ca="1" si="164"/>
        <v>#N/A</v>
      </c>
      <c r="AM437" s="406" t="e">
        <f t="shared" ca="1" si="164"/>
        <v>#N/A</v>
      </c>
      <c r="AN437" s="406" t="e">
        <f t="shared" ca="1" si="164"/>
        <v>#N/A</v>
      </c>
      <c r="AO437" s="406" t="e">
        <f t="shared" ca="1" si="164"/>
        <v>#N/A</v>
      </c>
      <c r="AP437" s="406" t="e">
        <f t="shared" ca="1" si="164"/>
        <v>#N/A</v>
      </c>
      <c r="AQ437" s="406" t="e">
        <f t="shared" ca="1" si="164"/>
        <v>#N/A</v>
      </c>
      <c r="AR437" s="406" t="e">
        <f t="shared" ca="1" si="161"/>
        <v>#N/A</v>
      </c>
      <c r="AS437" s="406" t="e">
        <f t="shared" ca="1" si="161"/>
        <v>#N/A</v>
      </c>
      <c r="AT437" s="406" t="e">
        <f t="shared" ca="1" si="161"/>
        <v>#N/A</v>
      </c>
      <c r="AU437" s="406" t="e">
        <f t="shared" ca="1" si="161"/>
        <v>#N/A</v>
      </c>
      <c r="AV437" s="406" t="e">
        <f t="shared" ca="1" si="161"/>
        <v>#N/A</v>
      </c>
      <c r="AW437" s="406" t="e">
        <f t="shared" ca="1" si="161"/>
        <v>#N/A</v>
      </c>
      <c r="AX437" s="406" t="e">
        <f t="shared" ca="1" si="161"/>
        <v>#N/A</v>
      </c>
      <c r="AY437" s="406" t="e">
        <f t="shared" ca="1" si="161"/>
        <v>#N/A</v>
      </c>
      <c r="AZ437" s="406" t="e">
        <f t="shared" ca="1" si="161"/>
        <v>#N/A</v>
      </c>
      <c r="BA437" s="406" t="e">
        <f t="shared" ca="1" si="161"/>
        <v>#N/A</v>
      </c>
      <c r="BB437" s="408"/>
      <c r="BC437" s="408" t="str">
        <f t="shared" ca="1" si="154"/>
        <v/>
      </c>
      <c r="BD437" s="408" t="s">
        <v>1278</v>
      </c>
      <c r="BE437" s="408" t="s">
        <v>1278</v>
      </c>
    </row>
    <row r="438" spans="3:57" x14ac:dyDescent="0.25">
      <c r="C438" s="406">
        <f t="shared" si="156"/>
        <v>436</v>
      </c>
      <c r="D438" s="406" t="e">
        <f t="shared" ca="1" si="165"/>
        <v>#N/A</v>
      </c>
      <c r="E438" s="406" t="e">
        <f t="shared" ca="1" si="165"/>
        <v>#N/A</v>
      </c>
      <c r="F438" s="406" t="e">
        <f t="shared" ca="1" si="165"/>
        <v>#N/A</v>
      </c>
      <c r="G438" s="406" t="e">
        <f t="shared" ca="1" si="165"/>
        <v>#N/A</v>
      </c>
      <c r="H438" s="406" t="e">
        <f t="shared" ca="1" si="165"/>
        <v>#N/A</v>
      </c>
      <c r="I438" s="406" t="e">
        <f t="shared" ca="1" si="165"/>
        <v>#N/A</v>
      </c>
      <c r="J438" s="406" t="e">
        <f t="shared" ca="1" si="165"/>
        <v>#N/A</v>
      </c>
      <c r="K438" s="406" t="e">
        <f t="shared" ca="1" si="165"/>
        <v>#N/A</v>
      </c>
      <c r="L438" s="406" t="e">
        <f t="shared" ca="1" si="165"/>
        <v>#N/A</v>
      </c>
      <c r="M438" s="406" t="e">
        <f t="shared" ca="1" si="165"/>
        <v>#N/A</v>
      </c>
      <c r="N438" s="406" t="e">
        <f t="shared" ca="1" si="163"/>
        <v>#N/A</v>
      </c>
      <c r="O438" s="406" t="e">
        <f t="shared" ca="1" si="163"/>
        <v>#N/A</v>
      </c>
      <c r="P438" s="406" t="e">
        <f t="shared" ca="1" si="163"/>
        <v>#N/A</v>
      </c>
      <c r="Q438" s="406" t="e">
        <f t="shared" ca="1" si="163"/>
        <v>#N/A</v>
      </c>
      <c r="R438" s="406" t="e">
        <f t="shared" ca="1" si="163"/>
        <v>#N/A</v>
      </c>
      <c r="S438" s="406" t="e">
        <f t="shared" ca="1" si="163"/>
        <v>#N/A</v>
      </c>
      <c r="T438" s="406" t="e">
        <f t="shared" ca="1" si="163"/>
        <v>#N/A</v>
      </c>
      <c r="U438" s="406" t="e">
        <f t="shared" ca="1" si="163"/>
        <v>#N/A</v>
      </c>
      <c r="V438" s="406" t="e">
        <f t="shared" ca="1" si="163"/>
        <v>#N/A</v>
      </c>
      <c r="W438" s="406" t="e">
        <f t="shared" ca="1" si="163"/>
        <v>#N/A</v>
      </c>
      <c r="X438" s="406" t="e">
        <f t="shared" ca="1" si="162"/>
        <v>#N/A</v>
      </c>
      <c r="Y438" s="406" t="e">
        <f t="shared" ca="1" si="162"/>
        <v>#N/A</v>
      </c>
      <c r="Z438" s="406" t="e">
        <f t="shared" ca="1" si="162"/>
        <v>#N/A</v>
      </c>
      <c r="AA438" s="406" t="e">
        <f t="shared" ca="1" si="162"/>
        <v>#N/A</v>
      </c>
      <c r="AB438" s="406" t="e">
        <f t="shared" ca="1" si="162"/>
        <v>#N/A</v>
      </c>
      <c r="AC438" s="406" t="e">
        <f t="shared" ca="1" si="162"/>
        <v>#N/A</v>
      </c>
      <c r="AD438" s="406" t="e">
        <f t="shared" ca="1" si="162"/>
        <v>#N/A</v>
      </c>
      <c r="AE438" s="406" t="e">
        <f t="shared" ca="1" si="162"/>
        <v>#N/A</v>
      </c>
      <c r="AF438" s="406" t="e">
        <f t="shared" ca="1" si="162"/>
        <v>#N/A</v>
      </c>
      <c r="AG438" s="406" t="e">
        <f t="shared" ca="1" si="162"/>
        <v>#N/A</v>
      </c>
      <c r="AH438" s="406" t="e">
        <f t="shared" ca="1" si="164"/>
        <v>#N/A</v>
      </c>
      <c r="AI438" s="406" t="e">
        <f t="shared" ca="1" si="164"/>
        <v>#N/A</v>
      </c>
      <c r="AJ438" s="406" t="e">
        <f t="shared" ca="1" si="164"/>
        <v>#N/A</v>
      </c>
      <c r="AK438" s="406" t="e">
        <f t="shared" ca="1" si="164"/>
        <v>#N/A</v>
      </c>
      <c r="AL438" s="406" t="e">
        <f t="shared" ca="1" si="164"/>
        <v>#N/A</v>
      </c>
      <c r="AM438" s="406" t="e">
        <f t="shared" ca="1" si="164"/>
        <v>#N/A</v>
      </c>
      <c r="AN438" s="406" t="e">
        <f t="shared" ca="1" si="164"/>
        <v>#N/A</v>
      </c>
      <c r="AO438" s="406" t="e">
        <f t="shared" ca="1" si="164"/>
        <v>#N/A</v>
      </c>
      <c r="AP438" s="406" t="e">
        <f t="shared" ca="1" si="164"/>
        <v>#N/A</v>
      </c>
      <c r="AQ438" s="406" t="e">
        <f t="shared" ca="1" si="164"/>
        <v>#N/A</v>
      </c>
      <c r="AR438" s="406" t="e">
        <f t="shared" ca="1" si="161"/>
        <v>#N/A</v>
      </c>
      <c r="AS438" s="406" t="e">
        <f t="shared" ca="1" si="161"/>
        <v>#N/A</v>
      </c>
      <c r="AT438" s="406" t="e">
        <f t="shared" ca="1" si="161"/>
        <v>#N/A</v>
      </c>
      <c r="AU438" s="406" t="e">
        <f t="shared" ref="AR438:BA463" ca="1" si="166">TRIM(INDIRECT("'" &amp; "TNX RTF" &amp; "'!" &amp; ADDRESS($A$3+$C438,AU$1)))</f>
        <v>#N/A</v>
      </c>
      <c r="AV438" s="406" t="e">
        <f t="shared" ca="1" si="166"/>
        <v>#N/A</v>
      </c>
      <c r="AW438" s="406" t="e">
        <f t="shared" ca="1" si="166"/>
        <v>#N/A</v>
      </c>
      <c r="AX438" s="406" t="e">
        <f t="shared" ca="1" si="166"/>
        <v>#N/A</v>
      </c>
      <c r="AY438" s="406" t="e">
        <f t="shared" ca="1" si="166"/>
        <v>#N/A</v>
      </c>
      <c r="AZ438" s="406" t="e">
        <f t="shared" ca="1" si="166"/>
        <v>#N/A</v>
      </c>
      <c r="BA438" s="406" t="e">
        <f t="shared" ca="1" si="166"/>
        <v>#N/A</v>
      </c>
      <c r="BB438" s="408"/>
      <c r="BC438" s="408" t="str">
        <f t="shared" ca="1" si="154"/>
        <v/>
      </c>
      <c r="BD438" s="408" t="s">
        <v>1278</v>
      </c>
      <c r="BE438" s="408" t="s">
        <v>1278</v>
      </c>
    </row>
    <row r="439" spans="3:57" ht="15" customHeight="1" x14ac:dyDescent="0.25">
      <c r="C439" s="406">
        <f t="shared" si="156"/>
        <v>437</v>
      </c>
      <c r="D439" s="406" t="e">
        <f t="shared" ca="1" si="165"/>
        <v>#N/A</v>
      </c>
      <c r="E439" s="406" t="e">
        <f t="shared" ca="1" si="165"/>
        <v>#N/A</v>
      </c>
      <c r="F439" s="406" t="e">
        <f t="shared" ca="1" si="165"/>
        <v>#N/A</v>
      </c>
      <c r="G439" s="406" t="e">
        <f t="shared" ca="1" si="165"/>
        <v>#N/A</v>
      </c>
      <c r="H439" s="406" t="e">
        <f t="shared" ca="1" si="165"/>
        <v>#N/A</v>
      </c>
      <c r="I439" s="406" t="e">
        <f t="shared" ca="1" si="165"/>
        <v>#N/A</v>
      </c>
      <c r="J439" s="406" t="e">
        <f t="shared" ca="1" si="165"/>
        <v>#N/A</v>
      </c>
      <c r="K439" s="406" t="e">
        <f t="shared" ca="1" si="165"/>
        <v>#N/A</v>
      </c>
      <c r="L439" s="406" t="e">
        <f t="shared" ca="1" si="165"/>
        <v>#N/A</v>
      </c>
      <c r="M439" s="406" t="e">
        <f t="shared" ca="1" si="165"/>
        <v>#N/A</v>
      </c>
      <c r="N439" s="406" t="e">
        <f t="shared" ca="1" si="163"/>
        <v>#N/A</v>
      </c>
      <c r="O439" s="406" t="e">
        <f t="shared" ca="1" si="163"/>
        <v>#N/A</v>
      </c>
      <c r="P439" s="406" t="e">
        <f t="shared" ca="1" si="163"/>
        <v>#N/A</v>
      </c>
      <c r="Q439" s="406" t="e">
        <f t="shared" ca="1" si="163"/>
        <v>#N/A</v>
      </c>
      <c r="R439" s="406" t="e">
        <f t="shared" ca="1" si="163"/>
        <v>#N/A</v>
      </c>
      <c r="S439" s="406" t="e">
        <f t="shared" ca="1" si="163"/>
        <v>#N/A</v>
      </c>
      <c r="T439" s="406" t="e">
        <f t="shared" ca="1" si="163"/>
        <v>#N/A</v>
      </c>
      <c r="U439" s="406" t="e">
        <f t="shared" ca="1" si="163"/>
        <v>#N/A</v>
      </c>
      <c r="V439" s="406" t="e">
        <f t="shared" ca="1" si="163"/>
        <v>#N/A</v>
      </c>
      <c r="W439" s="406" t="e">
        <f t="shared" ca="1" si="163"/>
        <v>#N/A</v>
      </c>
      <c r="X439" s="406" t="e">
        <f t="shared" ca="1" si="162"/>
        <v>#N/A</v>
      </c>
      <c r="Y439" s="406" t="e">
        <f t="shared" ca="1" si="162"/>
        <v>#N/A</v>
      </c>
      <c r="Z439" s="406" t="e">
        <f t="shared" ca="1" si="162"/>
        <v>#N/A</v>
      </c>
      <c r="AA439" s="406" t="e">
        <f t="shared" ca="1" si="162"/>
        <v>#N/A</v>
      </c>
      <c r="AB439" s="406" t="e">
        <f t="shared" ca="1" si="162"/>
        <v>#N/A</v>
      </c>
      <c r="AC439" s="406" t="e">
        <f t="shared" ca="1" si="162"/>
        <v>#N/A</v>
      </c>
      <c r="AD439" s="406" t="e">
        <f t="shared" ca="1" si="162"/>
        <v>#N/A</v>
      </c>
      <c r="AE439" s="406" t="e">
        <f t="shared" ca="1" si="162"/>
        <v>#N/A</v>
      </c>
      <c r="AF439" s="406" t="e">
        <f t="shared" ca="1" si="162"/>
        <v>#N/A</v>
      </c>
      <c r="AG439" s="406" t="e">
        <f t="shared" ca="1" si="162"/>
        <v>#N/A</v>
      </c>
      <c r="AH439" s="406" t="e">
        <f t="shared" ca="1" si="164"/>
        <v>#N/A</v>
      </c>
      <c r="AI439" s="406" t="e">
        <f t="shared" ca="1" si="164"/>
        <v>#N/A</v>
      </c>
      <c r="AJ439" s="406" t="e">
        <f t="shared" ca="1" si="164"/>
        <v>#N/A</v>
      </c>
      <c r="AK439" s="406" t="e">
        <f t="shared" ca="1" si="164"/>
        <v>#N/A</v>
      </c>
      <c r="AL439" s="406" t="e">
        <f t="shared" ca="1" si="164"/>
        <v>#N/A</v>
      </c>
      <c r="AM439" s="406" t="e">
        <f t="shared" ca="1" si="164"/>
        <v>#N/A</v>
      </c>
      <c r="AN439" s="406" t="e">
        <f t="shared" ca="1" si="164"/>
        <v>#N/A</v>
      </c>
      <c r="AO439" s="406" t="e">
        <f t="shared" ca="1" si="164"/>
        <v>#N/A</v>
      </c>
      <c r="AP439" s="406" t="e">
        <f t="shared" ca="1" si="164"/>
        <v>#N/A</v>
      </c>
      <c r="AQ439" s="406" t="e">
        <f t="shared" ca="1" si="164"/>
        <v>#N/A</v>
      </c>
      <c r="AR439" s="406" t="e">
        <f t="shared" ca="1" si="166"/>
        <v>#N/A</v>
      </c>
      <c r="AS439" s="406" t="e">
        <f t="shared" ca="1" si="166"/>
        <v>#N/A</v>
      </c>
      <c r="AT439" s="406" t="e">
        <f t="shared" ca="1" si="166"/>
        <v>#N/A</v>
      </c>
      <c r="AU439" s="406" t="e">
        <f t="shared" ca="1" si="166"/>
        <v>#N/A</v>
      </c>
      <c r="AV439" s="406" t="e">
        <f t="shared" ca="1" si="166"/>
        <v>#N/A</v>
      </c>
      <c r="AW439" s="406" t="e">
        <f t="shared" ca="1" si="166"/>
        <v>#N/A</v>
      </c>
      <c r="AX439" s="406" t="e">
        <f t="shared" ca="1" si="166"/>
        <v>#N/A</v>
      </c>
      <c r="AY439" s="406" t="e">
        <f t="shared" ca="1" si="166"/>
        <v>#N/A</v>
      </c>
      <c r="AZ439" s="406" t="e">
        <f t="shared" ca="1" si="166"/>
        <v>#N/A</v>
      </c>
      <c r="BA439" s="406" t="e">
        <f t="shared" ca="1" si="166"/>
        <v>#N/A</v>
      </c>
      <c r="BB439" s="408"/>
      <c r="BC439" s="408" t="str">
        <f t="shared" ca="1" si="154"/>
        <v/>
      </c>
      <c r="BD439" s="408" t="s">
        <v>1278</v>
      </c>
      <c r="BE439" s="408" t="s">
        <v>1278</v>
      </c>
    </row>
    <row r="440" spans="3:57" x14ac:dyDescent="0.25">
      <c r="C440" s="406">
        <f t="shared" si="156"/>
        <v>438</v>
      </c>
      <c r="D440" s="406" t="e">
        <f t="shared" ca="1" si="165"/>
        <v>#N/A</v>
      </c>
      <c r="E440" s="406" t="e">
        <f t="shared" ca="1" si="165"/>
        <v>#N/A</v>
      </c>
      <c r="F440" s="406" t="e">
        <f t="shared" ca="1" si="165"/>
        <v>#N/A</v>
      </c>
      <c r="G440" s="406" t="e">
        <f t="shared" ca="1" si="165"/>
        <v>#N/A</v>
      </c>
      <c r="H440" s="406" t="e">
        <f t="shared" ca="1" si="165"/>
        <v>#N/A</v>
      </c>
      <c r="I440" s="406" t="e">
        <f t="shared" ca="1" si="165"/>
        <v>#N/A</v>
      </c>
      <c r="J440" s="406" t="e">
        <f t="shared" ca="1" si="165"/>
        <v>#N/A</v>
      </c>
      <c r="K440" s="406" t="e">
        <f t="shared" ca="1" si="165"/>
        <v>#N/A</v>
      </c>
      <c r="L440" s="406" t="e">
        <f t="shared" ca="1" si="165"/>
        <v>#N/A</v>
      </c>
      <c r="M440" s="406" t="e">
        <f t="shared" ca="1" si="165"/>
        <v>#N/A</v>
      </c>
      <c r="N440" s="406" t="e">
        <f t="shared" ca="1" si="163"/>
        <v>#N/A</v>
      </c>
      <c r="O440" s="406" t="e">
        <f t="shared" ca="1" si="163"/>
        <v>#N/A</v>
      </c>
      <c r="P440" s="406" t="e">
        <f t="shared" ca="1" si="163"/>
        <v>#N/A</v>
      </c>
      <c r="Q440" s="406" t="e">
        <f t="shared" ca="1" si="163"/>
        <v>#N/A</v>
      </c>
      <c r="R440" s="406" t="e">
        <f t="shared" ca="1" si="163"/>
        <v>#N/A</v>
      </c>
      <c r="S440" s="406" t="e">
        <f t="shared" ca="1" si="163"/>
        <v>#N/A</v>
      </c>
      <c r="T440" s="406" t="e">
        <f t="shared" ca="1" si="163"/>
        <v>#N/A</v>
      </c>
      <c r="U440" s="406" t="e">
        <f t="shared" ca="1" si="163"/>
        <v>#N/A</v>
      </c>
      <c r="V440" s="406" t="e">
        <f t="shared" ca="1" si="163"/>
        <v>#N/A</v>
      </c>
      <c r="W440" s="406" t="e">
        <f t="shared" ca="1" si="163"/>
        <v>#N/A</v>
      </c>
      <c r="X440" s="406" t="e">
        <f t="shared" ca="1" si="162"/>
        <v>#N/A</v>
      </c>
      <c r="Y440" s="406" t="e">
        <f t="shared" ca="1" si="162"/>
        <v>#N/A</v>
      </c>
      <c r="Z440" s="406" t="e">
        <f t="shared" ca="1" si="162"/>
        <v>#N/A</v>
      </c>
      <c r="AA440" s="406" t="e">
        <f t="shared" ca="1" si="162"/>
        <v>#N/A</v>
      </c>
      <c r="AB440" s="406" t="e">
        <f t="shared" ca="1" si="162"/>
        <v>#N/A</v>
      </c>
      <c r="AC440" s="406" t="e">
        <f t="shared" ca="1" si="162"/>
        <v>#N/A</v>
      </c>
      <c r="AD440" s="406" t="e">
        <f t="shared" ca="1" si="162"/>
        <v>#N/A</v>
      </c>
      <c r="AE440" s="406" t="e">
        <f t="shared" ca="1" si="162"/>
        <v>#N/A</v>
      </c>
      <c r="AF440" s="406" t="e">
        <f t="shared" ca="1" si="162"/>
        <v>#N/A</v>
      </c>
      <c r="AG440" s="406" t="e">
        <f t="shared" ca="1" si="162"/>
        <v>#N/A</v>
      </c>
      <c r="AH440" s="406" t="e">
        <f t="shared" ca="1" si="164"/>
        <v>#N/A</v>
      </c>
      <c r="AI440" s="406" t="e">
        <f t="shared" ca="1" si="164"/>
        <v>#N/A</v>
      </c>
      <c r="AJ440" s="406" t="e">
        <f t="shared" ca="1" si="164"/>
        <v>#N/A</v>
      </c>
      <c r="AK440" s="406" t="e">
        <f t="shared" ca="1" si="164"/>
        <v>#N/A</v>
      </c>
      <c r="AL440" s="406" t="e">
        <f t="shared" ca="1" si="164"/>
        <v>#N/A</v>
      </c>
      <c r="AM440" s="406" t="e">
        <f t="shared" ca="1" si="164"/>
        <v>#N/A</v>
      </c>
      <c r="AN440" s="406" t="e">
        <f t="shared" ca="1" si="164"/>
        <v>#N/A</v>
      </c>
      <c r="AO440" s="406" t="e">
        <f t="shared" ca="1" si="164"/>
        <v>#N/A</v>
      </c>
      <c r="AP440" s="406" t="e">
        <f t="shared" ca="1" si="164"/>
        <v>#N/A</v>
      </c>
      <c r="AQ440" s="406" t="e">
        <f t="shared" ca="1" si="164"/>
        <v>#N/A</v>
      </c>
      <c r="AR440" s="406" t="e">
        <f t="shared" ca="1" si="166"/>
        <v>#N/A</v>
      </c>
      <c r="AS440" s="406" t="e">
        <f t="shared" ca="1" si="166"/>
        <v>#N/A</v>
      </c>
      <c r="AT440" s="406" t="e">
        <f t="shared" ca="1" si="166"/>
        <v>#N/A</v>
      </c>
      <c r="AU440" s="406" t="e">
        <f t="shared" ca="1" si="166"/>
        <v>#N/A</v>
      </c>
      <c r="AV440" s="406" t="e">
        <f t="shared" ca="1" si="166"/>
        <v>#N/A</v>
      </c>
      <c r="AW440" s="406" t="e">
        <f t="shared" ca="1" si="166"/>
        <v>#N/A</v>
      </c>
      <c r="AX440" s="406" t="e">
        <f t="shared" ca="1" si="166"/>
        <v>#N/A</v>
      </c>
      <c r="AY440" s="406" t="e">
        <f t="shared" ca="1" si="166"/>
        <v>#N/A</v>
      </c>
      <c r="AZ440" s="406" t="e">
        <f t="shared" ca="1" si="166"/>
        <v>#N/A</v>
      </c>
      <c r="BA440" s="406" t="e">
        <f t="shared" ca="1" si="166"/>
        <v>#N/A</v>
      </c>
      <c r="BB440" s="408"/>
      <c r="BC440" s="408" t="str">
        <f t="shared" ca="1" si="154"/>
        <v/>
      </c>
      <c r="BD440" s="408" t="s">
        <v>1278</v>
      </c>
      <c r="BE440" s="408" t="s">
        <v>1278</v>
      </c>
    </row>
    <row r="441" spans="3:57" x14ac:dyDescent="0.25">
      <c r="C441" s="406">
        <f t="shared" si="156"/>
        <v>439</v>
      </c>
      <c r="D441" s="406" t="e">
        <f t="shared" ca="1" si="165"/>
        <v>#N/A</v>
      </c>
      <c r="E441" s="406" t="e">
        <f t="shared" ca="1" si="165"/>
        <v>#N/A</v>
      </c>
      <c r="F441" s="406" t="e">
        <f t="shared" ca="1" si="165"/>
        <v>#N/A</v>
      </c>
      <c r="G441" s="406" t="e">
        <f t="shared" ca="1" si="165"/>
        <v>#N/A</v>
      </c>
      <c r="H441" s="406" t="e">
        <f t="shared" ca="1" si="165"/>
        <v>#N/A</v>
      </c>
      <c r="I441" s="406" t="e">
        <f t="shared" ca="1" si="165"/>
        <v>#N/A</v>
      </c>
      <c r="J441" s="406" t="e">
        <f t="shared" ca="1" si="165"/>
        <v>#N/A</v>
      </c>
      <c r="K441" s="406" t="e">
        <f t="shared" ca="1" si="165"/>
        <v>#N/A</v>
      </c>
      <c r="L441" s="406" t="e">
        <f t="shared" ca="1" si="165"/>
        <v>#N/A</v>
      </c>
      <c r="M441" s="406" t="e">
        <f t="shared" ca="1" si="165"/>
        <v>#N/A</v>
      </c>
      <c r="N441" s="406" t="e">
        <f t="shared" ca="1" si="163"/>
        <v>#N/A</v>
      </c>
      <c r="O441" s="406" t="e">
        <f t="shared" ca="1" si="163"/>
        <v>#N/A</v>
      </c>
      <c r="P441" s="406" t="e">
        <f t="shared" ca="1" si="163"/>
        <v>#N/A</v>
      </c>
      <c r="Q441" s="406" t="e">
        <f t="shared" ca="1" si="163"/>
        <v>#N/A</v>
      </c>
      <c r="R441" s="406" t="e">
        <f t="shared" ca="1" si="163"/>
        <v>#N/A</v>
      </c>
      <c r="S441" s="406" t="e">
        <f t="shared" ca="1" si="163"/>
        <v>#N/A</v>
      </c>
      <c r="T441" s="406" t="e">
        <f t="shared" ca="1" si="163"/>
        <v>#N/A</v>
      </c>
      <c r="U441" s="406" t="e">
        <f t="shared" ca="1" si="163"/>
        <v>#N/A</v>
      </c>
      <c r="V441" s="406" t="e">
        <f t="shared" ca="1" si="163"/>
        <v>#N/A</v>
      </c>
      <c r="W441" s="406" t="e">
        <f t="shared" ca="1" si="163"/>
        <v>#N/A</v>
      </c>
      <c r="X441" s="406" t="e">
        <f t="shared" ca="1" si="162"/>
        <v>#N/A</v>
      </c>
      <c r="Y441" s="406" t="e">
        <f t="shared" ca="1" si="162"/>
        <v>#N/A</v>
      </c>
      <c r="Z441" s="406" t="e">
        <f t="shared" ca="1" si="162"/>
        <v>#N/A</v>
      </c>
      <c r="AA441" s="406" t="e">
        <f t="shared" ca="1" si="162"/>
        <v>#N/A</v>
      </c>
      <c r="AB441" s="406" t="e">
        <f t="shared" ca="1" si="162"/>
        <v>#N/A</v>
      </c>
      <c r="AC441" s="406" t="e">
        <f t="shared" ca="1" si="162"/>
        <v>#N/A</v>
      </c>
      <c r="AD441" s="406" t="e">
        <f t="shared" ca="1" si="162"/>
        <v>#N/A</v>
      </c>
      <c r="AE441" s="406" t="e">
        <f t="shared" ca="1" si="162"/>
        <v>#N/A</v>
      </c>
      <c r="AF441" s="406" t="e">
        <f t="shared" ca="1" si="162"/>
        <v>#N/A</v>
      </c>
      <c r="AG441" s="406" t="e">
        <f t="shared" ca="1" si="162"/>
        <v>#N/A</v>
      </c>
      <c r="AH441" s="406" t="e">
        <f t="shared" ca="1" si="164"/>
        <v>#N/A</v>
      </c>
      <c r="AI441" s="406" t="e">
        <f t="shared" ca="1" si="164"/>
        <v>#N/A</v>
      </c>
      <c r="AJ441" s="406" t="e">
        <f t="shared" ca="1" si="164"/>
        <v>#N/A</v>
      </c>
      <c r="AK441" s="406" t="e">
        <f t="shared" ca="1" si="164"/>
        <v>#N/A</v>
      </c>
      <c r="AL441" s="406" t="e">
        <f t="shared" ca="1" si="164"/>
        <v>#N/A</v>
      </c>
      <c r="AM441" s="406" t="e">
        <f t="shared" ca="1" si="164"/>
        <v>#N/A</v>
      </c>
      <c r="AN441" s="406" t="e">
        <f t="shared" ca="1" si="164"/>
        <v>#N/A</v>
      </c>
      <c r="AO441" s="406" t="e">
        <f t="shared" ca="1" si="164"/>
        <v>#N/A</v>
      </c>
      <c r="AP441" s="406" t="e">
        <f t="shared" ca="1" si="164"/>
        <v>#N/A</v>
      </c>
      <c r="AQ441" s="406" t="e">
        <f t="shared" ca="1" si="164"/>
        <v>#N/A</v>
      </c>
      <c r="AR441" s="406" t="e">
        <f t="shared" ca="1" si="166"/>
        <v>#N/A</v>
      </c>
      <c r="AS441" s="406" t="e">
        <f t="shared" ca="1" si="166"/>
        <v>#N/A</v>
      </c>
      <c r="AT441" s="406" t="e">
        <f t="shared" ca="1" si="166"/>
        <v>#N/A</v>
      </c>
      <c r="AU441" s="406" t="e">
        <f t="shared" ca="1" si="166"/>
        <v>#N/A</v>
      </c>
      <c r="AV441" s="406" t="e">
        <f t="shared" ca="1" si="166"/>
        <v>#N/A</v>
      </c>
      <c r="AW441" s="406" t="e">
        <f t="shared" ca="1" si="166"/>
        <v>#N/A</v>
      </c>
      <c r="AX441" s="406" t="e">
        <f t="shared" ca="1" si="166"/>
        <v>#N/A</v>
      </c>
      <c r="AY441" s="406" t="e">
        <f t="shared" ca="1" si="166"/>
        <v>#N/A</v>
      </c>
      <c r="AZ441" s="406" t="e">
        <f t="shared" ca="1" si="166"/>
        <v>#N/A</v>
      </c>
      <c r="BA441" s="406" t="e">
        <f t="shared" ca="1" si="166"/>
        <v>#N/A</v>
      </c>
      <c r="BB441" s="408"/>
      <c r="BC441" s="408" t="str">
        <f t="shared" ca="1" si="154"/>
        <v/>
      </c>
      <c r="BD441" s="408" t="s">
        <v>1278</v>
      </c>
      <c r="BE441" s="408" t="s">
        <v>1278</v>
      </c>
    </row>
    <row r="442" spans="3:57" ht="15" customHeight="1" x14ac:dyDescent="0.25">
      <c r="C442" s="406">
        <f t="shared" si="156"/>
        <v>440</v>
      </c>
      <c r="D442" s="406" t="e">
        <f t="shared" ca="1" si="165"/>
        <v>#N/A</v>
      </c>
      <c r="E442" s="406" t="e">
        <f t="shared" ca="1" si="165"/>
        <v>#N/A</v>
      </c>
      <c r="F442" s="406" t="e">
        <f t="shared" ca="1" si="165"/>
        <v>#N/A</v>
      </c>
      <c r="G442" s="406" t="e">
        <f t="shared" ca="1" si="165"/>
        <v>#N/A</v>
      </c>
      <c r="H442" s="406" t="e">
        <f t="shared" ca="1" si="165"/>
        <v>#N/A</v>
      </c>
      <c r="I442" s="406" t="e">
        <f t="shared" ca="1" si="165"/>
        <v>#N/A</v>
      </c>
      <c r="J442" s="406" t="e">
        <f t="shared" ca="1" si="165"/>
        <v>#N/A</v>
      </c>
      <c r="K442" s="406" t="e">
        <f t="shared" ca="1" si="165"/>
        <v>#N/A</v>
      </c>
      <c r="L442" s="406" t="e">
        <f t="shared" ca="1" si="165"/>
        <v>#N/A</v>
      </c>
      <c r="M442" s="406" t="e">
        <f t="shared" ca="1" si="165"/>
        <v>#N/A</v>
      </c>
      <c r="N442" s="406" t="e">
        <f t="shared" ca="1" si="163"/>
        <v>#N/A</v>
      </c>
      <c r="O442" s="406" t="e">
        <f t="shared" ca="1" si="163"/>
        <v>#N/A</v>
      </c>
      <c r="P442" s="406" t="e">
        <f t="shared" ca="1" si="163"/>
        <v>#N/A</v>
      </c>
      <c r="Q442" s="406" t="e">
        <f t="shared" ca="1" si="163"/>
        <v>#N/A</v>
      </c>
      <c r="R442" s="406" t="e">
        <f t="shared" ca="1" si="163"/>
        <v>#N/A</v>
      </c>
      <c r="S442" s="406" t="e">
        <f t="shared" ca="1" si="163"/>
        <v>#N/A</v>
      </c>
      <c r="T442" s="406" t="e">
        <f t="shared" ca="1" si="163"/>
        <v>#N/A</v>
      </c>
      <c r="U442" s="406" t="e">
        <f t="shared" ca="1" si="163"/>
        <v>#N/A</v>
      </c>
      <c r="V442" s="406" t="e">
        <f t="shared" ca="1" si="163"/>
        <v>#N/A</v>
      </c>
      <c r="W442" s="406" t="e">
        <f t="shared" ca="1" si="163"/>
        <v>#N/A</v>
      </c>
      <c r="X442" s="406" t="e">
        <f t="shared" ca="1" si="162"/>
        <v>#N/A</v>
      </c>
      <c r="Y442" s="406" t="e">
        <f t="shared" ref="X442:AG467" ca="1" si="167">TRIM(INDIRECT("'" &amp; "TNX RTF" &amp; "'!" &amp; ADDRESS($A$3+$C442,Y$1)))</f>
        <v>#N/A</v>
      </c>
      <c r="Z442" s="406" t="e">
        <f t="shared" ca="1" si="167"/>
        <v>#N/A</v>
      </c>
      <c r="AA442" s="406" t="e">
        <f t="shared" ca="1" si="167"/>
        <v>#N/A</v>
      </c>
      <c r="AB442" s="406" t="e">
        <f t="shared" ca="1" si="167"/>
        <v>#N/A</v>
      </c>
      <c r="AC442" s="406" t="e">
        <f t="shared" ca="1" si="167"/>
        <v>#N/A</v>
      </c>
      <c r="AD442" s="406" t="e">
        <f t="shared" ca="1" si="167"/>
        <v>#N/A</v>
      </c>
      <c r="AE442" s="406" t="e">
        <f t="shared" ca="1" si="167"/>
        <v>#N/A</v>
      </c>
      <c r="AF442" s="406" t="e">
        <f t="shared" ca="1" si="167"/>
        <v>#N/A</v>
      </c>
      <c r="AG442" s="406" t="e">
        <f t="shared" ca="1" si="167"/>
        <v>#N/A</v>
      </c>
      <c r="AH442" s="406" t="e">
        <f t="shared" ca="1" si="164"/>
        <v>#N/A</v>
      </c>
      <c r="AI442" s="406" t="e">
        <f t="shared" ca="1" si="164"/>
        <v>#N/A</v>
      </c>
      <c r="AJ442" s="406" t="e">
        <f t="shared" ca="1" si="164"/>
        <v>#N/A</v>
      </c>
      <c r="AK442" s="406" t="e">
        <f t="shared" ca="1" si="164"/>
        <v>#N/A</v>
      </c>
      <c r="AL442" s="406" t="e">
        <f t="shared" ca="1" si="164"/>
        <v>#N/A</v>
      </c>
      <c r="AM442" s="406" t="e">
        <f t="shared" ca="1" si="164"/>
        <v>#N/A</v>
      </c>
      <c r="AN442" s="406" t="e">
        <f t="shared" ca="1" si="164"/>
        <v>#N/A</v>
      </c>
      <c r="AO442" s="406" t="e">
        <f t="shared" ca="1" si="164"/>
        <v>#N/A</v>
      </c>
      <c r="AP442" s="406" t="e">
        <f t="shared" ca="1" si="164"/>
        <v>#N/A</v>
      </c>
      <c r="AQ442" s="406" t="e">
        <f t="shared" ca="1" si="164"/>
        <v>#N/A</v>
      </c>
      <c r="AR442" s="406" t="e">
        <f t="shared" ca="1" si="166"/>
        <v>#N/A</v>
      </c>
      <c r="AS442" s="406" t="e">
        <f t="shared" ca="1" si="166"/>
        <v>#N/A</v>
      </c>
      <c r="AT442" s="406" t="e">
        <f t="shared" ca="1" si="166"/>
        <v>#N/A</v>
      </c>
      <c r="AU442" s="406" t="e">
        <f t="shared" ca="1" si="166"/>
        <v>#N/A</v>
      </c>
      <c r="AV442" s="406" t="e">
        <f t="shared" ca="1" si="166"/>
        <v>#N/A</v>
      </c>
      <c r="AW442" s="406" t="e">
        <f t="shared" ca="1" si="166"/>
        <v>#N/A</v>
      </c>
      <c r="AX442" s="406" t="e">
        <f t="shared" ca="1" si="166"/>
        <v>#N/A</v>
      </c>
      <c r="AY442" s="406" t="e">
        <f t="shared" ca="1" si="166"/>
        <v>#N/A</v>
      </c>
      <c r="AZ442" s="406" t="e">
        <f t="shared" ca="1" si="166"/>
        <v>#N/A</v>
      </c>
      <c r="BA442" s="406" t="e">
        <f t="shared" ca="1" si="166"/>
        <v>#N/A</v>
      </c>
      <c r="BB442" s="408"/>
      <c r="BC442" s="408" t="str">
        <f t="shared" ca="1" si="154"/>
        <v/>
      </c>
      <c r="BD442" s="408" t="s">
        <v>1278</v>
      </c>
      <c r="BE442" s="408" t="s">
        <v>1278</v>
      </c>
    </row>
    <row r="443" spans="3:57" x14ac:dyDescent="0.25">
      <c r="C443" s="406">
        <f t="shared" si="156"/>
        <v>441</v>
      </c>
      <c r="D443" s="406" t="e">
        <f t="shared" ca="1" si="165"/>
        <v>#N/A</v>
      </c>
      <c r="E443" s="406" t="e">
        <f t="shared" ca="1" si="165"/>
        <v>#N/A</v>
      </c>
      <c r="F443" s="406" t="e">
        <f t="shared" ca="1" si="165"/>
        <v>#N/A</v>
      </c>
      <c r="G443" s="406" t="e">
        <f t="shared" ca="1" si="165"/>
        <v>#N/A</v>
      </c>
      <c r="H443" s="406" t="e">
        <f t="shared" ca="1" si="165"/>
        <v>#N/A</v>
      </c>
      <c r="I443" s="406" t="e">
        <f t="shared" ca="1" si="165"/>
        <v>#N/A</v>
      </c>
      <c r="J443" s="406" t="e">
        <f t="shared" ca="1" si="165"/>
        <v>#N/A</v>
      </c>
      <c r="K443" s="406" t="e">
        <f t="shared" ca="1" si="165"/>
        <v>#N/A</v>
      </c>
      <c r="L443" s="406" t="e">
        <f t="shared" ca="1" si="165"/>
        <v>#N/A</v>
      </c>
      <c r="M443" s="406" t="e">
        <f t="shared" ca="1" si="165"/>
        <v>#N/A</v>
      </c>
      <c r="N443" s="406" t="e">
        <f t="shared" ca="1" si="163"/>
        <v>#N/A</v>
      </c>
      <c r="O443" s="406" t="e">
        <f t="shared" ca="1" si="163"/>
        <v>#N/A</v>
      </c>
      <c r="P443" s="406" t="e">
        <f t="shared" ca="1" si="163"/>
        <v>#N/A</v>
      </c>
      <c r="Q443" s="406" t="e">
        <f t="shared" ca="1" si="163"/>
        <v>#N/A</v>
      </c>
      <c r="R443" s="406" t="e">
        <f t="shared" ca="1" si="163"/>
        <v>#N/A</v>
      </c>
      <c r="S443" s="406" t="e">
        <f t="shared" ca="1" si="163"/>
        <v>#N/A</v>
      </c>
      <c r="T443" s="406" t="e">
        <f t="shared" ca="1" si="163"/>
        <v>#N/A</v>
      </c>
      <c r="U443" s="406" t="e">
        <f t="shared" ca="1" si="163"/>
        <v>#N/A</v>
      </c>
      <c r="V443" s="406" t="e">
        <f t="shared" ca="1" si="163"/>
        <v>#N/A</v>
      </c>
      <c r="W443" s="406" t="e">
        <f t="shared" ca="1" si="163"/>
        <v>#N/A</v>
      </c>
      <c r="X443" s="406" t="e">
        <f t="shared" ca="1" si="167"/>
        <v>#N/A</v>
      </c>
      <c r="Y443" s="406" t="e">
        <f t="shared" ca="1" si="167"/>
        <v>#N/A</v>
      </c>
      <c r="Z443" s="406" t="e">
        <f t="shared" ca="1" si="167"/>
        <v>#N/A</v>
      </c>
      <c r="AA443" s="406" t="e">
        <f t="shared" ca="1" si="167"/>
        <v>#N/A</v>
      </c>
      <c r="AB443" s="406" t="e">
        <f t="shared" ca="1" si="167"/>
        <v>#N/A</v>
      </c>
      <c r="AC443" s="406" t="e">
        <f t="shared" ca="1" si="167"/>
        <v>#N/A</v>
      </c>
      <c r="AD443" s="406" t="e">
        <f t="shared" ca="1" si="167"/>
        <v>#N/A</v>
      </c>
      <c r="AE443" s="406" t="e">
        <f t="shared" ca="1" si="167"/>
        <v>#N/A</v>
      </c>
      <c r="AF443" s="406" t="e">
        <f t="shared" ca="1" si="167"/>
        <v>#N/A</v>
      </c>
      <c r="AG443" s="406" t="e">
        <f t="shared" ca="1" si="167"/>
        <v>#N/A</v>
      </c>
      <c r="AH443" s="406" t="e">
        <f t="shared" ca="1" si="164"/>
        <v>#N/A</v>
      </c>
      <c r="AI443" s="406" t="e">
        <f t="shared" ca="1" si="164"/>
        <v>#N/A</v>
      </c>
      <c r="AJ443" s="406" t="e">
        <f t="shared" ca="1" si="164"/>
        <v>#N/A</v>
      </c>
      <c r="AK443" s="406" t="e">
        <f t="shared" ca="1" si="164"/>
        <v>#N/A</v>
      </c>
      <c r="AL443" s="406" t="e">
        <f t="shared" ca="1" si="164"/>
        <v>#N/A</v>
      </c>
      <c r="AM443" s="406" t="e">
        <f t="shared" ca="1" si="164"/>
        <v>#N/A</v>
      </c>
      <c r="AN443" s="406" t="e">
        <f t="shared" ca="1" si="164"/>
        <v>#N/A</v>
      </c>
      <c r="AO443" s="406" t="e">
        <f t="shared" ca="1" si="164"/>
        <v>#N/A</v>
      </c>
      <c r="AP443" s="406" t="e">
        <f t="shared" ca="1" si="164"/>
        <v>#N/A</v>
      </c>
      <c r="AQ443" s="406" t="e">
        <f t="shared" ca="1" si="164"/>
        <v>#N/A</v>
      </c>
      <c r="AR443" s="406" t="e">
        <f t="shared" ca="1" si="166"/>
        <v>#N/A</v>
      </c>
      <c r="AS443" s="406" t="e">
        <f t="shared" ca="1" si="166"/>
        <v>#N/A</v>
      </c>
      <c r="AT443" s="406" t="e">
        <f t="shared" ca="1" si="166"/>
        <v>#N/A</v>
      </c>
      <c r="AU443" s="406" t="e">
        <f t="shared" ca="1" si="166"/>
        <v>#N/A</v>
      </c>
      <c r="AV443" s="406" t="e">
        <f t="shared" ca="1" si="166"/>
        <v>#N/A</v>
      </c>
      <c r="AW443" s="406" t="e">
        <f t="shared" ca="1" si="166"/>
        <v>#N/A</v>
      </c>
      <c r="AX443" s="406" t="e">
        <f t="shared" ca="1" si="166"/>
        <v>#N/A</v>
      </c>
      <c r="AY443" s="406" t="e">
        <f t="shared" ca="1" si="166"/>
        <v>#N/A</v>
      </c>
      <c r="AZ443" s="406" t="e">
        <f t="shared" ca="1" si="166"/>
        <v>#N/A</v>
      </c>
      <c r="BA443" s="406" t="e">
        <f t="shared" ca="1" si="166"/>
        <v>#N/A</v>
      </c>
      <c r="BB443" s="408"/>
      <c r="BC443" s="408" t="str">
        <f t="shared" ca="1" si="154"/>
        <v/>
      </c>
      <c r="BD443" s="408" t="s">
        <v>1278</v>
      </c>
      <c r="BE443" s="408" t="s">
        <v>1278</v>
      </c>
    </row>
    <row r="444" spans="3:57" x14ac:dyDescent="0.25">
      <c r="C444" s="406">
        <f t="shared" si="156"/>
        <v>442</v>
      </c>
      <c r="D444" s="406" t="e">
        <f t="shared" ca="1" si="165"/>
        <v>#N/A</v>
      </c>
      <c r="E444" s="406" t="e">
        <f t="shared" ca="1" si="165"/>
        <v>#N/A</v>
      </c>
      <c r="F444" s="406" t="e">
        <f t="shared" ca="1" si="165"/>
        <v>#N/A</v>
      </c>
      <c r="G444" s="406" t="e">
        <f t="shared" ca="1" si="165"/>
        <v>#N/A</v>
      </c>
      <c r="H444" s="406" t="e">
        <f t="shared" ca="1" si="165"/>
        <v>#N/A</v>
      </c>
      <c r="I444" s="406" t="e">
        <f t="shared" ca="1" si="165"/>
        <v>#N/A</v>
      </c>
      <c r="J444" s="406" t="e">
        <f t="shared" ca="1" si="165"/>
        <v>#N/A</v>
      </c>
      <c r="K444" s="406" t="e">
        <f t="shared" ca="1" si="165"/>
        <v>#N/A</v>
      </c>
      <c r="L444" s="406" t="e">
        <f t="shared" ca="1" si="165"/>
        <v>#N/A</v>
      </c>
      <c r="M444" s="406" t="e">
        <f t="shared" ca="1" si="165"/>
        <v>#N/A</v>
      </c>
      <c r="N444" s="406" t="e">
        <f t="shared" ca="1" si="163"/>
        <v>#N/A</v>
      </c>
      <c r="O444" s="406" t="e">
        <f t="shared" ca="1" si="163"/>
        <v>#N/A</v>
      </c>
      <c r="P444" s="406" t="e">
        <f t="shared" ca="1" si="163"/>
        <v>#N/A</v>
      </c>
      <c r="Q444" s="406" t="e">
        <f t="shared" ca="1" si="163"/>
        <v>#N/A</v>
      </c>
      <c r="R444" s="406" t="e">
        <f t="shared" ca="1" si="163"/>
        <v>#N/A</v>
      </c>
      <c r="S444" s="406" t="e">
        <f t="shared" ca="1" si="163"/>
        <v>#N/A</v>
      </c>
      <c r="T444" s="406" t="e">
        <f t="shared" ca="1" si="163"/>
        <v>#N/A</v>
      </c>
      <c r="U444" s="406" t="e">
        <f t="shared" ca="1" si="163"/>
        <v>#N/A</v>
      </c>
      <c r="V444" s="406" t="e">
        <f t="shared" ca="1" si="163"/>
        <v>#N/A</v>
      </c>
      <c r="W444" s="406" t="e">
        <f t="shared" ca="1" si="163"/>
        <v>#N/A</v>
      </c>
      <c r="X444" s="406" t="e">
        <f t="shared" ca="1" si="167"/>
        <v>#N/A</v>
      </c>
      <c r="Y444" s="406" t="e">
        <f t="shared" ca="1" si="167"/>
        <v>#N/A</v>
      </c>
      <c r="Z444" s="406" t="e">
        <f t="shared" ca="1" si="167"/>
        <v>#N/A</v>
      </c>
      <c r="AA444" s="406" t="e">
        <f t="shared" ca="1" si="167"/>
        <v>#N/A</v>
      </c>
      <c r="AB444" s="406" t="e">
        <f t="shared" ca="1" si="167"/>
        <v>#N/A</v>
      </c>
      <c r="AC444" s="406" t="e">
        <f t="shared" ca="1" si="167"/>
        <v>#N/A</v>
      </c>
      <c r="AD444" s="406" t="e">
        <f t="shared" ca="1" si="167"/>
        <v>#N/A</v>
      </c>
      <c r="AE444" s="406" t="e">
        <f t="shared" ca="1" si="167"/>
        <v>#N/A</v>
      </c>
      <c r="AF444" s="406" t="e">
        <f t="shared" ca="1" si="167"/>
        <v>#N/A</v>
      </c>
      <c r="AG444" s="406" t="e">
        <f t="shared" ca="1" si="167"/>
        <v>#N/A</v>
      </c>
      <c r="AH444" s="406" t="e">
        <f t="shared" ca="1" si="164"/>
        <v>#N/A</v>
      </c>
      <c r="AI444" s="406" t="e">
        <f t="shared" ca="1" si="164"/>
        <v>#N/A</v>
      </c>
      <c r="AJ444" s="406" t="e">
        <f t="shared" ca="1" si="164"/>
        <v>#N/A</v>
      </c>
      <c r="AK444" s="406" t="e">
        <f t="shared" ca="1" si="164"/>
        <v>#N/A</v>
      </c>
      <c r="AL444" s="406" t="e">
        <f t="shared" ca="1" si="164"/>
        <v>#N/A</v>
      </c>
      <c r="AM444" s="406" t="e">
        <f t="shared" ca="1" si="164"/>
        <v>#N/A</v>
      </c>
      <c r="AN444" s="406" t="e">
        <f t="shared" ca="1" si="164"/>
        <v>#N/A</v>
      </c>
      <c r="AO444" s="406" t="e">
        <f t="shared" ca="1" si="164"/>
        <v>#N/A</v>
      </c>
      <c r="AP444" s="406" t="e">
        <f t="shared" ca="1" si="164"/>
        <v>#N/A</v>
      </c>
      <c r="AQ444" s="406" t="e">
        <f t="shared" ca="1" si="164"/>
        <v>#N/A</v>
      </c>
      <c r="AR444" s="406" t="e">
        <f t="shared" ca="1" si="166"/>
        <v>#N/A</v>
      </c>
      <c r="AS444" s="406" t="e">
        <f t="shared" ca="1" si="166"/>
        <v>#N/A</v>
      </c>
      <c r="AT444" s="406" t="e">
        <f t="shared" ca="1" si="166"/>
        <v>#N/A</v>
      </c>
      <c r="AU444" s="406" t="e">
        <f t="shared" ca="1" si="166"/>
        <v>#N/A</v>
      </c>
      <c r="AV444" s="406" t="e">
        <f t="shared" ca="1" si="166"/>
        <v>#N/A</v>
      </c>
      <c r="AW444" s="406" t="e">
        <f t="shared" ca="1" si="166"/>
        <v>#N/A</v>
      </c>
      <c r="AX444" s="406" t="e">
        <f t="shared" ca="1" si="166"/>
        <v>#N/A</v>
      </c>
      <c r="AY444" s="406" t="e">
        <f t="shared" ca="1" si="166"/>
        <v>#N/A</v>
      </c>
      <c r="AZ444" s="406" t="e">
        <f t="shared" ca="1" si="166"/>
        <v>#N/A</v>
      </c>
      <c r="BA444" s="406" t="e">
        <f t="shared" ca="1" si="166"/>
        <v>#N/A</v>
      </c>
      <c r="BB444" s="408"/>
      <c r="BC444" s="408" t="str">
        <f t="shared" ca="1" si="154"/>
        <v/>
      </c>
      <c r="BD444" s="408" t="s">
        <v>1278</v>
      </c>
      <c r="BE444" s="408" t="s">
        <v>1278</v>
      </c>
    </row>
    <row r="445" spans="3:57" ht="15" customHeight="1" x14ac:dyDescent="0.25">
      <c r="C445" s="406">
        <f t="shared" si="156"/>
        <v>443</v>
      </c>
      <c r="D445" s="406" t="e">
        <f t="shared" ca="1" si="165"/>
        <v>#N/A</v>
      </c>
      <c r="E445" s="406" t="e">
        <f t="shared" ca="1" si="165"/>
        <v>#N/A</v>
      </c>
      <c r="F445" s="406" t="e">
        <f t="shared" ca="1" si="165"/>
        <v>#N/A</v>
      </c>
      <c r="G445" s="406" t="e">
        <f t="shared" ca="1" si="165"/>
        <v>#N/A</v>
      </c>
      <c r="H445" s="406" t="e">
        <f t="shared" ca="1" si="165"/>
        <v>#N/A</v>
      </c>
      <c r="I445" s="406" t="e">
        <f t="shared" ca="1" si="165"/>
        <v>#N/A</v>
      </c>
      <c r="J445" s="406" t="e">
        <f t="shared" ca="1" si="165"/>
        <v>#N/A</v>
      </c>
      <c r="K445" s="406" t="e">
        <f t="shared" ca="1" si="165"/>
        <v>#N/A</v>
      </c>
      <c r="L445" s="406" t="e">
        <f t="shared" ca="1" si="165"/>
        <v>#N/A</v>
      </c>
      <c r="M445" s="406" t="e">
        <f t="shared" ca="1" si="165"/>
        <v>#N/A</v>
      </c>
      <c r="N445" s="406" t="e">
        <f t="shared" ca="1" si="163"/>
        <v>#N/A</v>
      </c>
      <c r="O445" s="406" t="e">
        <f t="shared" ca="1" si="163"/>
        <v>#N/A</v>
      </c>
      <c r="P445" s="406" t="e">
        <f t="shared" ca="1" si="163"/>
        <v>#N/A</v>
      </c>
      <c r="Q445" s="406" t="e">
        <f t="shared" ca="1" si="163"/>
        <v>#N/A</v>
      </c>
      <c r="R445" s="406" t="e">
        <f t="shared" ca="1" si="163"/>
        <v>#N/A</v>
      </c>
      <c r="S445" s="406" t="e">
        <f t="shared" ca="1" si="163"/>
        <v>#N/A</v>
      </c>
      <c r="T445" s="406" t="e">
        <f t="shared" ca="1" si="163"/>
        <v>#N/A</v>
      </c>
      <c r="U445" s="406" t="e">
        <f t="shared" ca="1" si="163"/>
        <v>#N/A</v>
      </c>
      <c r="V445" s="406" t="e">
        <f t="shared" ca="1" si="163"/>
        <v>#N/A</v>
      </c>
      <c r="W445" s="406" t="e">
        <f t="shared" ca="1" si="163"/>
        <v>#N/A</v>
      </c>
      <c r="X445" s="406" t="e">
        <f t="shared" ca="1" si="167"/>
        <v>#N/A</v>
      </c>
      <c r="Y445" s="406" t="e">
        <f t="shared" ca="1" si="167"/>
        <v>#N/A</v>
      </c>
      <c r="Z445" s="406" t="e">
        <f t="shared" ca="1" si="167"/>
        <v>#N/A</v>
      </c>
      <c r="AA445" s="406" t="e">
        <f t="shared" ca="1" si="167"/>
        <v>#N/A</v>
      </c>
      <c r="AB445" s="406" t="e">
        <f t="shared" ca="1" si="167"/>
        <v>#N/A</v>
      </c>
      <c r="AC445" s="406" t="e">
        <f t="shared" ca="1" si="167"/>
        <v>#N/A</v>
      </c>
      <c r="AD445" s="406" t="e">
        <f t="shared" ca="1" si="167"/>
        <v>#N/A</v>
      </c>
      <c r="AE445" s="406" t="e">
        <f t="shared" ca="1" si="167"/>
        <v>#N/A</v>
      </c>
      <c r="AF445" s="406" t="e">
        <f t="shared" ca="1" si="167"/>
        <v>#N/A</v>
      </c>
      <c r="AG445" s="406" t="e">
        <f t="shared" ca="1" si="167"/>
        <v>#N/A</v>
      </c>
      <c r="AH445" s="406" t="e">
        <f t="shared" ca="1" si="164"/>
        <v>#N/A</v>
      </c>
      <c r="AI445" s="406" t="e">
        <f t="shared" ca="1" si="164"/>
        <v>#N/A</v>
      </c>
      <c r="AJ445" s="406" t="e">
        <f t="shared" ca="1" si="164"/>
        <v>#N/A</v>
      </c>
      <c r="AK445" s="406" t="e">
        <f t="shared" ca="1" si="164"/>
        <v>#N/A</v>
      </c>
      <c r="AL445" s="406" t="e">
        <f t="shared" ca="1" si="164"/>
        <v>#N/A</v>
      </c>
      <c r="AM445" s="406" t="e">
        <f t="shared" ca="1" si="164"/>
        <v>#N/A</v>
      </c>
      <c r="AN445" s="406" t="e">
        <f t="shared" ca="1" si="164"/>
        <v>#N/A</v>
      </c>
      <c r="AO445" s="406" t="e">
        <f t="shared" ca="1" si="164"/>
        <v>#N/A</v>
      </c>
      <c r="AP445" s="406" t="e">
        <f t="shared" ca="1" si="164"/>
        <v>#N/A</v>
      </c>
      <c r="AQ445" s="406" t="e">
        <f t="shared" ca="1" si="164"/>
        <v>#N/A</v>
      </c>
      <c r="AR445" s="406" t="e">
        <f t="shared" ca="1" si="166"/>
        <v>#N/A</v>
      </c>
      <c r="AS445" s="406" t="e">
        <f t="shared" ca="1" si="166"/>
        <v>#N/A</v>
      </c>
      <c r="AT445" s="406" t="e">
        <f t="shared" ca="1" si="166"/>
        <v>#N/A</v>
      </c>
      <c r="AU445" s="406" t="e">
        <f t="shared" ca="1" si="166"/>
        <v>#N/A</v>
      </c>
      <c r="AV445" s="406" t="e">
        <f t="shared" ca="1" si="166"/>
        <v>#N/A</v>
      </c>
      <c r="AW445" s="406" t="e">
        <f t="shared" ca="1" si="166"/>
        <v>#N/A</v>
      </c>
      <c r="AX445" s="406" t="e">
        <f t="shared" ca="1" si="166"/>
        <v>#N/A</v>
      </c>
      <c r="AY445" s="406" t="e">
        <f t="shared" ca="1" si="166"/>
        <v>#N/A</v>
      </c>
      <c r="AZ445" s="406" t="e">
        <f t="shared" ca="1" si="166"/>
        <v>#N/A</v>
      </c>
      <c r="BA445" s="406" t="e">
        <f t="shared" ca="1" si="166"/>
        <v>#N/A</v>
      </c>
      <c r="BB445" s="408"/>
      <c r="BC445" s="408" t="str">
        <f t="shared" ca="1" si="154"/>
        <v/>
      </c>
      <c r="BD445" s="408" t="s">
        <v>1278</v>
      </c>
      <c r="BE445" s="408" t="s">
        <v>1278</v>
      </c>
    </row>
    <row r="446" spans="3:57" x14ac:dyDescent="0.25">
      <c r="C446" s="406">
        <f t="shared" si="156"/>
        <v>444</v>
      </c>
      <c r="D446" s="406" t="e">
        <f t="shared" ca="1" si="165"/>
        <v>#N/A</v>
      </c>
      <c r="E446" s="406" t="e">
        <f t="shared" ca="1" si="165"/>
        <v>#N/A</v>
      </c>
      <c r="F446" s="406" t="e">
        <f t="shared" ca="1" si="165"/>
        <v>#N/A</v>
      </c>
      <c r="G446" s="406" t="e">
        <f t="shared" ca="1" si="165"/>
        <v>#N/A</v>
      </c>
      <c r="H446" s="406" t="e">
        <f t="shared" ca="1" si="165"/>
        <v>#N/A</v>
      </c>
      <c r="I446" s="406" t="e">
        <f t="shared" ca="1" si="165"/>
        <v>#N/A</v>
      </c>
      <c r="J446" s="406" t="e">
        <f t="shared" ca="1" si="165"/>
        <v>#N/A</v>
      </c>
      <c r="K446" s="406" t="e">
        <f t="shared" ca="1" si="165"/>
        <v>#N/A</v>
      </c>
      <c r="L446" s="406" t="e">
        <f t="shared" ca="1" si="165"/>
        <v>#N/A</v>
      </c>
      <c r="M446" s="406" t="e">
        <f t="shared" ca="1" si="165"/>
        <v>#N/A</v>
      </c>
      <c r="N446" s="406" t="e">
        <f t="shared" ca="1" si="163"/>
        <v>#N/A</v>
      </c>
      <c r="O446" s="406" t="e">
        <f t="shared" ca="1" si="163"/>
        <v>#N/A</v>
      </c>
      <c r="P446" s="406" t="e">
        <f t="shared" ca="1" si="163"/>
        <v>#N/A</v>
      </c>
      <c r="Q446" s="406" t="e">
        <f t="shared" ca="1" si="163"/>
        <v>#N/A</v>
      </c>
      <c r="R446" s="406" t="e">
        <f t="shared" ca="1" si="163"/>
        <v>#N/A</v>
      </c>
      <c r="S446" s="406" t="e">
        <f t="shared" ca="1" si="163"/>
        <v>#N/A</v>
      </c>
      <c r="T446" s="406" t="e">
        <f t="shared" ca="1" si="163"/>
        <v>#N/A</v>
      </c>
      <c r="U446" s="406" t="e">
        <f t="shared" ca="1" si="163"/>
        <v>#N/A</v>
      </c>
      <c r="V446" s="406" t="e">
        <f t="shared" ca="1" si="163"/>
        <v>#N/A</v>
      </c>
      <c r="W446" s="406" t="e">
        <f t="shared" ca="1" si="163"/>
        <v>#N/A</v>
      </c>
      <c r="X446" s="406" t="e">
        <f t="shared" ca="1" si="167"/>
        <v>#N/A</v>
      </c>
      <c r="Y446" s="406" t="e">
        <f t="shared" ca="1" si="167"/>
        <v>#N/A</v>
      </c>
      <c r="Z446" s="406" t="e">
        <f t="shared" ca="1" si="167"/>
        <v>#N/A</v>
      </c>
      <c r="AA446" s="406" t="e">
        <f t="shared" ca="1" si="167"/>
        <v>#N/A</v>
      </c>
      <c r="AB446" s="406" t="e">
        <f t="shared" ca="1" si="167"/>
        <v>#N/A</v>
      </c>
      <c r="AC446" s="406" t="e">
        <f t="shared" ca="1" si="167"/>
        <v>#N/A</v>
      </c>
      <c r="AD446" s="406" t="e">
        <f t="shared" ca="1" si="167"/>
        <v>#N/A</v>
      </c>
      <c r="AE446" s="406" t="e">
        <f t="shared" ca="1" si="167"/>
        <v>#N/A</v>
      </c>
      <c r="AF446" s="406" t="e">
        <f t="shared" ca="1" si="167"/>
        <v>#N/A</v>
      </c>
      <c r="AG446" s="406" t="e">
        <f t="shared" ca="1" si="167"/>
        <v>#N/A</v>
      </c>
      <c r="AH446" s="406" t="e">
        <f t="shared" ca="1" si="164"/>
        <v>#N/A</v>
      </c>
      <c r="AI446" s="406" t="e">
        <f t="shared" ca="1" si="164"/>
        <v>#N/A</v>
      </c>
      <c r="AJ446" s="406" t="e">
        <f t="shared" ca="1" si="164"/>
        <v>#N/A</v>
      </c>
      <c r="AK446" s="406" t="e">
        <f t="shared" ca="1" si="164"/>
        <v>#N/A</v>
      </c>
      <c r="AL446" s="406" t="e">
        <f t="shared" ca="1" si="164"/>
        <v>#N/A</v>
      </c>
      <c r="AM446" s="406" t="e">
        <f t="shared" ca="1" si="164"/>
        <v>#N/A</v>
      </c>
      <c r="AN446" s="406" t="e">
        <f t="shared" ca="1" si="164"/>
        <v>#N/A</v>
      </c>
      <c r="AO446" s="406" t="e">
        <f t="shared" ca="1" si="164"/>
        <v>#N/A</v>
      </c>
      <c r="AP446" s="406" t="e">
        <f t="shared" ca="1" si="164"/>
        <v>#N/A</v>
      </c>
      <c r="AQ446" s="406" t="e">
        <f t="shared" ca="1" si="164"/>
        <v>#N/A</v>
      </c>
      <c r="AR446" s="406" t="e">
        <f t="shared" ca="1" si="166"/>
        <v>#N/A</v>
      </c>
      <c r="AS446" s="406" t="e">
        <f t="shared" ca="1" si="166"/>
        <v>#N/A</v>
      </c>
      <c r="AT446" s="406" t="e">
        <f t="shared" ca="1" si="166"/>
        <v>#N/A</v>
      </c>
      <c r="AU446" s="406" t="e">
        <f t="shared" ca="1" si="166"/>
        <v>#N/A</v>
      </c>
      <c r="AV446" s="406" t="e">
        <f t="shared" ca="1" si="166"/>
        <v>#N/A</v>
      </c>
      <c r="AW446" s="406" t="e">
        <f t="shared" ca="1" si="166"/>
        <v>#N/A</v>
      </c>
      <c r="AX446" s="406" t="e">
        <f t="shared" ca="1" si="166"/>
        <v>#N/A</v>
      </c>
      <c r="AY446" s="406" t="e">
        <f t="shared" ca="1" si="166"/>
        <v>#N/A</v>
      </c>
      <c r="AZ446" s="406" t="e">
        <f t="shared" ca="1" si="166"/>
        <v>#N/A</v>
      </c>
      <c r="BA446" s="406" t="e">
        <f t="shared" ca="1" si="166"/>
        <v>#N/A</v>
      </c>
      <c r="BB446" s="408"/>
      <c r="BC446" s="408" t="str">
        <f t="shared" ca="1" si="154"/>
        <v/>
      </c>
      <c r="BD446" s="408" t="s">
        <v>1278</v>
      </c>
      <c r="BE446" s="408" t="s">
        <v>1278</v>
      </c>
    </row>
    <row r="447" spans="3:57" x14ac:dyDescent="0.25">
      <c r="C447" s="406">
        <f t="shared" si="156"/>
        <v>445</v>
      </c>
      <c r="D447" s="406" t="e">
        <f t="shared" ca="1" si="165"/>
        <v>#N/A</v>
      </c>
      <c r="E447" s="406" t="e">
        <f t="shared" ca="1" si="165"/>
        <v>#N/A</v>
      </c>
      <c r="F447" s="406" t="e">
        <f t="shared" ca="1" si="165"/>
        <v>#N/A</v>
      </c>
      <c r="G447" s="406" t="e">
        <f t="shared" ca="1" si="165"/>
        <v>#N/A</v>
      </c>
      <c r="H447" s="406" t="e">
        <f t="shared" ca="1" si="165"/>
        <v>#N/A</v>
      </c>
      <c r="I447" s="406" t="e">
        <f t="shared" ca="1" si="165"/>
        <v>#N/A</v>
      </c>
      <c r="J447" s="406" t="e">
        <f t="shared" ca="1" si="165"/>
        <v>#N/A</v>
      </c>
      <c r="K447" s="406" t="e">
        <f t="shared" ca="1" si="165"/>
        <v>#N/A</v>
      </c>
      <c r="L447" s="406" t="e">
        <f t="shared" ca="1" si="165"/>
        <v>#N/A</v>
      </c>
      <c r="M447" s="406" t="e">
        <f t="shared" ca="1" si="165"/>
        <v>#N/A</v>
      </c>
      <c r="N447" s="406" t="e">
        <f t="shared" ca="1" si="163"/>
        <v>#N/A</v>
      </c>
      <c r="O447" s="406" t="e">
        <f t="shared" ca="1" si="163"/>
        <v>#N/A</v>
      </c>
      <c r="P447" s="406" t="e">
        <f t="shared" ca="1" si="163"/>
        <v>#N/A</v>
      </c>
      <c r="Q447" s="406" t="e">
        <f t="shared" ca="1" si="163"/>
        <v>#N/A</v>
      </c>
      <c r="R447" s="406" t="e">
        <f t="shared" ca="1" si="163"/>
        <v>#N/A</v>
      </c>
      <c r="S447" s="406" t="e">
        <f t="shared" ca="1" si="163"/>
        <v>#N/A</v>
      </c>
      <c r="T447" s="406" t="e">
        <f t="shared" ca="1" si="163"/>
        <v>#N/A</v>
      </c>
      <c r="U447" s="406" t="e">
        <f t="shared" ca="1" si="163"/>
        <v>#N/A</v>
      </c>
      <c r="V447" s="406" t="e">
        <f t="shared" ca="1" si="163"/>
        <v>#N/A</v>
      </c>
      <c r="W447" s="406" t="e">
        <f t="shared" ca="1" si="163"/>
        <v>#N/A</v>
      </c>
      <c r="X447" s="406" t="e">
        <f t="shared" ca="1" si="167"/>
        <v>#N/A</v>
      </c>
      <c r="Y447" s="406" t="e">
        <f t="shared" ca="1" si="167"/>
        <v>#N/A</v>
      </c>
      <c r="Z447" s="406" t="e">
        <f t="shared" ca="1" si="167"/>
        <v>#N/A</v>
      </c>
      <c r="AA447" s="406" t="e">
        <f t="shared" ca="1" si="167"/>
        <v>#N/A</v>
      </c>
      <c r="AB447" s="406" t="e">
        <f t="shared" ca="1" si="167"/>
        <v>#N/A</v>
      </c>
      <c r="AC447" s="406" t="e">
        <f t="shared" ca="1" si="167"/>
        <v>#N/A</v>
      </c>
      <c r="AD447" s="406" t="e">
        <f t="shared" ca="1" si="167"/>
        <v>#N/A</v>
      </c>
      <c r="AE447" s="406" t="e">
        <f t="shared" ca="1" si="167"/>
        <v>#N/A</v>
      </c>
      <c r="AF447" s="406" t="e">
        <f t="shared" ca="1" si="167"/>
        <v>#N/A</v>
      </c>
      <c r="AG447" s="406" t="e">
        <f t="shared" ca="1" si="167"/>
        <v>#N/A</v>
      </c>
      <c r="AH447" s="406" t="e">
        <f t="shared" ca="1" si="164"/>
        <v>#N/A</v>
      </c>
      <c r="AI447" s="406" t="e">
        <f t="shared" ca="1" si="164"/>
        <v>#N/A</v>
      </c>
      <c r="AJ447" s="406" t="e">
        <f t="shared" ca="1" si="164"/>
        <v>#N/A</v>
      </c>
      <c r="AK447" s="406" t="e">
        <f t="shared" ca="1" si="164"/>
        <v>#N/A</v>
      </c>
      <c r="AL447" s="406" t="e">
        <f t="shared" ca="1" si="164"/>
        <v>#N/A</v>
      </c>
      <c r="AM447" s="406" t="e">
        <f t="shared" ca="1" si="164"/>
        <v>#N/A</v>
      </c>
      <c r="AN447" s="406" t="e">
        <f t="shared" ca="1" si="164"/>
        <v>#N/A</v>
      </c>
      <c r="AO447" s="406" t="e">
        <f t="shared" ca="1" si="164"/>
        <v>#N/A</v>
      </c>
      <c r="AP447" s="406" t="e">
        <f t="shared" ca="1" si="164"/>
        <v>#N/A</v>
      </c>
      <c r="AQ447" s="406" t="e">
        <f t="shared" ca="1" si="164"/>
        <v>#N/A</v>
      </c>
      <c r="AR447" s="406" t="e">
        <f t="shared" ca="1" si="166"/>
        <v>#N/A</v>
      </c>
      <c r="AS447" s="406" t="e">
        <f t="shared" ca="1" si="166"/>
        <v>#N/A</v>
      </c>
      <c r="AT447" s="406" t="e">
        <f t="shared" ca="1" si="166"/>
        <v>#N/A</v>
      </c>
      <c r="AU447" s="406" t="e">
        <f t="shared" ca="1" si="166"/>
        <v>#N/A</v>
      </c>
      <c r="AV447" s="406" t="e">
        <f t="shared" ca="1" si="166"/>
        <v>#N/A</v>
      </c>
      <c r="AW447" s="406" t="e">
        <f t="shared" ca="1" si="166"/>
        <v>#N/A</v>
      </c>
      <c r="AX447" s="406" t="e">
        <f t="shared" ca="1" si="166"/>
        <v>#N/A</v>
      </c>
      <c r="AY447" s="406" t="e">
        <f t="shared" ca="1" si="166"/>
        <v>#N/A</v>
      </c>
      <c r="AZ447" s="406" t="e">
        <f t="shared" ca="1" si="166"/>
        <v>#N/A</v>
      </c>
      <c r="BA447" s="406" t="e">
        <f t="shared" ca="1" si="166"/>
        <v>#N/A</v>
      </c>
      <c r="BB447" s="408"/>
      <c r="BC447" s="408" t="str">
        <f t="shared" ca="1" si="154"/>
        <v/>
      </c>
      <c r="BD447" s="408" t="s">
        <v>1278</v>
      </c>
      <c r="BE447" s="408" t="s">
        <v>1278</v>
      </c>
    </row>
    <row r="448" spans="3:57" x14ac:dyDescent="0.25">
      <c r="C448" s="406">
        <f t="shared" si="156"/>
        <v>446</v>
      </c>
      <c r="D448" s="406" t="e">
        <f t="shared" ca="1" si="165"/>
        <v>#N/A</v>
      </c>
      <c r="E448" s="406" t="e">
        <f t="shared" ca="1" si="165"/>
        <v>#N/A</v>
      </c>
      <c r="F448" s="406" t="e">
        <f t="shared" ca="1" si="165"/>
        <v>#N/A</v>
      </c>
      <c r="G448" s="406" t="e">
        <f t="shared" ca="1" si="165"/>
        <v>#N/A</v>
      </c>
      <c r="H448" s="406" t="e">
        <f t="shared" ca="1" si="165"/>
        <v>#N/A</v>
      </c>
      <c r="I448" s="406" t="e">
        <f t="shared" ca="1" si="165"/>
        <v>#N/A</v>
      </c>
      <c r="J448" s="406" t="e">
        <f t="shared" ca="1" si="165"/>
        <v>#N/A</v>
      </c>
      <c r="K448" s="406" t="e">
        <f t="shared" ca="1" si="165"/>
        <v>#N/A</v>
      </c>
      <c r="L448" s="406" t="e">
        <f t="shared" ca="1" si="165"/>
        <v>#N/A</v>
      </c>
      <c r="M448" s="406" t="e">
        <f t="shared" ca="1" si="165"/>
        <v>#N/A</v>
      </c>
      <c r="N448" s="406" t="e">
        <f t="shared" ca="1" si="163"/>
        <v>#N/A</v>
      </c>
      <c r="O448" s="406" t="e">
        <f t="shared" ca="1" si="163"/>
        <v>#N/A</v>
      </c>
      <c r="P448" s="406" t="e">
        <f t="shared" ca="1" si="163"/>
        <v>#N/A</v>
      </c>
      <c r="Q448" s="406" t="e">
        <f t="shared" ca="1" si="163"/>
        <v>#N/A</v>
      </c>
      <c r="R448" s="406" t="e">
        <f t="shared" ca="1" si="163"/>
        <v>#N/A</v>
      </c>
      <c r="S448" s="406" t="e">
        <f t="shared" ca="1" si="163"/>
        <v>#N/A</v>
      </c>
      <c r="T448" s="406" t="e">
        <f t="shared" ca="1" si="163"/>
        <v>#N/A</v>
      </c>
      <c r="U448" s="406" t="e">
        <f t="shared" ca="1" si="163"/>
        <v>#N/A</v>
      </c>
      <c r="V448" s="406" t="e">
        <f t="shared" ca="1" si="163"/>
        <v>#N/A</v>
      </c>
      <c r="W448" s="406" t="e">
        <f t="shared" ref="N448:W474" ca="1" si="168">TRIM(INDIRECT("'" &amp; "TNX RTF" &amp; "'!" &amp; ADDRESS($A$3+$C448,W$1)))</f>
        <v>#N/A</v>
      </c>
      <c r="X448" s="406" t="e">
        <f t="shared" ca="1" si="167"/>
        <v>#N/A</v>
      </c>
      <c r="Y448" s="406" t="e">
        <f t="shared" ca="1" si="167"/>
        <v>#N/A</v>
      </c>
      <c r="Z448" s="406" t="e">
        <f t="shared" ca="1" si="167"/>
        <v>#N/A</v>
      </c>
      <c r="AA448" s="406" t="e">
        <f t="shared" ca="1" si="167"/>
        <v>#N/A</v>
      </c>
      <c r="AB448" s="406" t="e">
        <f t="shared" ca="1" si="167"/>
        <v>#N/A</v>
      </c>
      <c r="AC448" s="406" t="e">
        <f t="shared" ca="1" si="167"/>
        <v>#N/A</v>
      </c>
      <c r="AD448" s="406" t="e">
        <f t="shared" ca="1" si="167"/>
        <v>#N/A</v>
      </c>
      <c r="AE448" s="406" t="e">
        <f t="shared" ca="1" si="167"/>
        <v>#N/A</v>
      </c>
      <c r="AF448" s="406" t="e">
        <f t="shared" ca="1" si="167"/>
        <v>#N/A</v>
      </c>
      <c r="AG448" s="406" t="e">
        <f t="shared" ca="1" si="167"/>
        <v>#N/A</v>
      </c>
      <c r="AH448" s="406" t="e">
        <f t="shared" ca="1" si="164"/>
        <v>#N/A</v>
      </c>
      <c r="AI448" s="406" t="e">
        <f t="shared" ca="1" si="164"/>
        <v>#N/A</v>
      </c>
      <c r="AJ448" s="406" t="e">
        <f t="shared" ca="1" si="164"/>
        <v>#N/A</v>
      </c>
      <c r="AK448" s="406" t="e">
        <f t="shared" ca="1" si="164"/>
        <v>#N/A</v>
      </c>
      <c r="AL448" s="406" t="e">
        <f t="shared" ca="1" si="164"/>
        <v>#N/A</v>
      </c>
      <c r="AM448" s="406" t="e">
        <f t="shared" ca="1" si="164"/>
        <v>#N/A</v>
      </c>
      <c r="AN448" s="406" t="e">
        <f t="shared" ca="1" si="164"/>
        <v>#N/A</v>
      </c>
      <c r="AO448" s="406" t="e">
        <f t="shared" ca="1" si="164"/>
        <v>#N/A</v>
      </c>
      <c r="AP448" s="406" t="e">
        <f t="shared" ref="AH448:AQ474" ca="1" si="169">TRIM(INDIRECT("'" &amp; "TNX RTF" &amp; "'!" &amp; ADDRESS($A$3+$C448,AP$1)))</f>
        <v>#N/A</v>
      </c>
      <c r="AQ448" s="406" t="e">
        <f t="shared" ca="1" si="169"/>
        <v>#N/A</v>
      </c>
      <c r="AR448" s="406" t="e">
        <f t="shared" ca="1" si="166"/>
        <v>#N/A</v>
      </c>
      <c r="AS448" s="406" t="e">
        <f t="shared" ca="1" si="166"/>
        <v>#N/A</v>
      </c>
      <c r="AT448" s="406" t="e">
        <f t="shared" ca="1" si="166"/>
        <v>#N/A</v>
      </c>
      <c r="AU448" s="406" t="e">
        <f t="shared" ca="1" si="166"/>
        <v>#N/A</v>
      </c>
      <c r="AV448" s="406" t="e">
        <f t="shared" ca="1" si="166"/>
        <v>#N/A</v>
      </c>
      <c r="AW448" s="406" t="e">
        <f t="shared" ca="1" si="166"/>
        <v>#N/A</v>
      </c>
      <c r="AX448" s="406" t="e">
        <f t="shared" ca="1" si="166"/>
        <v>#N/A</v>
      </c>
      <c r="AY448" s="406" t="e">
        <f t="shared" ca="1" si="166"/>
        <v>#N/A</v>
      </c>
      <c r="AZ448" s="406" t="e">
        <f t="shared" ca="1" si="166"/>
        <v>#N/A</v>
      </c>
      <c r="BA448" s="406" t="e">
        <f t="shared" ca="1" si="166"/>
        <v>#N/A</v>
      </c>
      <c r="BB448" s="408"/>
      <c r="BC448" s="408" t="str">
        <f t="shared" ca="1" si="154"/>
        <v/>
      </c>
      <c r="BD448" s="408" t="s">
        <v>1278</v>
      </c>
      <c r="BE448" s="408" t="s">
        <v>1278</v>
      </c>
    </row>
    <row r="449" spans="3:57" x14ac:dyDescent="0.25">
      <c r="C449" s="406">
        <f t="shared" si="156"/>
        <v>447</v>
      </c>
      <c r="D449" s="406" t="e">
        <f t="shared" ca="1" si="165"/>
        <v>#N/A</v>
      </c>
      <c r="E449" s="406" t="e">
        <f t="shared" ca="1" si="165"/>
        <v>#N/A</v>
      </c>
      <c r="F449" s="406" t="e">
        <f t="shared" ca="1" si="165"/>
        <v>#N/A</v>
      </c>
      <c r="G449" s="406" t="e">
        <f t="shared" ca="1" si="165"/>
        <v>#N/A</v>
      </c>
      <c r="H449" s="406" t="e">
        <f t="shared" ca="1" si="165"/>
        <v>#N/A</v>
      </c>
      <c r="I449" s="406" t="e">
        <f t="shared" ca="1" si="165"/>
        <v>#N/A</v>
      </c>
      <c r="J449" s="406" t="e">
        <f t="shared" ca="1" si="165"/>
        <v>#N/A</v>
      </c>
      <c r="K449" s="406" t="e">
        <f t="shared" ca="1" si="165"/>
        <v>#N/A</v>
      </c>
      <c r="L449" s="406" t="e">
        <f t="shared" ca="1" si="165"/>
        <v>#N/A</v>
      </c>
      <c r="M449" s="406" t="e">
        <f t="shared" ca="1" si="165"/>
        <v>#N/A</v>
      </c>
      <c r="N449" s="406" t="e">
        <f t="shared" ca="1" si="168"/>
        <v>#N/A</v>
      </c>
      <c r="O449" s="406" t="e">
        <f t="shared" ca="1" si="168"/>
        <v>#N/A</v>
      </c>
      <c r="P449" s="406" t="e">
        <f t="shared" ca="1" si="168"/>
        <v>#N/A</v>
      </c>
      <c r="Q449" s="406" t="e">
        <f t="shared" ca="1" si="168"/>
        <v>#N/A</v>
      </c>
      <c r="R449" s="406" t="e">
        <f t="shared" ca="1" si="168"/>
        <v>#N/A</v>
      </c>
      <c r="S449" s="406" t="e">
        <f t="shared" ca="1" si="168"/>
        <v>#N/A</v>
      </c>
      <c r="T449" s="406" t="e">
        <f t="shared" ca="1" si="168"/>
        <v>#N/A</v>
      </c>
      <c r="U449" s="406" t="e">
        <f t="shared" ca="1" si="168"/>
        <v>#N/A</v>
      </c>
      <c r="V449" s="406" t="e">
        <f t="shared" ca="1" si="168"/>
        <v>#N/A</v>
      </c>
      <c r="W449" s="406" t="e">
        <f t="shared" ca="1" si="168"/>
        <v>#N/A</v>
      </c>
      <c r="X449" s="406" t="e">
        <f t="shared" ca="1" si="167"/>
        <v>#N/A</v>
      </c>
      <c r="Y449" s="406" t="e">
        <f t="shared" ca="1" si="167"/>
        <v>#N/A</v>
      </c>
      <c r="Z449" s="406" t="e">
        <f t="shared" ca="1" si="167"/>
        <v>#N/A</v>
      </c>
      <c r="AA449" s="406" t="e">
        <f t="shared" ca="1" si="167"/>
        <v>#N/A</v>
      </c>
      <c r="AB449" s="406" t="e">
        <f t="shared" ca="1" si="167"/>
        <v>#N/A</v>
      </c>
      <c r="AC449" s="406" t="e">
        <f t="shared" ca="1" si="167"/>
        <v>#N/A</v>
      </c>
      <c r="AD449" s="406" t="e">
        <f t="shared" ca="1" si="167"/>
        <v>#N/A</v>
      </c>
      <c r="AE449" s="406" t="e">
        <f t="shared" ca="1" si="167"/>
        <v>#N/A</v>
      </c>
      <c r="AF449" s="406" t="e">
        <f t="shared" ca="1" si="167"/>
        <v>#N/A</v>
      </c>
      <c r="AG449" s="406" t="e">
        <f t="shared" ca="1" si="167"/>
        <v>#N/A</v>
      </c>
      <c r="AH449" s="406" t="e">
        <f t="shared" ca="1" si="169"/>
        <v>#N/A</v>
      </c>
      <c r="AI449" s="406" t="e">
        <f t="shared" ca="1" si="169"/>
        <v>#N/A</v>
      </c>
      <c r="AJ449" s="406" t="e">
        <f t="shared" ca="1" si="169"/>
        <v>#N/A</v>
      </c>
      <c r="AK449" s="406" t="e">
        <f t="shared" ca="1" si="169"/>
        <v>#N/A</v>
      </c>
      <c r="AL449" s="406" t="e">
        <f t="shared" ca="1" si="169"/>
        <v>#N/A</v>
      </c>
      <c r="AM449" s="406" t="e">
        <f t="shared" ca="1" si="169"/>
        <v>#N/A</v>
      </c>
      <c r="AN449" s="406" t="e">
        <f t="shared" ca="1" si="169"/>
        <v>#N/A</v>
      </c>
      <c r="AO449" s="406" t="e">
        <f t="shared" ca="1" si="169"/>
        <v>#N/A</v>
      </c>
      <c r="AP449" s="406" t="e">
        <f t="shared" ca="1" si="169"/>
        <v>#N/A</v>
      </c>
      <c r="AQ449" s="406" t="e">
        <f t="shared" ca="1" si="169"/>
        <v>#N/A</v>
      </c>
      <c r="AR449" s="406" t="e">
        <f t="shared" ca="1" si="166"/>
        <v>#N/A</v>
      </c>
      <c r="AS449" s="406" t="e">
        <f t="shared" ca="1" si="166"/>
        <v>#N/A</v>
      </c>
      <c r="AT449" s="406" t="e">
        <f t="shared" ca="1" si="166"/>
        <v>#N/A</v>
      </c>
      <c r="AU449" s="406" t="e">
        <f t="shared" ca="1" si="166"/>
        <v>#N/A</v>
      </c>
      <c r="AV449" s="406" t="e">
        <f t="shared" ca="1" si="166"/>
        <v>#N/A</v>
      </c>
      <c r="AW449" s="406" t="e">
        <f t="shared" ca="1" si="166"/>
        <v>#N/A</v>
      </c>
      <c r="AX449" s="406" t="e">
        <f t="shared" ca="1" si="166"/>
        <v>#N/A</v>
      </c>
      <c r="AY449" s="406" t="e">
        <f t="shared" ca="1" si="166"/>
        <v>#N/A</v>
      </c>
      <c r="AZ449" s="406" t="e">
        <f t="shared" ca="1" si="166"/>
        <v>#N/A</v>
      </c>
      <c r="BA449" s="406" t="e">
        <f t="shared" ca="1" si="166"/>
        <v>#N/A</v>
      </c>
      <c r="BB449" s="408"/>
      <c r="BC449" s="408" t="str">
        <f t="shared" ca="1" si="154"/>
        <v/>
      </c>
      <c r="BD449" s="408" t="s">
        <v>1278</v>
      </c>
      <c r="BE449" s="408" t="s">
        <v>1278</v>
      </c>
    </row>
    <row r="450" spans="3:57" x14ac:dyDescent="0.25">
      <c r="C450" s="406">
        <f t="shared" si="156"/>
        <v>448</v>
      </c>
      <c r="D450" s="406" t="e">
        <f t="shared" ca="1" si="165"/>
        <v>#N/A</v>
      </c>
      <c r="E450" s="406" t="e">
        <f t="shared" ca="1" si="165"/>
        <v>#N/A</v>
      </c>
      <c r="F450" s="406" t="e">
        <f t="shared" ca="1" si="165"/>
        <v>#N/A</v>
      </c>
      <c r="G450" s="406" t="e">
        <f t="shared" ca="1" si="165"/>
        <v>#N/A</v>
      </c>
      <c r="H450" s="406" t="e">
        <f t="shared" ca="1" si="165"/>
        <v>#N/A</v>
      </c>
      <c r="I450" s="406" t="e">
        <f t="shared" ref="D450:M475" ca="1" si="170">TRIM(INDIRECT("'" &amp; "TNX RTF" &amp; "'!" &amp; ADDRESS($A$3+$C450,I$1)))</f>
        <v>#N/A</v>
      </c>
      <c r="J450" s="406" t="e">
        <f t="shared" ca="1" si="170"/>
        <v>#N/A</v>
      </c>
      <c r="K450" s="406" t="e">
        <f t="shared" ca="1" si="170"/>
        <v>#N/A</v>
      </c>
      <c r="L450" s="406" t="e">
        <f t="shared" ca="1" si="170"/>
        <v>#N/A</v>
      </c>
      <c r="M450" s="406" t="e">
        <f t="shared" ca="1" si="170"/>
        <v>#N/A</v>
      </c>
      <c r="N450" s="406" t="e">
        <f t="shared" ca="1" si="168"/>
        <v>#N/A</v>
      </c>
      <c r="O450" s="406" t="e">
        <f t="shared" ca="1" si="168"/>
        <v>#N/A</v>
      </c>
      <c r="P450" s="406" t="e">
        <f t="shared" ca="1" si="168"/>
        <v>#N/A</v>
      </c>
      <c r="Q450" s="406" t="e">
        <f t="shared" ca="1" si="168"/>
        <v>#N/A</v>
      </c>
      <c r="R450" s="406" t="e">
        <f t="shared" ca="1" si="168"/>
        <v>#N/A</v>
      </c>
      <c r="S450" s="406" t="e">
        <f t="shared" ca="1" si="168"/>
        <v>#N/A</v>
      </c>
      <c r="T450" s="406" t="e">
        <f t="shared" ca="1" si="168"/>
        <v>#N/A</v>
      </c>
      <c r="U450" s="406" t="e">
        <f t="shared" ca="1" si="168"/>
        <v>#N/A</v>
      </c>
      <c r="V450" s="406" t="e">
        <f t="shared" ca="1" si="168"/>
        <v>#N/A</v>
      </c>
      <c r="W450" s="406" t="e">
        <f t="shared" ca="1" si="168"/>
        <v>#N/A</v>
      </c>
      <c r="X450" s="406" t="e">
        <f t="shared" ca="1" si="167"/>
        <v>#N/A</v>
      </c>
      <c r="Y450" s="406" t="e">
        <f t="shared" ca="1" si="167"/>
        <v>#N/A</v>
      </c>
      <c r="Z450" s="406" t="e">
        <f t="shared" ca="1" si="167"/>
        <v>#N/A</v>
      </c>
      <c r="AA450" s="406" t="e">
        <f t="shared" ca="1" si="167"/>
        <v>#N/A</v>
      </c>
      <c r="AB450" s="406" t="e">
        <f t="shared" ca="1" si="167"/>
        <v>#N/A</v>
      </c>
      <c r="AC450" s="406" t="e">
        <f t="shared" ca="1" si="167"/>
        <v>#N/A</v>
      </c>
      <c r="AD450" s="406" t="e">
        <f t="shared" ca="1" si="167"/>
        <v>#N/A</v>
      </c>
      <c r="AE450" s="406" t="e">
        <f t="shared" ca="1" si="167"/>
        <v>#N/A</v>
      </c>
      <c r="AF450" s="406" t="e">
        <f t="shared" ca="1" si="167"/>
        <v>#N/A</v>
      </c>
      <c r="AG450" s="406" t="e">
        <f t="shared" ca="1" si="167"/>
        <v>#N/A</v>
      </c>
      <c r="AH450" s="406" t="e">
        <f t="shared" ca="1" si="169"/>
        <v>#N/A</v>
      </c>
      <c r="AI450" s="406" t="e">
        <f t="shared" ca="1" si="169"/>
        <v>#N/A</v>
      </c>
      <c r="AJ450" s="406" t="e">
        <f t="shared" ca="1" si="169"/>
        <v>#N/A</v>
      </c>
      <c r="AK450" s="406" t="e">
        <f t="shared" ca="1" si="169"/>
        <v>#N/A</v>
      </c>
      <c r="AL450" s="406" t="e">
        <f t="shared" ca="1" si="169"/>
        <v>#N/A</v>
      </c>
      <c r="AM450" s="406" t="e">
        <f t="shared" ca="1" si="169"/>
        <v>#N/A</v>
      </c>
      <c r="AN450" s="406" t="e">
        <f t="shared" ca="1" si="169"/>
        <v>#N/A</v>
      </c>
      <c r="AO450" s="406" t="e">
        <f t="shared" ca="1" si="169"/>
        <v>#N/A</v>
      </c>
      <c r="AP450" s="406" t="e">
        <f t="shared" ca="1" si="169"/>
        <v>#N/A</v>
      </c>
      <c r="AQ450" s="406" t="e">
        <f t="shared" ca="1" si="169"/>
        <v>#N/A</v>
      </c>
      <c r="AR450" s="406" t="e">
        <f t="shared" ca="1" si="166"/>
        <v>#N/A</v>
      </c>
      <c r="AS450" s="406" t="e">
        <f t="shared" ca="1" si="166"/>
        <v>#N/A</v>
      </c>
      <c r="AT450" s="406" t="e">
        <f t="shared" ca="1" si="166"/>
        <v>#N/A</v>
      </c>
      <c r="AU450" s="406" t="e">
        <f t="shared" ca="1" si="166"/>
        <v>#N/A</v>
      </c>
      <c r="AV450" s="406" t="e">
        <f t="shared" ca="1" si="166"/>
        <v>#N/A</v>
      </c>
      <c r="AW450" s="406" t="e">
        <f t="shared" ca="1" si="166"/>
        <v>#N/A</v>
      </c>
      <c r="AX450" s="406" t="e">
        <f t="shared" ca="1" si="166"/>
        <v>#N/A</v>
      </c>
      <c r="AY450" s="406" t="e">
        <f t="shared" ca="1" si="166"/>
        <v>#N/A</v>
      </c>
      <c r="AZ450" s="406" t="e">
        <f t="shared" ca="1" si="166"/>
        <v>#N/A</v>
      </c>
      <c r="BA450" s="406" t="e">
        <f t="shared" ca="1" si="166"/>
        <v>#N/A</v>
      </c>
      <c r="BB450" s="408"/>
      <c r="BC450" s="408" t="str">
        <f t="shared" ref="BC450:BC502" ca="1" si="171">IFERROR(ABS(INDEX($D$2:$BA$502,MATCH($BB450,$D$2:$D$502,0),MATCH(BC$1,INDIRECT(CONCATENATE("D" &amp; $A$6 &amp; ":BA" &amp; $A$6)),0)))*(IF(RTF_unit="K",1,IF(RTF_unit="lb",1/1000,IF(RTF_unit="T",1/2,1)))),"")</f>
        <v/>
      </c>
      <c r="BD450" s="408" t="s">
        <v>1278</v>
      </c>
      <c r="BE450" s="408" t="s">
        <v>1278</v>
      </c>
    </row>
    <row r="451" spans="3:57" x14ac:dyDescent="0.25">
      <c r="C451" s="406">
        <f t="shared" si="156"/>
        <v>449</v>
      </c>
      <c r="D451" s="406" t="e">
        <f t="shared" ca="1" si="170"/>
        <v>#N/A</v>
      </c>
      <c r="E451" s="406" t="e">
        <f t="shared" ca="1" si="170"/>
        <v>#N/A</v>
      </c>
      <c r="F451" s="406" t="e">
        <f t="shared" ca="1" si="170"/>
        <v>#N/A</v>
      </c>
      <c r="G451" s="406" t="e">
        <f t="shared" ca="1" si="170"/>
        <v>#N/A</v>
      </c>
      <c r="H451" s="406" t="e">
        <f t="shared" ca="1" si="170"/>
        <v>#N/A</v>
      </c>
      <c r="I451" s="406" t="e">
        <f t="shared" ca="1" si="170"/>
        <v>#N/A</v>
      </c>
      <c r="J451" s="406" t="e">
        <f t="shared" ca="1" si="170"/>
        <v>#N/A</v>
      </c>
      <c r="K451" s="406" t="e">
        <f t="shared" ca="1" si="170"/>
        <v>#N/A</v>
      </c>
      <c r="L451" s="406" t="e">
        <f t="shared" ca="1" si="170"/>
        <v>#N/A</v>
      </c>
      <c r="M451" s="406" t="e">
        <f t="shared" ca="1" si="170"/>
        <v>#N/A</v>
      </c>
      <c r="N451" s="406" t="e">
        <f t="shared" ca="1" si="168"/>
        <v>#N/A</v>
      </c>
      <c r="O451" s="406" t="e">
        <f t="shared" ca="1" si="168"/>
        <v>#N/A</v>
      </c>
      <c r="P451" s="406" t="e">
        <f t="shared" ca="1" si="168"/>
        <v>#N/A</v>
      </c>
      <c r="Q451" s="406" t="e">
        <f t="shared" ca="1" si="168"/>
        <v>#N/A</v>
      </c>
      <c r="R451" s="406" t="e">
        <f t="shared" ca="1" si="168"/>
        <v>#N/A</v>
      </c>
      <c r="S451" s="406" t="e">
        <f t="shared" ca="1" si="168"/>
        <v>#N/A</v>
      </c>
      <c r="T451" s="406" t="e">
        <f t="shared" ca="1" si="168"/>
        <v>#N/A</v>
      </c>
      <c r="U451" s="406" t="e">
        <f t="shared" ca="1" si="168"/>
        <v>#N/A</v>
      </c>
      <c r="V451" s="406" t="e">
        <f t="shared" ca="1" si="168"/>
        <v>#N/A</v>
      </c>
      <c r="W451" s="406" t="e">
        <f t="shared" ca="1" si="168"/>
        <v>#N/A</v>
      </c>
      <c r="X451" s="406" t="e">
        <f t="shared" ca="1" si="167"/>
        <v>#N/A</v>
      </c>
      <c r="Y451" s="406" t="e">
        <f t="shared" ca="1" si="167"/>
        <v>#N/A</v>
      </c>
      <c r="Z451" s="406" t="e">
        <f t="shared" ca="1" si="167"/>
        <v>#N/A</v>
      </c>
      <c r="AA451" s="406" t="e">
        <f t="shared" ca="1" si="167"/>
        <v>#N/A</v>
      </c>
      <c r="AB451" s="406" t="e">
        <f t="shared" ca="1" si="167"/>
        <v>#N/A</v>
      </c>
      <c r="AC451" s="406" t="e">
        <f t="shared" ca="1" si="167"/>
        <v>#N/A</v>
      </c>
      <c r="AD451" s="406" t="e">
        <f t="shared" ca="1" si="167"/>
        <v>#N/A</v>
      </c>
      <c r="AE451" s="406" t="e">
        <f t="shared" ca="1" si="167"/>
        <v>#N/A</v>
      </c>
      <c r="AF451" s="406" t="e">
        <f t="shared" ca="1" si="167"/>
        <v>#N/A</v>
      </c>
      <c r="AG451" s="406" t="e">
        <f t="shared" ca="1" si="167"/>
        <v>#N/A</v>
      </c>
      <c r="AH451" s="406" t="e">
        <f t="shared" ca="1" si="169"/>
        <v>#N/A</v>
      </c>
      <c r="AI451" s="406" t="e">
        <f t="shared" ca="1" si="169"/>
        <v>#N/A</v>
      </c>
      <c r="AJ451" s="406" t="e">
        <f t="shared" ca="1" si="169"/>
        <v>#N/A</v>
      </c>
      <c r="AK451" s="406" t="e">
        <f t="shared" ca="1" si="169"/>
        <v>#N/A</v>
      </c>
      <c r="AL451" s="406" t="e">
        <f t="shared" ca="1" si="169"/>
        <v>#N/A</v>
      </c>
      <c r="AM451" s="406" t="e">
        <f t="shared" ca="1" si="169"/>
        <v>#N/A</v>
      </c>
      <c r="AN451" s="406" t="e">
        <f t="shared" ca="1" si="169"/>
        <v>#N/A</v>
      </c>
      <c r="AO451" s="406" t="e">
        <f t="shared" ca="1" si="169"/>
        <v>#N/A</v>
      </c>
      <c r="AP451" s="406" t="e">
        <f t="shared" ca="1" si="169"/>
        <v>#N/A</v>
      </c>
      <c r="AQ451" s="406" t="e">
        <f t="shared" ca="1" si="169"/>
        <v>#N/A</v>
      </c>
      <c r="AR451" s="406" t="e">
        <f t="shared" ca="1" si="166"/>
        <v>#N/A</v>
      </c>
      <c r="AS451" s="406" t="e">
        <f t="shared" ca="1" si="166"/>
        <v>#N/A</v>
      </c>
      <c r="AT451" s="406" t="e">
        <f t="shared" ca="1" si="166"/>
        <v>#N/A</v>
      </c>
      <c r="AU451" s="406" t="e">
        <f t="shared" ca="1" si="166"/>
        <v>#N/A</v>
      </c>
      <c r="AV451" s="406" t="e">
        <f t="shared" ca="1" si="166"/>
        <v>#N/A</v>
      </c>
      <c r="AW451" s="406" t="e">
        <f t="shared" ca="1" si="166"/>
        <v>#N/A</v>
      </c>
      <c r="AX451" s="406" t="e">
        <f t="shared" ca="1" si="166"/>
        <v>#N/A</v>
      </c>
      <c r="AY451" s="406" t="e">
        <f t="shared" ca="1" si="166"/>
        <v>#N/A</v>
      </c>
      <c r="AZ451" s="406" t="e">
        <f t="shared" ca="1" si="166"/>
        <v>#N/A</v>
      </c>
      <c r="BA451" s="406" t="e">
        <f t="shared" ca="1" si="166"/>
        <v>#N/A</v>
      </c>
      <c r="BB451" s="408"/>
      <c r="BC451" s="408" t="str">
        <f t="shared" ca="1" si="171"/>
        <v/>
      </c>
      <c r="BD451" s="408" t="s">
        <v>1278</v>
      </c>
      <c r="BE451" s="408" t="s">
        <v>1278</v>
      </c>
    </row>
    <row r="452" spans="3:57" x14ac:dyDescent="0.25">
      <c r="C452" s="406">
        <f t="shared" ref="C452:C502" si="172">C451+1</f>
        <v>450</v>
      </c>
      <c r="D452" s="406" t="e">
        <f t="shared" ca="1" si="170"/>
        <v>#N/A</v>
      </c>
      <c r="E452" s="406" t="e">
        <f t="shared" ca="1" si="170"/>
        <v>#N/A</v>
      </c>
      <c r="F452" s="406" t="e">
        <f t="shared" ca="1" si="170"/>
        <v>#N/A</v>
      </c>
      <c r="G452" s="406" t="e">
        <f t="shared" ca="1" si="170"/>
        <v>#N/A</v>
      </c>
      <c r="H452" s="406" t="e">
        <f t="shared" ca="1" si="170"/>
        <v>#N/A</v>
      </c>
      <c r="I452" s="406" t="e">
        <f t="shared" ca="1" si="170"/>
        <v>#N/A</v>
      </c>
      <c r="J452" s="406" t="e">
        <f t="shared" ca="1" si="170"/>
        <v>#N/A</v>
      </c>
      <c r="K452" s="406" t="e">
        <f t="shared" ca="1" si="170"/>
        <v>#N/A</v>
      </c>
      <c r="L452" s="406" t="e">
        <f t="shared" ca="1" si="170"/>
        <v>#N/A</v>
      </c>
      <c r="M452" s="406" t="e">
        <f t="shared" ca="1" si="170"/>
        <v>#N/A</v>
      </c>
      <c r="N452" s="406" t="e">
        <f t="shared" ca="1" si="168"/>
        <v>#N/A</v>
      </c>
      <c r="O452" s="406" t="e">
        <f t="shared" ca="1" si="168"/>
        <v>#N/A</v>
      </c>
      <c r="P452" s="406" t="e">
        <f t="shared" ca="1" si="168"/>
        <v>#N/A</v>
      </c>
      <c r="Q452" s="406" t="e">
        <f t="shared" ca="1" si="168"/>
        <v>#N/A</v>
      </c>
      <c r="R452" s="406" t="e">
        <f t="shared" ca="1" si="168"/>
        <v>#N/A</v>
      </c>
      <c r="S452" s="406" t="e">
        <f t="shared" ca="1" si="168"/>
        <v>#N/A</v>
      </c>
      <c r="T452" s="406" t="e">
        <f t="shared" ca="1" si="168"/>
        <v>#N/A</v>
      </c>
      <c r="U452" s="406" t="e">
        <f t="shared" ca="1" si="168"/>
        <v>#N/A</v>
      </c>
      <c r="V452" s="406" t="e">
        <f t="shared" ca="1" si="168"/>
        <v>#N/A</v>
      </c>
      <c r="W452" s="406" t="e">
        <f t="shared" ca="1" si="168"/>
        <v>#N/A</v>
      </c>
      <c r="X452" s="406" t="e">
        <f t="shared" ca="1" si="167"/>
        <v>#N/A</v>
      </c>
      <c r="Y452" s="406" t="e">
        <f t="shared" ca="1" si="167"/>
        <v>#N/A</v>
      </c>
      <c r="Z452" s="406" t="e">
        <f t="shared" ca="1" si="167"/>
        <v>#N/A</v>
      </c>
      <c r="AA452" s="406" t="e">
        <f t="shared" ca="1" si="167"/>
        <v>#N/A</v>
      </c>
      <c r="AB452" s="406" t="e">
        <f t="shared" ca="1" si="167"/>
        <v>#N/A</v>
      </c>
      <c r="AC452" s="406" t="e">
        <f t="shared" ca="1" si="167"/>
        <v>#N/A</v>
      </c>
      <c r="AD452" s="406" t="e">
        <f t="shared" ca="1" si="167"/>
        <v>#N/A</v>
      </c>
      <c r="AE452" s="406" t="e">
        <f t="shared" ca="1" si="167"/>
        <v>#N/A</v>
      </c>
      <c r="AF452" s="406" t="e">
        <f t="shared" ca="1" si="167"/>
        <v>#N/A</v>
      </c>
      <c r="AG452" s="406" t="e">
        <f t="shared" ca="1" si="167"/>
        <v>#N/A</v>
      </c>
      <c r="AH452" s="406" t="e">
        <f t="shared" ca="1" si="169"/>
        <v>#N/A</v>
      </c>
      <c r="AI452" s="406" t="e">
        <f t="shared" ca="1" si="169"/>
        <v>#N/A</v>
      </c>
      <c r="AJ452" s="406" t="e">
        <f t="shared" ca="1" si="169"/>
        <v>#N/A</v>
      </c>
      <c r="AK452" s="406" t="e">
        <f t="shared" ca="1" si="169"/>
        <v>#N/A</v>
      </c>
      <c r="AL452" s="406" t="e">
        <f t="shared" ca="1" si="169"/>
        <v>#N/A</v>
      </c>
      <c r="AM452" s="406" t="e">
        <f t="shared" ca="1" si="169"/>
        <v>#N/A</v>
      </c>
      <c r="AN452" s="406" t="e">
        <f t="shared" ca="1" si="169"/>
        <v>#N/A</v>
      </c>
      <c r="AO452" s="406" t="e">
        <f t="shared" ca="1" si="169"/>
        <v>#N/A</v>
      </c>
      <c r="AP452" s="406" t="e">
        <f t="shared" ca="1" si="169"/>
        <v>#N/A</v>
      </c>
      <c r="AQ452" s="406" t="e">
        <f t="shared" ca="1" si="169"/>
        <v>#N/A</v>
      </c>
      <c r="AR452" s="406" t="e">
        <f t="shared" ca="1" si="166"/>
        <v>#N/A</v>
      </c>
      <c r="AS452" s="406" t="e">
        <f t="shared" ca="1" si="166"/>
        <v>#N/A</v>
      </c>
      <c r="AT452" s="406" t="e">
        <f t="shared" ca="1" si="166"/>
        <v>#N/A</v>
      </c>
      <c r="AU452" s="406" t="e">
        <f t="shared" ca="1" si="166"/>
        <v>#N/A</v>
      </c>
      <c r="AV452" s="406" t="e">
        <f t="shared" ca="1" si="166"/>
        <v>#N/A</v>
      </c>
      <c r="AW452" s="406" t="e">
        <f t="shared" ca="1" si="166"/>
        <v>#N/A</v>
      </c>
      <c r="AX452" s="406" t="e">
        <f t="shared" ca="1" si="166"/>
        <v>#N/A</v>
      </c>
      <c r="AY452" s="406" t="e">
        <f t="shared" ca="1" si="166"/>
        <v>#N/A</v>
      </c>
      <c r="AZ452" s="406" t="e">
        <f t="shared" ca="1" si="166"/>
        <v>#N/A</v>
      </c>
      <c r="BA452" s="406" t="e">
        <f t="shared" ca="1" si="166"/>
        <v>#N/A</v>
      </c>
      <c r="BB452" s="408"/>
      <c r="BC452" s="408" t="str">
        <f t="shared" ca="1" si="171"/>
        <v/>
      </c>
      <c r="BD452" s="408" t="s">
        <v>1278</v>
      </c>
      <c r="BE452" s="408" t="s">
        <v>1278</v>
      </c>
    </row>
    <row r="453" spans="3:57" x14ac:dyDescent="0.25">
      <c r="C453" s="406">
        <f t="shared" si="172"/>
        <v>451</v>
      </c>
      <c r="D453" s="406" t="e">
        <f t="shared" ca="1" si="170"/>
        <v>#N/A</v>
      </c>
      <c r="E453" s="406" t="e">
        <f t="shared" ca="1" si="170"/>
        <v>#N/A</v>
      </c>
      <c r="F453" s="406" t="e">
        <f t="shared" ca="1" si="170"/>
        <v>#N/A</v>
      </c>
      <c r="G453" s="406" t="e">
        <f t="shared" ca="1" si="170"/>
        <v>#N/A</v>
      </c>
      <c r="H453" s="406" t="e">
        <f t="shared" ca="1" si="170"/>
        <v>#N/A</v>
      </c>
      <c r="I453" s="406" t="e">
        <f t="shared" ca="1" si="170"/>
        <v>#N/A</v>
      </c>
      <c r="J453" s="406" t="e">
        <f t="shared" ca="1" si="170"/>
        <v>#N/A</v>
      </c>
      <c r="K453" s="406" t="e">
        <f t="shared" ca="1" si="170"/>
        <v>#N/A</v>
      </c>
      <c r="L453" s="406" t="e">
        <f t="shared" ca="1" si="170"/>
        <v>#N/A</v>
      </c>
      <c r="M453" s="406" t="e">
        <f t="shared" ca="1" si="170"/>
        <v>#N/A</v>
      </c>
      <c r="N453" s="406" t="e">
        <f t="shared" ca="1" si="168"/>
        <v>#N/A</v>
      </c>
      <c r="O453" s="406" t="e">
        <f t="shared" ca="1" si="168"/>
        <v>#N/A</v>
      </c>
      <c r="P453" s="406" t="e">
        <f t="shared" ca="1" si="168"/>
        <v>#N/A</v>
      </c>
      <c r="Q453" s="406" t="e">
        <f t="shared" ca="1" si="168"/>
        <v>#N/A</v>
      </c>
      <c r="R453" s="406" t="e">
        <f t="shared" ca="1" si="168"/>
        <v>#N/A</v>
      </c>
      <c r="S453" s="406" t="e">
        <f t="shared" ca="1" si="168"/>
        <v>#N/A</v>
      </c>
      <c r="T453" s="406" t="e">
        <f t="shared" ca="1" si="168"/>
        <v>#N/A</v>
      </c>
      <c r="U453" s="406" t="e">
        <f t="shared" ca="1" si="168"/>
        <v>#N/A</v>
      </c>
      <c r="V453" s="406" t="e">
        <f t="shared" ca="1" si="168"/>
        <v>#N/A</v>
      </c>
      <c r="W453" s="406" t="e">
        <f t="shared" ca="1" si="168"/>
        <v>#N/A</v>
      </c>
      <c r="X453" s="406" t="e">
        <f t="shared" ca="1" si="167"/>
        <v>#N/A</v>
      </c>
      <c r="Y453" s="406" t="e">
        <f t="shared" ca="1" si="167"/>
        <v>#N/A</v>
      </c>
      <c r="Z453" s="406" t="e">
        <f t="shared" ca="1" si="167"/>
        <v>#N/A</v>
      </c>
      <c r="AA453" s="406" t="e">
        <f t="shared" ca="1" si="167"/>
        <v>#N/A</v>
      </c>
      <c r="AB453" s="406" t="e">
        <f t="shared" ca="1" si="167"/>
        <v>#N/A</v>
      </c>
      <c r="AC453" s="406" t="e">
        <f t="shared" ca="1" si="167"/>
        <v>#N/A</v>
      </c>
      <c r="AD453" s="406" t="e">
        <f t="shared" ca="1" si="167"/>
        <v>#N/A</v>
      </c>
      <c r="AE453" s="406" t="e">
        <f t="shared" ca="1" si="167"/>
        <v>#N/A</v>
      </c>
      <c r="AF453" s="406" t="e">
        <f t="shared" ca="1" si="167"/>
        <v>#N/A</v>
      </c>
      <c r="AG453" s="406" t="e">
        <f t="shared" ca="1" si="167"/>
        <v>#N/A</v>
      </c>
      <c r="AH453" s="406" t="e">
        <f t="shared" ca="1" si="169"/>
        <v>#N/A</v>
      </c>
      <c r="AI453" s="406" t="e">
        <f t="shared" ca="1" si="169"/>
        <v>#N/A</v>
      </c>
      <c r="AJ453" s="406" t="e">
        <f t="shared" ca="1" si="169"/>
        <v>#N/A</v>
      </c>
      <c r="AK453" s="406" t="e">
        <f t="shared" ca="1" si="169"/>
        <v>#N/A</v>
      </c>
      <c r="AL453" s="406" t="e">
        <f t="shared" ca="1" si="169"/>
        <v>#N/A</v>
      </c>
      <c r="AM453" s="406" t="e">
        <f t="shared" ca="1" si="169"/>
        <v>#N/A</v>
      </c>
      <c r="AN453" s="406" t="e">
        <f t="shared" ca="1" si="169"/>
        <v>#N/A</v>
      </c>
      <c r="AO453" s="406" t="e">
        <f t="shared" ca="1" si="169"/>
        <v>#N/A</v>
      </c>
      <c r="AP453" s="406" t="e">
        <f t="shared" ca="1" si="169"/>
        <v>#N/A</v>
      </c>
      <c r="AQ453" s="406" t="e">
        <f t="shared" ca="1" si="169"/>
        <v>#N/A</v>
      </c>
      <c r="AR453" s="406" t="e">
        <f t="shared" ca="1" si="166"/>
        <v>#N/A</v>
      </c>
      <c r="AS453" s="406" t="e">
        <f t="shared" ca="1" si="166"/>
        <v>#N/A</v>
      </c>
      <c r="AT453" s="406" t="e">
        <f t="shared" ca="1" si="166"/>
        <v>#N/A</v>
      </c>
      <c r="AU453" s="406" t="e">
        <f t="shared" ca="1" si="166"/>
        <v>#N/A</v>
      </c>
      <c r="AV453" s="406" t="e">
        <f t="shared" ca="1" si="166"/>
        <v>#N/A</v>
      </c>
      <c r="AW453" s="406" t="e">
        <f t="shared" ca="1" si="166"/>
        <v>#N/A</v>
      </c>
      <c r="AX453" s="406" t="e">
        <f t="shared" ca="1" si="166"/>
        <v>#N/A</v>
      </c>
      <c r="AY453" s="406" t="e">
        <f t="shared" ca="1" si="166"/>
        <v>#N/A</v>
      </c>
      <c r="AZ453" s="406" t="e">
        <f t="shared" ca="1" si="166"/>
        <v>#N/A</v>
      </c>
      <c r="BA453" s="406" t="e">
        <f t="shared" ca="1" si="166"/>
        <v>#N/A</v>
      </c>
      <c r="BB453" s="408"/>
      <c r="BC453" s="408" t="str">
        <f t="shared" ca="1" si="171"/>
        <v/>
      </c>
      <c r="BD453" s="408" t="s">
        <v>1278</v>
      </c>
      <c r="BE453" s="408" t="s">
        <v>1278</v>
      </c>
    </row>
    <row r="454" spans="3:57" x14ac:dyDescent="0.25">
      <c r="C454" s="406">
        <f t="shared" si="172"/>
        <v>452</v>
      </c>
      <c r="D454" s="406" t="e">
        <f t="shared" ca="1" si="170"/>
        <v>#N/A</v>
      </c>
      <c r="E454" s="406" t="e">
        <f t="shared" ca="1" si="170"/>
        <v>#N/A</v>
      </c>
      <c r="F454" s="406" t="e">
        <f t="shared" ca="1" si="170"/>
        <v>#N/A</v>
      </c>
      <c r="G454" s="406" t="e">
        <f t="shared" ca="1" si="170"/>
        <v>#N/A</v>
      </c>
      <c r="H454" s="406" t="e">
        <f t="shared" ca="1" si="170"/>
        <v>#N/A</v>
      </c>
      <c r="I454" s="406" t="e">
        <f t="shared" ca="1" si="170"/>
        <v>#N/A</v>
      </c>
      <c r="J454" s="406" t="e">
        <f t="shared" ca="1" si="170"/>
        <v>#N/A</v>
      </c>
      <c r="K454" s="406" t="e">
        <f t="shared" ca="1" si="170"/>
        <v>#N/A</v>
      </c>
      <c r="L454" s="406" t="e">
        <f t="shared" ca="1" si="170"/>
        <v>#N/A</v>
      </c>
      <c r="M454" s="406" t="e">
        <f t="shared" ca="1" si="170"/>
        <v>#N/A</v>
      </c>
      <c r="N454" s="406" t="e">
        <f t="shared" ca="1" si="168"/>
        <v>#N/A</v>
      </c>
      <c r="O454" s="406" t="e">
        <f t="shared" ca="1" si="168"/>
        <v>#N/A</v>
      </c>
      <c r="P454" s="406" t="e">
        <f t="shared" ca="1" si="168"/>
        <v>#N/A</v>
      </c>
      <c r="Q454" s="406" t="e">
        <f t="shared" ca="1" si="168"/>
        <v>#N/A</v>
      </c>
      <c r="R454" s="406" t="e">
        <f t="shared" ca="1" si="168"/>
        <v>#N/A</v>
      </c>
      <c r="S454" s="406" t="e">
        <f t="shared" ca="1" si="168"/>
        <v>#N/A</v>
      </c>
      <c r="T454" s="406" t="e">
        <f t="shared" ca="1" si="168"/>
        <v>#N/A</v>
      </c>
      <c r="U454" s="406" t="e">
        <f t="shared" ca="1" si="168"/>
        <v>#N/A</v>
      </c>
      <c r="V454" s="406" t="e">
        <f t="shared" ca="1" si="168"/>
        <v>#N/A</v>
      </c>
      <c r="W454" s="406" t="e">
        <f t="shared" ca="1" si="168"/>
        <v>#N/A</v>
      </c>
      <c r="X454" s="406" t="e">
        <f t="shared" ca="1" si="167"/>
        <v>#N/A</v>
      </c>
      <c r="Y454" s="406" t="e">
        <f t="shared" ca="1" si="167"/>
        <v>#N/A</v>
      </c>
      <c r="Z454" s="406" t="e">
        <f t="shared" ca="1" si="167"/>
        <v>#N/A</v>
      </c>
      <c r="AA454" s="406" t="e">
        <f t="shared" ca="1" si="167"/>
        <v>#N/A</v>
      </c>
      <c r="AB454" s="406" t="e">
        <f t="shared" ca="1" si="167"/>
        <v>#N/A</v>
      </c>
      <c r="AC454" s="406" t="e">
        <f t="shared" ca="1" si="167"/>
        <v>#N/A</v>
      </c>
      <c r="AD454" s="406" t="e">
        <f t="shared" ca="1" si="167"/>
        <v>#N/A</v>
      </c>
      <c r="AE454" s="406" t="e">
        <f t="shared" ca="1" si="167"/>
        <v>#N/A</v>
      </c>
      <c r="AF454" s="406" t="e">
        <f t="shared" ca="1" si="167"/>
        <v>#N/A</v>
      </c>
      <c r="AG454" s="406" t="e">
        <f t="shared" ca="1" si="167"/>
        <v>#N/A</v>
      </c>
      <c r="AH454" s="406" t="e">
        <f t="shared" ca="1" si="169"/>
        <v>#N/A</v>
      </c>
      <c r="AI454" s="406" t="e">
        <f t="shared" ca="1" si="169"/>
        <v>#N/A</v>
      </c>
      <c r="AJ454" s="406" t="e">
        <f t="shared" ca="1" si="169"/>
        <v>#N/A</v>
      </c>
      <c r="AK454" s="406" t="e">
        <f t="shared" ca="1" si="169"/>
        <v>#N/A</v>
      </c>
      <c r="AL454" s="406" t="e">
        <f t="shared" ca="1" si="169"/>
        <v>#N/A</v>
      </c>
      <c r="AM454" s="406" t="e">
        <f t="shared" ca="1" si="169"/>
        <v>#N/A</v>
      </c>
      <c r="AN454" s="406" t="e">
        <f t="shared" ca="1" si="169"/>
        <v>#N/A</v>
      </c>
      <c r="AO454" s="406" t="e">
        <f t="shared" ca="1" si="169"/>
        <v>#N/A</v>
      </c>
      <c r="AP454" s="406" t="e">
        <f t="shared" ca="1" si="169"/>
        <v>#N/A</v>
      </c>
      <c r="AQ454" s="406" t="e">
        <f t="shared" ca="1" si="169"/>
        <v>#N/A</v>
      </c>
      <c r="AR454" s="406" t="e">
        <f t="shared" ca="1" si="166"/>
        <v>#N/A</v>
      </c>
      <c r="AS454" s="406" t="e">
        <f t="shared" ca="1" si="166"/>
        <v>#N/A</v>
      </c>
      <c r="AT454" s="406" t="e">
        <f t="shared" ca="1" si="166"/>
        <v>#N/A</v>
      </c>
      <c r="AU454" s="406" t="e">
        <f t="shared" ca="1" si="166"/>
        <v>#N/A</v>
      </c>
      <c r="AV454" s="406" t="e">
        <f t="shared" ca="1" si="166"/>
        <v>#N/A</v>
      </c>
      <c r="AW454" s="406" t="e">
        <f t="shared" ca="1" si="166"/>
        <v>#N/A</v>
      </c>
      <c r="AX454" s="406" t="e">
        <f t="shared" ca="1" si="166"/>
        <v>#N/A</v>
      </c>
      <c r="AY454" s="406" t="e">
        <f t="shared" ca="1" si="166"/>
        <v>#N/A</v>
      </c>
      <c r="AZ454" s="406" t="e">
        <f t="shared" ca="1" si="166"/>
        <v>#N/A</v>
      </c>
      <c r="BA454" s="406" t="e">
        <f t="shared" ca="1" si="166"/>
        <v>#N/A</v>
      </c>
      <c r="BB454" s="408"/>
      <c r="BC454" s="408" t="str">
        <f t="shared" ca="1" si="171"/>
        <v/>
      </c>
      <c r="BD454" s="408" t="s">
        <v>1278</v>
      </c>
      <c r="BE454" s="408" t="s">
        <v>1278</v>
      </c>
    </row>
    <row r="455" spans="3:57" x14ac:dyDescent="0.25">
      <c r="C455" s="406">
        <f t="shared" si="172"/>
        <v>453</v>
      </c>
      <c r="D455" s="406" t="e">
        <f t="shared" ca="1" si="170"/>
        <v>#N/A</v>
      </c>
      <c r="E455" s="406" t="e">
        <f t="shared" ca="1" si="170"/>
        <v>#N/A</v>
      </c>
      <c r="F455" s="406" t="e">
        <f t="shared" ca="1" si="170"/>
        <v>#N/A</v>
      </c>
      <c r="G455" s="406" t="e">
        <f t="shared" ca="1" si="170"/>
        <v>#N/A</v>
      </c>
      <c r="H455" s="406" t="e">
        <f t="shared" ca="1" si="170"/>
        <v>#N/A</v>
      </c>
      <c r="I455" s="406" t="e">
        <f t="shared" ca="1" si="170"/>
        <v>#N/A</v>
      </c>
      <c r="J455" s="406" t="e">
        <f t="shared" ca="1" si="170"/>
        <v>#N/A</v>
      </c>
      <c r="K455" s="406" t="e">
        <f t="shared" ca="1" si="170"/>
        <v>#N/A</v>
      </c>
      <c r="L455" s="406" t="e">
        <f t="shared" ca="1" si="170"/>
        <v>#N/A</v>
      </c>
      <c r="M455" s="406" t="e">
        <f t="shared" ca="1" si="170"/>
        <v>#N/A</v>
      </c>
      <c r="N455" s="406" t="e">
        <f t="shared" ca="1" si="168"/>
        <v>#N/A</v>
      </c>
      <c r="O455" s="406" t="e">
        <f t="shared" ca="1" si="168"/>
        <v>#N/A</v>
      </c>
      <c r="P455" s="406" t="e">
        <f t="shared" ca="1" si="168"/>
        <v>#N/A</v>
      </c>
      <c r="Q455" s="406" t="e">
        <f t="shared" ca="1" si="168"/>
        <v>#N/A</v>
      </c>
      <c r="R455" s="406" t="e">
        <f t="shared" ca="1" si="168"/>
        <v>#N/A</v>
      </c>
      <c r="S455" s="406" t="e">
        <f t="shared" ca="1" si="168"/>
        <v>#N/A</v>
      </c>
      <c r="T455" s="406" t="e">
        <f t="shared" ca="1" si="168"/>
        <v>#N/A</v>
      </c>
      <c r="U455" s="406" t="e">
        <f t="shared" ca="1" si="168"/>
        <v>#N/A</v>
      </c>
      <c r="V455" s="406" t="e">
        <f t="shared" ca="1" si="168"/>
        <v>#N/A</v>
      </c>
      <c r="W455" s="406" t="e">
        <f t="shared" ca="1" si="168"/>
        <v>#N/A</v>
      </c>
      <c r="X455" s="406" t="e">
        <f t="shared" ca="1" si="167"/>
        <v>#N/A</v>
      </c>
      <c r="Y455" s="406" t="e">
        <f t="shared" ca="1" si="167"/>
        <v>#N/A</v>
      </c>
      <c r="Z455" s="406" t="e">
        <f t="shared" ca="1" si="167"/>
        <v>#N/A</v>
      </c>
      <c r="AA455" s="406" t="e">
        <f t="shared" ca="1" si="167"/>
        <v>#N/A</v>
      </c>
      <c r="AB455" s="406" t="e">
        <f t="shared" ca="1" si="167"/>
        <v>#N/A</v>
      </c>
      <c r="AC455" s="406" t="e">
        <f t="shared" ca="1" si="167"/>
        <v>#N/A</v>
      </c>
      <c r="AD455" s="406" t="e">
        <f t="shared" ca="1" si="167"/>
        <v>#N/A</v>
      </c>
      <c r="AE455" s="406" t="e">
        <f t="shared" ca="1" si="167"/>
        <v>#N/A</v>
      </c>
      <c r="AF455" s="406" t="e">
        <f t="shared" ca="1" si="167"/>
        <v>#N/A</v>
      </c>
      <c r="AG455" s="406" t="e">
        <f t="shared" ca="1" si="167"/>
        <v>#N/A</v>
      </c>
      <c r="AH455" s="406" t="e">
        <f t="shared" ca="1" si="169"/>
        <v>#N/A</v>
      </c>
      <c r="AI455" s="406" t="e">
        <f t="shared" ca="1" si="169"/>
        <v>#N/A</v>
      </c>
      <c r="AJ455" s="406" t="e">
        <f t="shared" ca="1" si="169"/>
        <v>#N/A</v>
      </c>
      <c r="AK455" s="406" t="e">
        <f t="shared" ca="1" si="169"/>
        <v>#N/A</v>
      </c>
      <c r="AL455" s="406" t="e">
        <f t="shared" ca="1" si="169"/>
        <v>#N/A</v>
      </c>
      <c r="AM455" s="406" t="e">
        <f t="shared" ca="1" si="169"/>
        <v>#N/A</v>
      </c>
      <c r="AN455" s="406" t="e">
        <f t="shared" ca="1" si="169"/>
        <v>#N/A</v>
      </c>
      <c r="AO455" s="406" t="e">
        <f t="shared" ca="1" si="169"/>
        <v>#N/A</v>
      </c>
      <c r="AP455" s="406" t="e">
        <f t="shared" ca="1" si="169"/>
        <v>#N/A</v>
      </c>
      <c r="AQ455" s="406" t="e">
        <f t="shared" ca="1" si="169"/>
        <v>#N/A</v>
      </c>
      <c r="AR455" s="406" t="e">
        <f t="shared" ca="1" si="166"/>
        <v>#N/A</v>
      </c>
      <c r="AS455" s="406" t="e">
        <f t="shared" ca="1" si="166"/>
        <v>#N/A</v>
      </c>
      <c r="AT455" s="406" t="e">
        <f t="shared" ca="1" si="166"/>
        <v>#N/A</v>
      </c>
      <c r="AU455" s="406" t="e">
        <f t="shared" ca="1" si="166"/>
        <v>#N/A</v>
      </c>
      <c r="AV455" s="406" t="e">
        <f t="shared" ca="1" si="166"/>
        <v>#N/A</v>
      </c>
      <c r="AW455" s="406" t="e">
        <f t="shared" ca="1" si="166"/>
        <v>#N/A</v>
      </c>
      <c r="AX455" s="406" t="e">
        <f t="shared" ca="1" si="166"/>
        <v>#N/A</v>
      </c>
      <c r="AY455" s="406" t="e">
        <f t="shared" ca="1" si="166"/>
        <v>#N/A</v>
      </c>
      <c r="AZ455" s="406" t="e">
        <f t="shared" ca="1" si="166"/>
        <v>#N/A</v>
      </c>
      <c r="BA455" s="406" t="e">
        <f t="shared" ca="1" si="166"/>
        <v>#N/A</v>
      </c>
      <c r="BB455" s="408"/>
      <c r="BC455" s="408" t="str">
        <f t="shared" ca="1" si="171"/>
        <v/>
      </c>
      <c r="BD455" s="408" t="s">
        <v>1278</v>
      </c>
      <c r="BE455" s="408" t="s">
        <v>1278</v>
      </c>
    </row>
    <row r="456" spans="3:57" x14ac:dyDescent="0.25">
      <c r="C456" s="406">
        <f t="shared" si="172"/>
        <v>454</v>
      </c>
      <c r="D456" s="406" t="e">
        <f t="shared" ca="1" si="170"/>
        <v>#N/A</v>
      </c>
      <c r="E456" s="406" t="e">
        <f t="shared" ca="1" si="170"/>
        <v>#N/A</v>
      </c>
      <c r="F456" s="406" t="e">
        <f t="shared" ca="1" si="170"/>
        <v>#N/A</v>
      </c>
      <c r="G456" s="406" t="e">
        <f t="shared" ca="1" si="170"/>
        <v>#N/A</v>
      </c>
      <c r="H456" s="406" t="e">
        <f t="shared" ca="1" si="170"/>
        <v>#N/A</v>
      </c>
      <c r="I456" s="406" t="e">
        <f t="shared" ca="1" si="170"/>
        <v>#N/A</v>
      </c>
      <c r="J456" s="406" t="e">
        <f t="shared" ca="1" si="170"/>
        <v>#N/A</v>
      </c>
      <c r="K456" s="406" t="e">
        <f t="shared" ca="1" si="170"/>
        <v>#N/A</v>
      </c>
      <c r="L456" s="406" t="e">
        <f t="shared" ca="1" si="170"/>
        <v>#N/A</v>
      </c>
      <c r="M456" s="406" t="e">
        <f t="shared" ca="1" si="170"/>
        <v>#N/A</v>
      </c>
      <c r="N456" s="406" t="e">
        <f t="shared" ca="1" si="168"/>
        <v>#N/A</v>
      </c>
      <c r="O456" s="406" t="e">
        <f t="shared" ca="1" si="168"/>
        <v>#N/A</v>
      </c>
      <c r="P456" s="406" t="e">
        <f t="shared" ca="1" si="168"/>
        <v>#N/A</v>
      </c>
      <c r="Q456" s="406" t="e">
        <f t="shared" ca="1" si="168"/>
        <v>#N/A</v>
      </c>
      <c r="R456" s="406" t="e">
        <f t="shared" ca="1" si="168"/>
        <v>#N/A</v>
      </c>
      <c r="S456" s="406" t="e">
        <f t="shared" ca="1" si="168"/>
        <v>#N/A</v>
      </c>
      <c r="T456" s="406" t="e">
        <f t="shared" ca="1" si="168"/>
        <v>#N/A</v>
      </c>
      <c r="U456" s="406" t="e">
        <f t="shared" ca="1" si="168"/>
        <v>#N/A</v>
      </c>
      <c r="V456" s="406" t="e">
        <f t="shared" ca="1" si="168"/>
        <v>#N/A</v>
      </c>
      <c r="W456" s="406" t="e">
        <f t="shared" ca="1" si="168"/>
        <v>#N/A</v>
      </c>
      <c r="X456" s="406" t="e">
        <f t="shared" ca="1" si="167"/>
        <v>#N/A</v>
      </c>
      <c r="Y456" s="406" t="e">
        <f t="shared" ca="1" si="167"/>
        <v>#N/A</v>
      </c>
      <c r="Z456" s="406" t="e">
        <f t="shared" ca="1" si="167"/>
        <v>#N/A</v>
      </c>
      <c r="AA456" s="406" t="e">
        <f t="shared" ca="1" si="167"/>
        <v>#N/A</v>
      </c>
      <c r="AB456" s="406" t="e">
        <f t="shared" ca="1" si="167"/>
        <v>#N/A</v>
      </c>
      <c r="AC456" s="406" t="e">
        <f t="shared" ca="1" si="167"/>
        <v>#N/A</v>
      </c>
      <c r="AD456" s="406" t="e">
        <f t="shared" ca="1" si="167"/>
        <v>#N/A</v>
      </c>
      <c r="AE456" s="406" t="e">
        <f t="shared" ca="1" si="167"/>
        <v>#N/A</v>
      </c>
      <c r="AF456" s="406" t="e">
        <f t="shared" ca="1" si="167"/>
        <v>#N/A</v>
      </c>
      <c r="AG456" s="406" t="e">
        <f t="shared" ca="1" si="167"/>
        <v>#N/A</v>
      </c>
      <c r="AH456" s="406" t="e">
        <f t="shared" ca="1" si="169"/>
        <v>#N/A</v>
      </c>
      <c r="AI456" s="406" t="e">
        <f t="shared" ca="1" si="169"/>
        <v>#N/A</v>
      </c>
      <c r="AJ456" s="406" t="e">
        <f t="shared" ca="1" si="169"/>
        <v>#N/A</v>
      </c>
      <c r="AK456" s="406" t="e">
        <f t="shared" ca="1" si="169"/>
        <v>#N/A</v>
      </c>
      <c r="AL456" s="406" t="e">
        <f t="shared" ca="1" si="169"/>
        <v>#N/A</v>
      </c>
      <c r="AM456" s="406" t="e">
        <f t="shared" ca="1" si="169"/>
        <v>#N/A</v>
      </c>
      <c r="AN456" s="406" t="e">
        <f t="shared" ca="1" si="169"/>
        <v>#N/A</v>
      </c>
      <c r="AO456" s="406" t="e">
        <f t="shared" ca="1" si="169"/>
        <v>#N/A</v>
      </c>
      <c r="AP456" s="406" t="e">
        <f t="shared" ca="1" si="169"/>
        <v>#N/A</v>
      </c>
      <c r="AQ456" s="406" t="e">
        <f t="shared" ca="1" si="169"/>
        <v>#N/A</v>
      </c>
      <c r="AR456" s="406" t="e">
        <f t="shared" ca="1" si="166"/>
        <v>#N/A</v>
      </c>
      <c r="AS456" s="406" t="e">
        <f t="shared" ca="1" si="166"/>
        <v>#N/A</v>
      </c>
      <c r="AT456" s="406" t="e">
        <f t="shared" ca="1" si="166"/>
        <v>#N/A</v>
      </c>
      <c r="AU456" s="406" t="e">
        <f t="shared" ca="1" si="166"/>
        <v>#N/A</v>
      </c>
      <c r="AV456" s="406" t="e">
        <f t="shared" ca="1" si="166"/>
        <v>#N/A</v>
      </c>
      <c r="AW456" s="406" t="e">
        <f t="shared" ca="1" si="166"/>
        <v>#N/A</v>
      </c>
      <c r="AX456" s="406" t="e">
        <f t="shared" ca="1" si="166"/>
        <v>#N/A</v>
      </c>
      <c r="AY456" s="406" t="e">
        <f t="shared" ca="1" si="166"/>
        <v>#N/A</v>
      </c>
      <c r="AZ456" s="406" t="e">
        <f t="shared" ca="1" si="166"/>
        <v>#N/A</v>
      </c>
      <c r="BA456" s="406" t="e">
        <f t="shared" ca="1" si="166"/>
        <v>#N/A</v>
      </c>
      <c r="BB456" s="408"/>
      <c r="BC456" s="408" t="str">
        <f t="shared" ca="1" si="171"/>
        <v/>
      </c>
      <c r="BD456" s="408" t="s">
        <v>1278</v>
      </c>
      <c r="BE456" s="408" t="s">
        <v>1278</v>
      </c>
    </row>
    <row r="457" spans="3:57" x14ac:dyDescent="0.25">
      <c r="C457" s="406">
        <f t="shared" si="172"/>
        <v>455</v>
      </c>
      <c r="D457" s="406" t="e">
        <f t="shared" ca="1" si="170"/>
        <v>#N/A</v>
      </c>
      <c r="E457" s="406" t="e">
        <f t="shared" ca="1" si="170"/>
        <v>#N/A</v>
      </c>
      <c r="F457" s="406" t="e">
        <f t="shared" ca="1" si="170"/>
        <v>#N/A</v>
      </c>
      <c r="G457" s="406" t="e">
        <f t="shared" ca="1" si="170"/>
        <v>#N/A</v>
      </c>
      <c r="H457" s="406" t="e">
        <f t="shared" ca="1" si="170"/>
        <v>#N/A</v>
      </c>
      <c r="I457" s="406" t="e">
        <f t="shared" ca="1" si="170"/>
        <v>#N/A</v>
      </c>
      <c r="J457" s="406" t="e">
        <f t="shared" ca="1" si="170"/>
        <v>#N/A</v>
      </c>
      <c r="K457" s="406" t="e">
        <f t="shared" ca="1" si="170"/>
        <v>#N/A</v>
      </c>
      <c r="L457" s="406" t="e">
        <f t="shared" ca="1" si="170"/>
        <v>#N/A</v>
      </c>
      <c r="M457" s="406" t="e">
        <f t="shared" ca="1" si="170"/>
        <v>#N/A</v>
      </c>
      <c r="N457" s="406" t="e">
        <f t="shared" ca="1" si="168"/>
        <v>#N/A</v>
      </c>
      <c r="O457" s="406" t="e">
        <f t="shared" ca="1" si="168"/>
        <v>#N/A</v>
      </c>
      <c r="P457" s="406" t="e">
        <f t="shared" ca="1" si="168"/>
        <v>#N/A</v>
      </c>
      <c r="Q457" s="406" t="e">
        <f t="shared" ca="1" si="168"/>
        <v>#N/A</v>
      </c>
      <c r="R457" s="406" t="e">
        <f t="shared" ca="1" si="168"/>
        <v>#N/A</v>
      </c>
      <c r="S457" s="406" t="e">
        <f t="shared" ca="1" si="168"/>
        <v>#N/A</v>
      </c>
      <c r="T457" s="406" t="e">
        <f t="shared" ca="1" si="168"/>
        <v>#N/A</v>
      </c>
      <c r="U457" s="406" t="e">
        <f t="shared" ca="1" si="168"/>
        <v>#N/A</v>
      </c>
      <c r="V457" s="406" t="e">
        <f t="shared" ca="1" si="168"/>
        <v>#N/A</v>
      </c>
      <c r="W457" s="406" t="e">
        <f t="shared" ca="1" si="168"/>
        <v>#N/A</v>
      </c>
      <c r="X457" s="406" t="e">
        <f t="shared" ca="1" si="167"/>
        <v>#N/A</v>
      </c>
      <c r="Y457" s="406" t="e">
        <f t="shared" ca="1" si="167"/>
        <v>#N/A</v>
      </c>
      <c r="Z457" s="406" t="e">
        <f t="shared" ca="1" si="167"/>
        <v>#N/A</v>
      </c>
      <c r="AA457" s="406" t="e">
        <f t="shared" ca="1" si="167"/>
        <v>#N/A</v>
      </c>
      <c r="AB457" s="406" t="e">
        <f t="shared" ca="1" si="167"/>
        <v>#N/A</v>
      </c>
      <c r="AC457" s="406" t="e">
        <f t="shared" ca="1" si="167"/>
        <v>#N/A</v>
      </c>
      <c r="AD457" s="406" t="e">
        <f t="shared" ca="1" si="167"/>
        <v>#N/A</v>
      </c>
      <c r="AE457" s="406" t="e">
        <f t="shared" ca="1" si="167"/>
        <v>#N/A</v>
      </c>
      <c r="AF457" s="406" t="e">
        <f t="shared" ca="1" si="167"/>
        <v>#N/A</v>
      </c>
      <c r="AG457" s="406" t="e">
        <f t="shared" ca="1" si="167"/>
        <v>#N/A</v>
      </c>
      <c r="AH457" s="406" t="e">
        <f t="shared" ca="1" si="169"/>
        <v>#N/A</v>
      </c>
      <c r="AI457" s="406" t="e">
        <f t="shared" ca="1" si="169"/>
        <v>#N/A</v>
      </c>
      <c r="AJ457" s="406" t="e">
        <f t="shared" ca="1" si="169"/>
        <v>#N/A</v>
      </c>
      <c r="AK457" s="406" t="e">
        <f t="shared" ca="1" si="169"/>
        <v>#N/A</v>
      </c>
      <c r="AL457" s="406" t="e">
        <f t="shared" ca="1" si="169"/>
        <v>#N/A</v>
      </c>
      <c r="AM457" s="406" t="e">
        <f t="shared" ca="1" si="169"/>
        <v>#N/A</v>
      </c>
      <c r="AN457" s="406" t="e">
        <f t="shared" ca="1" si="169"/>
        <v>#N/A</v>
      </c>
      <c r="AO457" s="406" t="e">
        <f t="shared" ca="1" si="169"/>
        <v>#N/A</v>
      </c>
      <c r="AP457" s="406" t="e">
        <f t="shared" ca="1" si="169"/>
        <v>#N/A</v>
      </c>
      <c r="AQ457" s="406" t="e">
        <f t="shared" ca="1" si="169"/>
        <v>#N/A</v>
      </c>
      <c r="AR457" s="406" t="e">
        <f t="shared" ca="1" si="166"/>
        <v>#N/A</v>
      </c>
      <c r="AS457" s="406" t="e">
        <f t="shared" ca="1" si="166"/>
        <v>#N/A</v>
      </c>
      <c r="AT457" s="406" t="e">
        <f t="shared" ca="1" si="166"/>
        <v>#N/A</v>
      </c>
      <c r="AU457" s="406" t="e">
        <f t="shared" ca="1" si="166"/>
        <v>#N/A</v>
      </c>
      <c r="AV457" s="406" t="e">
        <f t="shared" ca="1" si="166"/>
        <v>#N/A</v>
      </c>
      <c r="AW457" s="406" t="e">
        <f t="shared" ca="1" si="166"/>
        <v>#N/A</v>
      </c>
      <c r="AX457" s="406" t="e">
        <f t="shared" ca="1" si="166"/>
        <v>#N/A</v>
      </c>
      <c r="AY457" s="406" t="e">
        <f t="shared" ca="1" si="166"/>
        <v>#N/A</v>
      </c>
      <c r="AZ457" s="406" t="e">
        <f t="shared" ca="1" si="166"/>
        <v>#N/A</v>
      </c>
      <c r="BA457" s="406" t="e">
        <f t="shared" ca="1" si="166"/>
        <v>#N/A</v>
      </c>
      <c r="BB457" s="408"/>
      <c r="BC457" s="408" t="str">
        <f t="shared" ca="1" si="171"/>
        <v/>
      </c>
      <c r="BD457" s="408" t="s">
        <v>1278</v>
      </c>
      <c r="BE457" s="408" t="s">
        <v>1278</v>
      </c>
    </row>
    <row r="458" spans="3:57" x14ac:dyDescent="0.25">
      <c r="C458" s="406">
        <f t="shared" si="172"/>
        <v>456</v>
      </c>
      <c r="D458" s="406" t="e">
        <f t="shared" ca="1" si="170"/>
        <v>#N/A</v>
      </c>
      <c r="E458" s="406" t="e">
        <f t="shared" ca="1" si="170"/>
        <v>#N/A</v>
      </c>
      <c r="F458" s="406" t="e">
        <f t="shared" ca="1" si="170"/>
        <v>#N/A</v>
      </c>
      <c r="G458" s="406" t="e">
        <f t="shared" ca="1" si="170"/>
        <v>#N/A</v>
      </c>
      <c r="H458" s="406" t="e">
        <f t="shared" ca="1" si="170"/>
        <v>#N/A</v>
      </c>
      <c r="I458" s="406" t="e">
        <f t="shared" ca="1" si="170"/>
        <v>#N/A</v>
      </c>
      <c r="J458" s="406" t="e">
        <f t="shared" ca="1" si="170"/>
        <v>#N/A</v>
      </c>
      <c r="K458" s="406" t="e">
        <f t="shared" ca="1" si="170"/>
        <v>#N/A</v>
      </c>
      <c r="L458" s="406" t="e">
        <f t="shared" ca="1" si="170"/>
        <v>#N/A</v>
      </c>
      <c r="M458" s="406" t="e">
        <f t="shared" ca="1" si="170"/>
        <v>#N/A</v>
      </c>
      <c r="N458" s="406" t="e">
        <f t="shared" ca="1" si="168"/>
        <v>#N/A</v>
      </c>
      <c r="O458" s="406" t="e">
        <f t="shared" ca="1" si="168"/>
        <v>#N/A</v>
      </c>
      <c r="P458" s="406" t="e">
        <f t="shared" ca="1" si="168"/>
        <v>#N/A</v>
      </c>
      <c r="Q458" s="406" t="e">
        <f t="shared" ca="1" si="168"/>
        <v>#N/A</v>
      </c>
      <c r="R458" s="406" t="e">
        <f t="shared" ca="1" si="168"/>
        <v>#N/A</v>
      </c>
      <c r="S458" s="406" t="e">
        <f t="shared" ca="1" si="168"/>
        <v>#N/A</v>
      </c>
      <c r="T458" s="406" t="e">
        <f t="shared" ca="1" si="168"/>
        <v>#N/A</v>
      </c>
      <c r="U458" s="406" t="e">
        <f t="shared" ca="1" si="168"/>
        <v>#N/A</v>
      </c>
      <c r="V458" s="406" t="e">
        <f t="shared" ca="1" si="168"/>
        <v>#N/A</v>
      </c>
      <c r="W458" s="406" t="e">
        <f t="shared" ca="1" si="168"/>
        <v>#N/A</v>
      </c>
      <c r="X458" s="406" t="e">
        <f t="shared" ca="1" si="167"/>
        <v>#N/A</v>
      </c>
      <c r="Y458" s="406" t="e">
        <f t="shared" ca="1" si="167"/>
        <v>#N/A</v>
      </c>
      <c r="Z458" s="406" t="e">
        <f t="shared" ca="1" si="167"/>
        <v>#N/A</v>
      </c>
      <c r="AA458" s="406" t="e">
        <f t="shared" ca="1" si="167"/>
        <v>#N/A</v>
      </c>
      <c r="AB458" s="406" t="e">
        <f t="shared" ca="1" si="167"/>
        <v>#N/A</v>
      </c>
      <c r="AC458" s="406" t="e">
        <f t="shared" ca="1" si="167"/>
        <v>#N/A</v>
      </c>
      <c r="AD458" s="406" t="e">
        <f t="shared" ca="1" si="167"/>
        <v>#N/A</v>
      </c>
      <c r="AE458" s="406" t="e">
        <f t="shared" ca="1" si="167"/>
        <v>#N/A</v>
      </c>
      <c r="AF458" s="406" t="e">
        <f t="shared" ca="1" si="167"/>
        <v>#N/A</v>
      </c>
      <c r="AG458" s="406" t="e">
        <f t="shared" ca="1" si="167"/>
        <v>#N/A</v>
      </c>
      <c r="AH458" s="406" t="e">
        <f t="shared" ca="1" si="169"/>
        <v>#N/A</v>
      </c>
      <c r="AI458" s="406" t="e">
        <f t="shared" ca="1" si="169"/>
        <v>#N/A</v>
      </c>
      <c r="AJ458" s="406" t="e">
        <f t="shared" ca="1" si="169"/>
        <v>#N/A</v>
      </c>
      <c r="AK458" s="406" t="e">
        <f t="shared" ca="1" si="169"/>
        <v>#N/A</v>
      </c>
      <c r="AL458" s="406" t="e">
        <f t="shared" ca="1" si="169"/>
        <v>#N/A</v>
      </c>
      <c r="AM458" s="406" t="e">
        <f t="shared" ca="1" si="169"/>
        <v>#N/A</v>
      </c>
      <c r="AN458" s="406" t="e">
        <f t="shared" ca="1" si="169"/>
        <v>#N/A</v>
      </c>
      <c r="AO458" s="406" t="e">
        <f t="shared" ca="1" si="169"/>
        <v>#N/A</v>
      </c>
      <c r="AP458" s="406" t="e">
        <f t="shared" ca="1" si="169"/>
        <v>#N/A</v>
      </c>
      <c r="AQ458" s="406" t="e">
        <f t="shared" ca="1" si="169"/>
        <v>#N/A</v>
      </c>
      <c r="AR458" s="406" t="e">
        <f t="shared" ca="1" si="166"/>
        <v>#N/A</v>
      </c>
      <c r="AS458" s="406" t="e">
        <f t="shared" ca="1" si="166"/>
        <v>#N/A</v>
      </c>
      <c r="AT458" s="406" t="e">
        <f t="shared" ca="1" si="166"/>
        <v>#N/A</v>
      </c>
      <c r="AU458" s="406" t="e">
        <f t="shared" ca="1" si="166"/>
        <v>#N/A</v>
      </c>
      <c r="AV458" s="406" t="e">
        <f t="shared" ca="1" si="166"/>
        <v>#N/A</v>
      </c>
      <c r="AW458" s="406" t="e">
        <f t="shared" ca="1" si="166"/>
        <v>#N/A</v>
      </c>
      <c r="AX458" s="406" t="e">
        <f t="shared" ca="1" si="166"/>
        <v>#N/A</v>
      </c>
      <c r="AY458" s="406" t="e">
        <f t="shared" ca="1" si="166"/>
        <v>#N/A</v>
      </c>
      <c r="AZ458" s="406" t="e">
        <f t="shared" ca="1" si="166"/>
        <v>#N/A</v>
      </c>
      <c r="BA458" s="406" t="e">
        <f t="shared" ca="1" si="166"/>
        <v>#N/A</v>
      </c>
      <c r="BB458" s="408"/>
      <c r="BC458" s="408" t="str">
        <f t="shared" ca="1" si="171"/>
        <v/>
      </c>
      <c r="BD458" s="408" t="s">
        <v>1278</v>
      </c>
      <c r="BE458" s="408" t="s">
        <v>1278</v>
      </c>
    </row>
    <row r="459" spans="3:57" ht="15" customHeight="1" x14ac:dyDescent="0.25">
      <c r="C459" s="406">
        <f t="shared" si="172"/>
        <v>457</v>
      </c>
      <c r="D459" s="406" t="e">
        <f t="shared" ca="1" si="170"/>
        <v>#N/A</v>
      </c>
      <c r="E459" s="406" t="e">
        <f t="shared" ca="1" si="170"/>
        <v>#N/A</v>
      </c>
      <c r="F459" s="406" t="e">
        <f t="shared" ca="1" si="170"/>
        <v>#N/A</v>
      </c>
      <c r="G459" s="406" t="e">
        <f t="shared" ca="1" si="170"/>
        <v>#N/A</v>
      </c>
      <c r="H459" s="406" t="e">
        <f t="shared" ca="1" si="170"/>
        <v>#N/A</v>
      </c>
      <c r="I459" s="406" t="e">
        <f t="shared" ca="1" si="170"/>
        <v>#N/A</v>
      </c>
      <c r="J459" s="406" t="e">
        <f t="shared" ca="1" si="170"/>
        <v>#N/A</v>
      </c>
      <c r="K459" s="406" t="e">
        <f t="shared" ca="1" si="170"/>
        <v>#N/A</v>
      </c>
      <c r="L459" s="406" t="e">
        <f t="shared" ca="1" si="170"/>
        <v>#N/A</v>
      </c>
      <c r="M459" s="406" t="e">
        <f t="shared" ca="1" si="170"/>
        <v>#N/A</v>
      </c>
      <c r="N459" s="406" t="e">
        <f t="shared" ca="1" si="168"/>
        <v>#N/A</v>
      </c>
      <c r="O459" s="406" t="e">
        <f t="shared" ca="1" si="168"/>
        <v>#N/A</v>
      </c>
      <c r="P459" s="406" t="e">
        <f t="shared" ca="1" si="168"/>
        <v>#N/A</v>
      </c>
      <c r="Q459" s="406" t="e">
        <f t="shared" ca="1" si="168"/>
        <v>#N/A</v>
      </c>
      <c r="R459" s="406" t="e">
        <f t="shared" ca="1" si="168"/>
        <v>#N/A</v>
      </c>
      <c r="S459" s="406" t="e">
        <f t="shared" ca="1" si="168"/>
        <v>#N/A</v>
      </c>
      <c r="T459" s="406" t="e">
        <f t="shared" ca="1" si="168"/>
        <v>#N/A</v>
      </c>
      <c r="U459" s="406" t="e">
        <f t="shared" ca="1" si="168"/>
        <v>#N/A</v>
      </c>
      <c r="V459" s="406" t="e">
        <f t="shared" ca="1" si="168"/>
        <v>#N/A</v>
      </c>
      <c r="W459" s="406" t="e">
        <f t="shared" ca="1" si="168"/>
        <v>#N/A</v>
      </c>
      <c r="X459" s="406" t="e">
        <f t="shared" ca="1" si="167"/>
        <v>#N/A</v>
      </c>
      <c r="Y459" s="406" t="e">
        <f t="shared" ca="1" si="167"/>
        <v>#N/A</v>
      </c>
      <c r="Z459" s="406" t="e">
        <f t="shared" ca="1" si="167"/>
        <v>#N/A</v>
      </c>
      <c r="AA459" s="406" t="e">
        <f t="shared" ca="1" si="167"/>
        <v>#N/A</v>
      </c>
      <c r="AB459" s="406" t="e">
        <f t="shared" ca="1" si="167"/>
        <v>#N/A</v>
      </c>
      <c r="AC459" s="406" t="e">
        <f t="shared" ca="1" si="167"/>
        <v>#N/A</v>
      </c>
      <c r="AD459" s="406" t="e">
        <f t="shared" ca="1" si="167"/>
        <v>#N/A</v>
      </c>
      <c r="AE459" s="406" t="e">
        <f t="shared" ca="1" si="167"/>
        <v>#N/A</v>
      </c>
      <c r="AF459" s="406" t="e">
        <f t="shared" ca="1" si="167"/>
        <v>#N/A</v>
      </c>
      <c r="AG459" s="406" t="e">
        <f t="shared" ca="1" si="167"/>
        <v>#N/A</v>
      </c>
      <c r="AH459" s="406" t="e">
        <f t="shared" ca="1" si="169"/>
        <v>#N/A</v>
      </c>
      <c r="AI459" s="406" t="e">
        <f t="shared" ca="1" si="169"/>
        <v>#N/A</v>
      </c>
      <c r="AJ459" s="406" t="e">
        <f t="shared" ca="1" si="169"/>
        <v>#N/A</v>
      </c>
      <c r="AK459" s="406" t="e">
        <f t="shared" ca="1" si="169"/>
        <v>#N/A</v>
      </c>
      <c r="AL459" s="406" t="e">
        <f t="shared" ca="1" si="169"/>
        <v>#N/A</v>
      </c>
      <c r="AM459" s="406" t="e">
        <f t="shared" ca="1" si="169"/>
        <v>#N/A</v>
      </c>
      <c r="AN459" s="406" t="e">
        <f t="shared" ca="1" si="169"/>
        <v>#N/A</v>
      </c>
      <c r="AO459" s="406" t="e">
        <f t="shared" ca="1" si="169"/>
        <v>#N/A</v>
      </c>
      <c r="AP459" s="406" t="e">
        <f t="shared" ca="1" si="169"/>
        <v>#N/A</v>
      </c>
      <c r="AQ459" s="406" t="e">
        <f t="shared" ca="1" si="169"/>
        <v>#N/A</v>
      </c>
      <c r="AR459" s="406" t="e">
        <f t="shared" ca="1" si="166"/>
        <v>#N/A</v>
      </c>
      <c r="AS459" s="406" t="e">
        <f t="shared" ca="1" si="166"/>
        <v>#N/A</v>
      </c>
      <c r="AT459" s="406" t="e">
        <f t="shared" ca="1" si="166"/>
        <v>#N/A</v>
      </c>
      <c r="AU459" s="406" t="e">
        <f t="shared" ca="1" si="166"/>
        <v>#N/A</v>
      </c>
      <c r="AV459" s="406" t="e">
        <f t="shared" ca="1" si="166"/>
        <v>#N/A</v>
      </c>
      <c r="AW459" s="406" t="e">
        <f t="shared" ca="1" si="166"/>
        <v>#N/A</v>
      </c>
      <c r="AX459" s="406" t="e">
        <f t="shared" ca="1" si="166"/>
        <v>#N/A</v>
      </c>
      <c r="AY459" s="406" t="e">
        <f t="shared" ca="1" si="166"/>
        <v>#N/A</v>
      </c>
      <c r="AZ459" s="406" t="e">
        <f t="shared" ca="1" si="166"/>
        <v>#N/A</v>
      </c>
      <c r="BA459" s="406" t="e">
        <f t="shared" ca="1" si="166"/>
        <v>#N/A</v>
      </c>
      <c r="BB459" s="408"/>
      <c r="BC459" s="408" t="str">
        <f t="shared" ca="1" si="171"/>
        <v/>
      </c>
      <c r="BD459" s="408" t="s">
        <v>1278</v>
      </c>
      <c r="BE459" s="408" t="s">
        <v>1278</v>
      </c>
    </row>
    <row r="460" spans="3:57" x14ac:dyDescent="0.25">
      <c r="C460" s="406">
        <f t="shared" si="172"/>
        <v>458</v>
      </c>
      <c r="D460" s="406" t="e">
        <f t="shared" ca="1" si="170"/>
        <v>#N/A</v>
      </c>
      <c r="E460" s="406" t="e">
        <f t="shared" ca="1" si="170"/>
        <v>#N/A</v>
      </c>
      <c r="F460" s="406" t="e">
        <f t="shared" ca="1" si="170"/>
        <v>#N/A</v>
      </c>
      <c r="G460" s="406" t="e">
        <f t="shared" ca="1" si="170"/>
        <v>#N/A</v>
      </c>
      <c r="H460" s="406" t="e">
        <f t="shared" ca="1" si="170"/>
        <v>#N/A</v>
      </c>
      <c r="I460" s="406" t="e">
        <f t="shared" ca="1" si="170"/>
        <v>#N/A</v>
      </c>
      <c r="J460" s="406" t="e">
        <f t="shared" ca="1" si="170"/>
        <v>#N/A</v>
      </c>
      <c r="K460" s="406" t="e">
        <f t="shared" ca="1" si="170"/>
        <v>#N/A</v>
      </c>
      <c r="L460" s="406" t="e">
        <f t="shared" ca="1" si="170"/>
        <v>#N/A</v>
      </c>
      <c r="M460" s="406" t="e">
        <f t="shared" ca="1" si="170"/>
        <v>#N/A</v>
      </c>
      <c r="N460" s="406" t="e">
        <f t="shared" ca="1" si="168"/>
        <v>#N/A</v>
      </c>
      <c r="O460" s="406" t="e">
        <f t="shared" ca="1" si="168"/>
        <v>#N/A</v>
      </c>
      <c r="P460" s="406" t="e">
        <f t="shared" ca="1" si="168"/>
        <v>#N/A</v>
      </c>
      <c r="Q460" s="406" t="e">
        <f t="shared" ca="1" si="168"/>
        <v>#N/A</v>
      </c>
      <c r="R460" s="406" t="e">
        <f t="shared" ca="1" si="168"/>
        <v>#N/A</v>
      </c>
      <c r="S460" s="406" t="e">
        <f t="shared" ca="1" si="168"/>
        <v>#N/A</v>
      </c>
      <c r="T460" s="406" t="e">
        <f t="shared" ca="1" si="168"/>
        <v>#N/A</v>
      </c>
      <c r="U460" s="406" t="e">
        <f t="shared" ca="1" si="168"/>
        <v>#N/A</v>
      </c>
      <c r="V460" s="406" t="e">
        <f t="shared" ca="1" si="168"/>
        <v>#N/A</v>
      </c>
      <c r="W460" s="406" t="e">
        <f t="shared" ca="1" si="168"/>
        <v>#N/A</v>
      </c>
      <c r="X460" s="406" t="e">
        <f t="shared" ca="1" si="167"/>
        <v>#N/A</v>
      </c>
      <c r="Y460" s="406" t="e">
        <f t="shared" ca="1" si="167"/>
        <v>#N/A</v>
      </c>
      <c r="Z460" s="406" t="e">
        <f t="shared" ca="1" si="167"/>
        <v>#N/A</v>
      </c>
      <c r="AA460" s="406" t="e">
        <f t="shared" ca="1" si="167"/>
        <v>#N/A</v>
      </c>
      <c r="AB460" s="406" t="e">
        <f t="shared" ca="1" si="167"/>
        <v>#N/A</v>
      </c>
      <c r="AC460" s="406" t="e">
        <f t="shared" ca="1" si="167"/>
        <v>#N/A</v>
      </c>
      <c r="AD460" s="406" t="e">
        <f t="shared" ca="1" si="167"/>
        <v>#N/A</v>
      </c>
      <c r="AE460" s="406" t="e">
        <f t="shared" ca="1" si="167"/>
        <v>#N/A</v>
      </c>
      <c r="AF460" s="406" t="e">
        <f t="shared" ca="1" si="167"/>
        <v>#N/A</v>
      </c>
      <c r="AG460" s="406" t="e">
        <f t="shared" ca="1" si="167"/>
        <v>#N/A</v>
      </c>
      <c r="AH460" s="406" t="e">
        <f t="shared" ca="1" si="169"/>
        <v>#N/A</v>
      </c>
      <c r="AI460" s="406" t="e">
        <f t="shared" ca="1" si="169"/>
        <v>#N/A</v>
      </c>
      <c r="AJ460" s="406" t="e">
        <f t="shared" ca="1" si="169"/>
        <v>#N/A</v>
      </c>
      <c r="AK460" s="406" t="e">
        <f t="shared" ca="1" si="169"/>
        <v>#N/A</v>
      </c>
      <c r="AL460" s="406" t="e">
        <f t="shared" ca="1" si="169"/>
        <v>#N/A</v>
      </c>
      <c r="AM460" s="406" t="e">
        <f t="shared" ca="1" si="169"/>
        <v>#N/A</v>
      </c>
      <c r="AN460" s="406" t="e">
        <f t="shared" ca="1" si="169"/>
        <v>#N/A</v>
      </c>
      <c r="AO460" s="406" t="e">
        <f t="shared" ca="1" si="169"/>
        <v>#N/A</v>
      </c>
      <c r="AP460" s="406" t="e">
        <f t="shared" ca="1" si="169"/>
        <v>#N/A</v>
      </c>
      <c r="AQ460" s="406" t="e">
        <f t="shared" ca="1" si="169"/>
        <v>#N/A</v>
      </c>
      <c r="AR460" s="406" t="e">
        <f t="shared" ca="1" si="166"/>
        <v>#N/A</v>
      </c>
      <c r="AS460" s="406" t="e">
        <f t="shared" ca="1" si="166"/>
        <v>#N/A</v>
      </c>
      <c r="AT460" s="406" t="e">
        <f t="shared" ca="1" si="166"/>
        <v>#N/A</v>
      </c>
      <c r="AU460" s="406" t="e">
        <f t="shared" ca="1" si="166"/>
        <v>#N/A</v>
      </c>
      <c r="AV460" s="406" t="e">
        <f t="shared" ca="1" si="166"/>
        <v>#N/A</v>
      </c>
      <c r="AW460" s="406" t="e">
        <f t="shared" ca="1" si="166"/>
        <v>#N/A</v>
      </c>
      <c r="AX460" s="406" t="e">
        <f t="shared" ca="1" si="166"/>
        <v>#N/A</v>
      </c>
      <c r="AY460" s="406" t="e">
        <f t="shared" ca="1" si="166"/>
        <v>#N/A</v>
      </c>
      <c r="AZ460" s="406" t="e">
        <f t="shared" ca="1" si="166"/>
        <v>#N/A</v>
      </c>
      <c r="BA460" s="406" t="e">
        <f t="shared" ca="1" si="166"/>
        <v>#N/A</v>
      </c>
      <c r="BB460" s="408"/>
      <c r="BC460" s="408" t="str">
        <f t="shared" ca="1" si="171"/>
        <v/>
      </c>
      <c r="BD460" s="408" t="s">
        <v>1278</v>
      </c>
      <c r="BE460" s="408" t="s">
        <v>1278</v>
      </c>
    </row>
    <row r="461" spans="3:57" x14ac:dyDescent="0.25">
      <c r="C461" s="406">
        <f t="shared" si="172"/>
        <v>459</v>
      </c>
      <c r="D461" s="406" t="e">
        <f t="shared" ca="1" si="170"/>
        <v>#N/A</v>
      </c>
      <c r="E461" s="406" t="e">
        <f t="shared" ca="1" si="170"/>
        <v>#N/A</v>
      </c>
      <c r="F461" s="406" t="e">
        <f t="shared" ca="1" si="170"/>
        <v>#N/A</v>
      </c>
      <c r="G461" s="406" t="e">
        <f t="shared" ca="1" si="170"/>
        <v>#N/A</v>
      </c>
      <c r="H461" s="406" t="e">
        <f t="shared" ca="1" si="170"/>
        <v>#N/A</v>
      </c>
      <c r="I461" s="406" t="e">
        <f t="shared" ca="1" si="170"/>
        <v>#N/A</v>
      </c>
      <c r="J461" s="406" t="e">
        <f t="shared" ca="1" si="170"/>
        <v>#N/A</v>
      </c>
      <c r="K461" s="406" t="e">
        <f t="shared" ca="1" si="170"/>
        <v>#N/A</v>
      </c>
      <c r="L461" s="406" t="e">
        <f t="shared" ca="1" si="170"/>
        <v>#N/A</v>
      </c>
      <c r="M461" s="406" t="e">
        <f t="shared" ca="1" si="170"/>
        <v>#N/A</v>
      </c>
      <c r="N461" s="406" t="e">
        <f t="shared" ca="1" si="168"/>
        <v>#N/A</v>
      </c>
      <c r="O461" s="406" t="e">
        <f t="shared" ca="1" si="168"/>
        <v>#N/A</v>
      </c>
      <c r="P461" s="406" t="e">
        <f t="shared" ca="1" si="168"/>
        <v>#N/A</v>
      </c>
      <c r="Q461" s="406" t="e">
        <f t="shared" ca="1" si="168"/>
        <v>#N/A</v>
      </c>
      <c r="R461" s="406" t="e">
        <f t="shared" ca="1" si="168"/>
        <v>#N/A</v>
      </c>
      <c r="S461" s="406" t="e">
        <f t="shared" ca="1" si="168"/>
        <v>#N/A</v>
      </c>
      <c r="T461" s="406" t="e">
        <f t="shared" ca="1" si="168"/>
        <v>#N/A</v>
      </c>
      <c r="U461" s="406" t="e">
        <f t="shared" ca="1" si="168"/>
        <v>#N/A</v>
      </c>
      <c r="V461" s="406" t="e">
        <f t="shared" ca="1" si="168"/>
        <v>#N/A</v>
      </c>
      <c r="W461" s="406" t="e">
        <f t="shared" ca="1" si="168"/>
        <v>#N/A</v>
      </c>
      <c r="X461" s="406" t="e">
        <f t="shared" ca="1" si="167"/>
        <v>#N/A</v>
      </c>
      <c r="Y461" s="406" t="e">
        <f t="shared" ca="1" si="167"/>
        <v>#N/A</v>
      </c>
      <c r="Z461" s="406" t="e">
        <f t="shared" ca="1" si="167"/>
        <v>#N/A</v>
      </c>
      <c r="AA461" s="406" t="e">
        <f t="shared" ca="1" si="167"/>
        <v>#N/A</v>
      </c>
      <c r="AB461" s="406" t="e">
        <f t="shared" ca="1" si="167"/>
        <v>#N/A</v>
      </c>
      <c r="AC461" s="406" t="e">
        <f t="shared" ca="1" si="167"/>
        <v>#N/A</v>
      </c>
      <c r="AD461" s="406" t="e">
        <f t="shared" ca="1" si="167"/>
        <v>#N/A</v>
      </c>
      <c r="AE461" s="406" t="e">
        <f t="shared" ca="1" si="167"/>
        <v>#N/A</v>
      </c>
      <c r="AF461" s="406" t="e">
        <f t="shared" ca="1" si="167"/>
        <v>#N/A</v>
      </c>
      <c r="AG461" s="406" t="e">
        <f t="shared" ca="1" si="167"/>
        <v>#N/A</v>
      </c>
      <c r="AH461" s="406" t="e">
        <f t="shared" ca="1" si="169"/>
        <v>#N/A</v>
      </c>
      <c r="AI461" s="406" t="e">
        <f t="shared" ca="1" si="169"/>
        <v>#N/A</v>
      </c>
      <c r="AJ461" s="406" t="e">
        <f t="shared" ca="1" si="169"/>
        <v>#N/A</v>
      </c>
      <c r="AK461" s="406" t="e">
        <f t="shared" ca="1" si="169"/>
        <v>#N/A</v>
      </c>
      <c r="AL461" s="406" t="e">
        <f t="shared" ca="1" si="169"/>
        <v>#N/A</v>
      </c>
      <c r="AM461" s="406" t="e">
        <f t="shared" ca="1" si="169"/>
        <v>#N/A</v>
      </c>
      <c r="AN461" s="406" t="e">
        <f t="shared" ca="1" si="169"/>
        <v>#N/A</v>
      </c>
      <c r="AO461" s="406" t="e">
        <f t="shared" ca="1" si="169"/>
        <v>#N/A</v>
      </c>
      <c r="AP461" s="406" t="e">
        <f t="shared" ca="1" si="169"/>
        <v>#N/A</v>
      </c>
      <c r="AQ461" s="406" t="e">
        <f t="shared" ca="1" si="169"/>
        <v>#N/A</v>
      </c>
      <c r="AR461" s="406" t="e">
        <f t="shared" ca="1" si="166"/>
        <v>#N/A</v>
      </c>
      <c r="AS461" s="406" t="e">
        <f t="shared" ca="1" si="166"/>
        <v>#N/A</v>
      </c>
      <c r="AT461" s="406" t="e">
        <f t="shared" ca="1" si="166"/>
        <v>#N/A</v>
      </c>
      <c r="AU461" s="406" t="e">
        <f t="shared" ca="1" si="166"/>
        <v>#N/A</v>
      </c>
      <c r="AV461" s="406" t="e">
        <f t="shared" ca="1" si="166"/>
        <v>#N/A</v>
      </c>
      <c r="AW461" s="406" t="e">
        <f t="shared" ca="1" si="166"/>
        <v>#N/A</v>
      </c>
      <c r="AX461" s="406" t="e">
        <f t="shared" ca="1" si="166"/>
        <v>#N/A</v>
      </c>
      <c r="AY461" s="406" t="e">
        <f t="shared" ca="1" si="166"/>
        <v>#N/A</v>
      </c>
      <c r="AZ461" s="406" t="e">
        <f t="shared" ca="1" si="166"/>
        <v>#N/A</v>
      </c>
      <c r="BA461" s="406" t="e">
        <f t="shared" ca="1" si="166"/>
        <v>#N/A</v>
      </c>
      <c r="BB461" s="408"/>
      <c r="BC461" s="408" t="str">
        <f t="shared" ca="1" si="171"/>
        <v/>
      </c>
      <c r="BD461" s="408" t="s">
        <v>1278</v>
      </c>
      <c r="BE461" s="408" t="s">
        <v>1278</v>
      </c>
    </row>
    <row r="462" spans="3:57" ht="15" customHeight="1" x14ac:dyDescent="0.25">
      <c r="C462" s="406">
        <f t="shared" si="172"/>
        <v>460</v>
      </c>
      <c r="D462" s="406" t="e">
        <f t="shared" ca="1" si="170"/>
        <v>#N/A</v>
      </c>
      <c r="E462" s="406" t="e">
        <f t="shared" ca="1" si="170"/>
        <v>#N/A</v>
      </c>
      <c r="F462" s="406" t="e">
        <f t="shared" ca="1" si="170"/>
        <v>#N/A</v>
      </c>
      <c r="G462" s="406" t="e">
        <f t="shared" ca="1" si="170"/>
        <v>#N/A</v>
      </c>
      <c r="H462" s="406" t="e">
        <f t="shared" ca="1" si="170"/>
        <v>#N/A</v>
      </c>
      <c r="I462" s="406" t="e">
        <f t="shared" ca="1" si="170"/>
        <v>#N/A</v>
      </c>
      <c r="J462" s="406" t="e">
        <f t="shared" ca="1" si="170"/>
        <v>#N/A</v>
      </c>
      <c r="K462" s="406" t="e">
        <f t="shared" ca="1" si="170"/>
        <v>#N/A</v>
      </c>
      <c r="L462" s="406" t="e">
        <f t="shared" ca="1" si="170"/>
        <v>#N/A</v>
      </c>
      <c r="M462" s="406" t="e">
        <f t="shared" ca="1" si="170"/>
        <v>#N/A</v>
      </c>
      <c r="N462" s="406" t="e">
        <f t="shared" ca="1" si="168"/>
        <v>#N/A</v>
      </c>
      <c r="O462" s="406" t="e">
        <f t="shared" ca="1" si="168"/>
        <v>#N/A</v>
      </c>
      <c r="P462" s="406" t="e">
        <f t="shared" ca="1" si="168"/>
        <v>#N/A</v>
      </c>
      <c r="Q462" s="406" t="e">
        <f t="shared" ca="1" si="168"/>
        <v>#N/A</v>
      </c>
      <c r="R462" s="406" t="e">
        <f t="shared" ca="1" si="168"/>
        <v>#N/A</v>
      </c>
      <c r="S462" s="406" t="e">
        <f t="shared" ca="1" si="168"/>
        <v>#N/A</v>
      </c>
      <c r="T462" s="406" t="e">
        <f t="shared" ca="1" si="168"/>
        <v>#N/A</v>
      </c>
      <c r="U462" s="406" t="e">
        <f t="shared" ca="1" si="168"/>
        <v>#N/A</v>
      </c>
      <c r="V462" s="406" t="e">
        <f t="shared" ca="1" si="168"/>
        <v>#N/A</v>
      </c>
      <c r="W462" s="406" t="e">
        <f t="shared" ca="1" si="168"/>
        <v>#N/A</v>
      </c>
      <c r="X462" s="406" t="e">
        <f t="shared" ca="1" si="167"/>
        <v>#N/A</v>
      </c>
      <c r="Y462" s="406" t="e">
        <f t="shared" ca="1" si="167"/>
        <v>#N/A</v>
      </c>
      <c r="Z462" s="406" t="e">
        <f t="shared" ca="1" si="167"/>
        <v>#N/A</v>
      </c>
      <c r="AA462" s="406" t="e">
        <f t="shared" ca="1" si="167"/>
        <v>#N/A</v>
      </c>
      <c r="AB462" s="406" t="e">
        <f t="shared" ca="1" si="167"/>
        <v>#N/A</v>
      </c>
      <c r="AC462" s="406" t="e">
        <f t="shared" ca="1" si="167"/>
        <v>#N/A</v>
      </c>
      <c r="AD462" s="406" t="e">
        <f t="shared" ca="1" si="167"/>
        <v>#N/A</v>
      </c>
      <c r="AE462" s="406" t="e">
        <f t="shared" ca="1" si="167"/>
        <v>#N/A</v>
      </c>
      <c r="AF462" s="406" t="e">
        <f t="shared" ca="1" si="167"/>
        <v>#N/A</v>
      </c>
      <c r="AG462" s="406" t="e">
        <f t="shared" ca="1" si="167"/>
        <v>#N/A</v>
      </c>
      <c r="AH462" s="406" t="e">
        <f t="shared" ca="1" si="169"/>
        <v>#N/A</v>
      </c>
      <c r="AI462" s="406" t="e">
        <f t="shared" ca="1" si="169"/>
        <v>#N/A</v>
      </c>
      <c r="AJ462" s="406" t="e">
        <f t="shared" ca="1" si="169"/>
        <v>#N/A</v>
      </c>
      <c r="AK462" s="406" t="e">
        <f t="shared" ca="1" si="169"/>
        <v>#N/A</v>
      </c>
      <c r="AL462" s="406" t="e">
        <f t="shared" ca="1" si="169"/>
        <v>#N/A</v>
      </c>
      <c r="AM462" s="406" t="e">
        <f t="shared" ca="1" si="169"/>
        <v>#N/A</v>
      </c>
      <c r="AN462" s="406" t="e">
        <f t="shared" ca="1" si="169"/>
        <v>#N/A</v>
      </c>
      <c r="AO462" s="406" t="e">
        <f t="shared" ca="1" si="169"/>
        <v>#N/A</v>
      </c>
      <c r="AP462" s="406" t="e">
        <f t="shared" ca="1" si="169"/>
        <v>#N/A</v>
      </c>
      <c r="AQ462" s="406" t="e">
        <f t="shared" ca="1" si="169"/>
        <v>#N/A</v>
      </c>
      <c r="AR462" s="406" t="e">
        <f t="shared" ca="1" si="166"/>
        <v>#N/A</v>
      </c>
      <c r="AS462" s="406" t="e">
        <f t="shared" ca="1" si="166"/>
        <v>#N/A</v>
      </c>
      <c r="AT462" s="406" t="e">
        <f t="shared" ca="1" si="166"/>
        <v>#N/A</v>
      </c>
      <c r="AU462" s="406" t="e">
        <f t="shared" ca="1" si="166"/>
        <v>#N/A</v>
      </c>
      <c r="AV462" s="406" t="e">
        <f t="shared" ca="1" si="166"/>
        <v>#N/A</v>
      </c>
      <c r="AW462" s="406" t="e">
        <f t="shared" ca="1" si="166"/>
        <v>#N/A</v>
      </c>
      <c r="AX462" s="406" t="e">
        <f t="shared" ca="1" si="166"/>
        <v>#N/A</v>
      </c>
      <c r="AY462" s="406" t="e">
        <f t="shared" ca="1" si="166"/>
        <v>#N/A</v>
      </c>
      <c r="AZ462" s="406" t="e">
        <f t="shared" ca="1" si="166"/>
        <v>#N/A</v>
      </c>
      <c r="BA462" s="406" t="e">
        <f t="shared" ca="1" si="166"/>
        <v>#N/A</v>
      </c>
      <c r="BB462" s="408"/>
      <c r="BC462" s="408" t="str">
        <f t="shared" ca="1" si="171"/>
        <v/>
      </c>
      <c r="BD462" s="408" t="s">
        <v>1278</v>
      </c>
      <c r="BE462" s="408" t="s">
        <v>1278</v>
      </c>
    </row>
    <row r="463" spans="3:57" x14ac:dyDescent="0.25">
      <c r="C463" s="406">
        <f t="shared" si="172"/>
        <v>461</v>
      </c>
      <c r="D463" s="406" t="e">
        <f t="shared" ca="1" si="170"/>
        <v>#N/A</v>
      </c>
      <c r="E463" s="406" t="e">
        <f t="shared" ca="1" si="170"/>
        <v>#N/A</v>
      </c>
      <c r="F463" s="406" t="e">
        <f t="shared" ca="1" si="170"/>
        <v>#N/A</v>
      </c>
      <c r="G463" s="406" t="e">
        <f t="shared" ca="1" si="170"/>
        <v>#N/A</v>
      </c>
      <c r="H463" s="406" t="e">
        <f t="shared" ca="1" si="170"/>
        <v>#N/A</v>
      </c>
      <c r="I463" s="406" t="e">
        <f t="shared" ca="1" si="170"/>
        <v>#N/A</v>
      </c>
      <c r="J463" s="406" t="e">
        <f t="shared" ca="1" si="170"/>
        <v>#N/A</v>
      </c>
      <c r="K463" s="406" t="e">
        <f t="shared" ca="1" si="170"/>
        <v>#N/A</v>
      </c>
      <c r="L463" s="406" t="e">
        <f t="shared" ca="1" si="170"/>
        <v>#N/A</v>
      </c>
      <c r="M463" s="406" t="e">
        <f t="shared" ca="1" si="170"/>
        <v>#N/A</v>
      </c>
      <c r="N463" s="406" t="e">
        <f t="shared" ca="1" si="168"/>
        <v>#N/A</v>
      </c>
      <c r="O463" s="406" t="e">
        <f t="shared" ca="1" si="168"/>
        <v>#N/A</v>
      </c>
      <c r="P463" s="406" t="e">
        <f t="shared" ca="1" si="168"/>
        <v>#N/A</v>
      </c>
      <c r="Q463" s="406" t="e">
        <f t="shared" ca="1" si="168"/>
        <v>#N/A</v>
      </c>
      <c r="R463" s="406" t="e">
        <f t="shared" ca="1" si="168"/>
        <v>#N/A</v>
      </c>
      <c r="S463" s="406" t="e">
        <f t="shared" ca="1" si="168"/>
        <v>#N/A</v>
      </c>
      <c r="T463" s="406" t="e">
        <f t="shared" ca="1" si="168"/>
        <v>#N/A</v>
      </c>
      <c r="U463" s="406" t="e">
        <f t="shared" ca="1" si="168"/>
        <v>#N/A</v>
      </c>
      <c r="V463" s="406" t="e">
        <f t="shared" ca="1" si="168"/>
        <v>#N/A</v>
      </c>
      <c r="W463" s="406" t="e">
        <f t="shared" ca="1" si="168"/>
        <v>#N/A</v>
      </c>
      <c r="X463" s="406" t="e">
        <f t="shared" ca="1" si="167"/>
        <v>#N/A</v>
      </c>
      <c r="Y463" s="406" t="e">
        <f t="shared" ca="1" si="167"/>
        <v>#N/A</v>
      </c>
      <c r="Z463" s="406" t="e">
        <f t="shared" ca="1" si="167"/>
        <v>#N/A</v>
      </c>
      <c r="AA463" s="406" t="e">
        <f t="shared" ca="1" si="167"/>
        <v>#N/A</v>
      </c>
      <c r="AB463" s="406" t="e">
        <f t="shared" ca="1" si="167"/>
        <v>#N/A</v>
      </c>
      <c r="AC463" s="406" t="e">
        <f t="shared" ca="1" si="167"/>
        <v>#N/A</v>
      </c>
      <c r="AD463" s="406" t="e">
        <f t="shared" ca="1" si="167"/>
        <v>#N/A</v>
      </c>
      <c r="AE463" s="406" t="e">
        <f t="shared" ca="1" si="167"/>
        <v>#N/A</v>
      </c>
      <c r="AF463" s="406" t="e">
        <f t="shared" ca="1" si="167"/>
        <v>#N/A</v>
      </c>
      <c r="AG463" s="406" t="e">
        <f t="shared" ca="1" si="167"/>
        <v>#N/A</v>
      </c>
      <c r="AH463" s="406" t="e">
        <f t="shared" ca="1" si="169"/>
        <v>#N/A</v>
      </c>
      <c r="AI463" s="406" t="e">
        <f t="shared" ca="1" si="169"/>
        <v>#N/A</v>
      </c>
      <c r="AJ463" s="406" t="e">
        <f t="shared" ca="1" si="169"/>
        <v>#N/A</v>
      </c>
      <c r="AK463" s="406" t="e">
        <f t="shared" ca="1" si="169"/>
        <v>#N/A</v>
      </c>
      <c r="AL463" s="406" t="e">
        <f t="shared" ca="1" si="169"/>
        <v>#N/A</v>
      </c>
      <c r="AM463" s="406" t="e">
        <f t="shared" ca="1" si="169"/>
        <v>#N/A</v>
      </c>
      <c r="AN463" s="406" t="e">
        <f t="shared" ca="1" si="169"/>
        <v>#N/A</v>
      </c>
      <c r="AO463" s="406" t="e">
        <f t="shared" ca="1" si="169"/>
        <v>#N/A</v>
      </c>
      <c r="AP463" s="406" t="e">
        <f t="shared" ca="1" si="169"/>
        <v>#N/A</v>
      </c>
      <c r="AQ463" s="406" t="e">
        <f t="shared" ca="1" si="169"/>
        <v>#N/A</v>
      </c>
      <c r="AR463" s="406" t="e">
        <f t="shared" ca="1" si="166"/>
        <v>#N/A</v>
      </c>
      <c r="AS463" s="406" t="e">
        <f t="shared" ca="1" si="166"/>
        <v>#N/A</v>
      </c>
      <c r="AT463" s="406" t="e">
        <f t="shared" ca="1" si="166"/>
        <v>#N/A</v>
      </c>
      <c r="AU463" s="406" t="e">
        <f t="shared" ca="1" si="166"/>
        <v>#N/A</v>
      </c>
      <c r="AV463" s="406" t="e">
        <f t="shared" ca="1" si="166"/>
        <v>#N/A</v>
      </c>
      <c r="AW463" s="406" t="e">
        <f t="shared" ca="1" si="166"/>
        <v>#N/A</v>
      </c>
      <c r="AX463" s="406" t="e">
        <f t="shared" ca="1" si="166"/>
        <v>#N/A</v>
      </c>
      <c r="AY463" s="406" t="e">
        <f t="shared" ca="1" si="166"/>
        <v>#N/A</v>
      </c>
      <c r="AZ463" s="406" t="e">
        <f t="shared" ref="AR463:BA489" ca="1" si="173">TRIM(INDIRECT("'" &amp; "TNX RTF" &amp; "'!" &amp; ADDRESS($A$3+$C463,AZ$1)))</f>
        <v>#N/A</v>
      </c>
      <c r="BA463" s="406" t="e">
        <f t="shared" ca="1" si="173"/>
        <v>#N/A</v>
      </c>
      <c r="BB463" s="408"/>
      <c r="BC463" s="408" t="str">
        <f t="shared" ca="1" si="171"/>
        <v/>
      </c>
      <c r="BD463" s="408" t="s">
        <v>1278</v>
      </c>
      <c r="BE463" s="408" t="s">
        <v>1278</v>
      </c>
    </row>
    <row r="464" spans="3:57" x14ac:dyDescent="0.25">
      <c r="C464" s="406">
        <f t="shared" si="172"/>
        <v>462</v>
      </c>
      <c r="D464" s="406" t="e">
        <f t="shared" ca="1" si="170"/>
        <v>#N/A</v>
      </c>
      <c r="E464" s="406" t="e">
        <f t="shared" ca="1" si="170"/>
        <v>#N/A</v>
      </c>
      <c r="F464" s="406" t="e">
        <f t="shared" ca="1" si="170"/>
        <v>#N/A</v>
      </c>
      <c r="G464" s="406" t="e">
        <f t="shared" ca="1" si="170"/>
        <v>#N/A</v>
      </c>
      <c r="H464" s="406" t="e">
        <f t="shared" ca="1" si="170"/>
        <v>#N/A</v>
      </c>
      <c r="I464" s="406" t="e">
        <f t="shared" ca="1" si="170"/>
        <v>#N/A</v>
      </c>
      <c r="J464" s="406" t="e">
        <f t="shared" ca="1" si="170"/>
        <v>#N/A</v>
      </c>
      <c r="K464" s="406" t="e">
        <f t="shared" ca="1" si="170"/>
        <v>#N/A</v>
      </c>
      <c r="L464" s="406" t="e">
        <f t="shared" ca="1" si="170"/>
        <v>#N/A</v>
      </c>
      <c r="M464" s="406" t="e">
        <f t="shared" ca="1" si="170"/>
        <v>#N/A</v>
      </c>
      <c r="N464" s="406" t="e">
        <f t="shared" ca="1" si="168"/>
        <v>#N/A</v>
      </c>
      <c r="O464" s="406" t="e">
        <f t="shared" ca="1" si="168"/>
        <v>#N/A</v>
      </c>
      <c r="P464" s="406" t="e">
        <f t="shared" ca="1" si="168"/>
        <v>#N/A</v>
      </c>
      <c r="Q464" s="406" t="e">
        <f t="shared" ca="1" si="168"/>
        <v>#N/A</v>
      </c>
      <c r="R464" s="406" t="e">
        <f t="shared" ca="1" si="168"/>
        <v>#N/A</v>
      </c>
      <c r="S464" s="406" t="e">
        <f t="shared" ca="1" si="168"/>
        <v>#N/A</v>
      </c>
      <c r="T464" s="406" t="e">
        <f t="shared" ca="1" si="168"/>
        <v>#N/A</v>
      </c>
      <c r="U464" s="406" t="e">
        <f t="shared" ca="1" si="168"/>
        <v>#N/A</v>
      </c>
      <c r="V464" s="406" t="e">
        <f t="shared" ca="1" si="168"/>
        <v>#N/A</v>
      </c>
      <c r="W464" s="406" t="e">
        <f t="shared" ca="1" si="168"/>
        <v>#N/A</v>
      </c>
      <c r="X464" s="406" t="e">
        <f t="shared" ca="1" si="167"/>
        <v>#N/A</v>
      </c>
      <c r="Y464" s="406" t="e">
        <f t="shared" ca="1" si="167"/>
        <v>#N/A</v>
      </c>
      <c r="Z464" s="406" t="e">
        <f t="shared" ca="1" si="167"/>
        <v>#N/A</v>
      </c>
      <c r="AA464" s="406" t="e">
        <f t="shared" ca="1" si="167"/>
        <v>#N/A</v>
      </c>
      <c r="AB464" s="406" t="e">
        <f t="shared" ca="1" si="167"/>
        <v>#N/A</v>
      </c>
      <c r="AC464" s="406" t="e">
        <f t="shared" ca="1" si="167"/>
        <v>#N/A</v>
      </c>
      <c r="AD464" s="406" t="e">
        <f t="shared" ca="1" si="167"/>
        <v>#N/A</v>
      </c>
      <c r="AE464" s="406" t="e">
        <f t="shared" ca="1" si="167"/>
        <v>#N/A</v>
      </c>
      <c r="AF464" s="406" t="e">
        <f t="shared" ca="1" si="167"/>
        <v>#N/A</v>
      </c>
      <c r="AG464" s="406" t="e">
        <f t="shared" ca="1" si="167"/>
        <v>#N/A</v>
      </c>
      <c r="AH464" s="406" t="e">
        <f t="shared" ca="1" si="169"/>
        <v>#N/A</v>
      </c>
      <c r="AI464" s="406" t="e">
        <f t="shared" ca="1" si="169"/>
        <v>#N/A</v>
      </c>
      <c r="AJ464" s="406" t="e">
        <f t="shared" ca="1" si="169"/>
        <v>#N/A</v>
      </c>
      <c r="AK464" s="406" t="e">
        <f t="shared" ca="1" si="169"/>
        <v>#N/A</v>
      </c>
      <c r="AL464" s="406" t="e">
        <f t="shared" ca="1" si="169"/>
        <v>#N/A</v>
      </c>
      <c r="AM464" s="406" t="e">
        <f t="shared" ca="1" si="169"/>
        <v>#N/A</v>
      </c>
      <c r="AN464" s="406" t="e">
        <f t="shared" ca="1" si="169"/>
        <v>#N/A</v>
      </c>
      <c r="AO464" s="406" t="e">
        <f t="shared" ca="1" si="169"/>
        <v>#N/A</v>
      </c>
      <c r="AP464" s="406" t="e">
        <f t="shared" ca="1" si="169"/>
        <v>#N/A</v>
      </c>
      <c r="AQ464" s="406" t="e">
        <f t="shared" ca="1" si="169"/>
        <v>#N/A</v>
      </c>
      <c r="AR464" s="406" t="e">
        <f t="shared" ca="1" si="173"/>
        <v>#N/A</v>
      </c>
      <c r="AS464" s="406" t="e">
        <f t="shared" ca="1" si="173"/>
        <v>#N/A</v>
      </c>
      <c r="AT464" s="406" t="e">
        <f t="shared" ca="1" si="173"/>
        <v>#N/A</v>
      </c>
      <c r="AU464" s="406" t="e">
        <f t="shared" ca="1" si="173"/>
        <v>#N/A</v>
      </c>
      <c r="AV464" s="406" t="e">
        <f t="shared" ca="1" si="173"/>
        <v>#N/A</v>
      </c>
      <c r="AW464" s="406" t="e">
        <f t="shared" ca="1" si="173"/>
        <v>#N/A</v>
      </c>
      <c r="AX464" s="406" t="e">
        <f t="shared" ca="1" si="173"/>
        <v>#N/A</v>
      </c>
      <c r="AY464" s="406" t="e">
        <f t="shared" ca="1" si="173"/>
        <v>#N/A</v>
      </c>
      <c r="AZ464" s="406" t="e">
        <f t="shared" ca="1" si="173"/>
        <v>#N/A</v>
      </c>
      <c r="BA464" s="406" t="e">
        <f t="shared" ca="1" si="173"/>
        <v>#N/A</v>
      </c>
      <c r="BB464" s="408"/>
      <c r="BC464" s="408" t="str">
        <f t="shared" ca="1" si="171"/>
        <v/>
      </c>
      <c r="BD464" s="408" t="s">
        <v>1278</v>
      </c>
      <c r="BE464" s="408" t="s">
        <v>1278</v>
      </c>
    </row>
    <row r="465" spans="3:57" ht="15" customHeight="1" x14ac:dyDescent="0.25">
      <c r="C465" s="406">
        <f t="shared" si="172"/>
        <v>463</v>
      </c>
      <c r="D465" s="406" t="e">
        <f t="shared" ca="1" si="170"/>
        <v>#N/A</v>
      </c>
      <c r="E465" s="406" t="e">
        <f t="shared" ca="1" si="170"/>
        <v>#N/A</v>
      </c>
      <c r="F465" s="406" t="e">
        <f t="shared" ca="1" si="170"/>
        <v>#N/A</v>
      </c>
      <c r="G465" s="406" t="e">
        <f t="shared" ca="1" si="170"/>
        <v>#N/A</v>
      </c>
      <c r="H465" s="406" t="e">
        <f t="shared" ca="1" si="170"/>
        <v>#N/A</v>
      </c>
      <c r="I465" s="406" t="e">
        <f t="shared" ca="1" si="170"/>
        <v>#N/A</v>
      </c>
      <c r="J465" s="406" t="e">
        <f t="shared" ca="1" si="170"/>
        <v>#N/A</v>
      </c>
      <c r="K465" s="406" t="e">
        <f t="shared" ca="1" si="170"/>
        <v>#N/A</v>
      </c>
      <c r="L465" s="406" t="e">
        <f t="shared" ca="1" si="170"/>
        <v>#N/A</v>
      </c>
      <c r="M465" s="406" t="e">
        <f t="shared" ca="1" si="170"/>
        <v>#N/A</v>
      </c>
      <c r="N465" s="406" t="e">
        <f t="shared" ca="1" si="168"/>
        <v>#N/A</v>
      </c>
      <c r="O465" s="406" t="e">
        <f t="shared" ca="1" si="168"/>
        <v>#N/A</v>
      </c>
      <c r="P465" s="406" t="e">
        <f t="shared" ca="1" si="168"/>
        <v>#N/A</v>
      </c>
      <c r="Q465" s="406" t="e">
        <f t="shared" ca="1" si="168"/>
        <v>#N/A</v>
      </c>
      <c r="R465" s="406" t="e">
        <f t="shared" ca="1" si="168"/>
        <v>#N/A</v>
      </c>
      <c r="S465" s="406" t="e">
        <f t="shared" ca="1" si="168"/>
        <v>#N/A</v>
      </c>
      <c r="T465" s="406" t="e">
        <f t="shared" ca="1" si="168"/>
        <v>#N/A</v>
      </c>
      <c r="U465" s="406" t="e">
        <f t="shared" ca="1" si="168"/>
        <v>#N/A</v>
      </c>
      <c r="V465" s="406" t="e">
        <f t="shared" ca="1" si="168"/>
        <v>#N/A</v>
      </c>
      <c r="W465" s="406" t="e">
        <f t="shared" ca="1" si="168"/>
        <v>#N/A</v>
      </c>
      <c r="X465" s="406" t="e">
        <f t="shared" ca="1" si="167"/>
        <v>#N/A</v>
      </c>
      <c r="Y465" s="406" t="e">
        <f t="shared" ca="1" si="167"/>
        <v>#N/A</v>
      </c>
      <c r="Z465" s="406" t="e">
        <f t="shared" ca="1" si="167"/>
        <v>#N/A</v>
      </c>
      <c r="AA465" s="406" t="e">
        <f t="shared" ca="1" si="167"/>
        <v>#N/A</v>
      </c>
      <c r="AB465" s="406" t="e">
        <f t="shared" ca="1" si="167"/>
        <v>#N/A</v>
      </c>
      <c r="AC465" s="406" t="e">
        <f t="shared" ca="1" si="167"/>
        <v>#N/A</v>
      </c>
      <c r="AD465" s="406" t="e">
        <f t="shared" ca="1" si="167"/>
        <v>#N/A</v>
      </c>
      <c r="AE465" s="406" t="e">
        <f t="shared" ca="1" si="167"/>
        <v>#N/A</v>
      </c>
      <c r="AF465" s="406" t="e">
        <f t="shared" ca="1" si="167"/>
        <v>#N/A</v>
      </c>
      <c r="AG465" s="406" t="e">
        <f t="shared" ca="1" si="167"/>
        <v>#N/A</v>
      </c>
      <c r="AH465" s="406" t="e">
        <f t="shared" ca="1" si="169"/>
        <v>#N/A</v>
      </c>
      <c r="AI465" s="406" t="e">
        <f t="shared" ca="1" si="169"/>
        <v>#N/A</v>
      </c>
      <c r="AJ465" s="406" t="e">
        <f t="shared" ca="1" si="169"/>
        <v>#N/A</v>
      </c>
      <c r="AK465" s="406" t="e">
        <f t="shared" ca="1" si="169"/>
        <v>#N/A</v>
      </c>
      <c r="AL465" s="406" t="e">
        <f t="shared" ca="1" si="169"/>
        <v>#N/A</v>
      </c>
      <c r="AM465" s="406" t="e">
        <f t="shared" ca="1" si="169"/>
        <v>#N/A</v>
      </c>
      <c r="AN465" s="406" t="e">
        <f t="shared" ca="1" si="169"/>
        <v>#N/A</v>
      </c>
      <c r="AO465" s="406" t="e">
        <f t="shared" ca="1" si="169"/>
        <v>#N/A</v>
      </c>
      <c r="AP465" s="406" t="e">
        <f t="shared" ca="1" si="169"/>
        <v>#N/A</v>
      </c>
      <c r="AQ465" s="406" t="e">
        <f t="shared" ca="1" si="169"/>
        <v>#N/A</v>
      </c>
      <c r="AR465" s="406" t="e">
        <f t="shared" ca="1" si="173"/>
        <v>#N/A</v>
      </c>
      <c r="AS465" s="406" t="e">
        <f t="shared" ca="1" si="173"/>
        <v>#N/A</v>
      </c>
      <c r="AT465" s="406" t="e">
        <f t="shared" ca="1" si="173"/>
        <v>#N/A</v>
      </c>
      <c r="AU465" s="406" t="e">
        <f t="shared" ca="1" si="173"/>
        <v>#N/A</v>
      </c>
      <c r="AV465" s="406" t="e">
        <f t="shared" ca="1" si="173"/>
        <v>#N/A</v>
      </c>
      <c r="AW465" s="406" t="e">
        <f t="shared" ca="1" si="173"/>
        <v>#N/A</v>
      </c>
      <c r="AX465" s="406" t="e">
        <f t="shared" ca="1" si="173"/>
        <v>#N/A</v>
      </c>
      <c r="AY465" s="406" t="e">
        <f t="shared" ca="1" si="173"/>
        <v>#N/A</v>
      </c>
      <c r="AZ465" s="406" t="e">
        <f t="shared" ca="1" si="173"/>
        <v>#N/A</v>
      </c>
      <c r="BA465" s="406" t="e">
        <f t="shared" ca="1" si="173"/>
        <v>#N/A</v>
      </c>
      <c r="BB465" s="408"/>
      <c r="BC465" s="408" t="str">
        <f t="shared" ca="1" si="171"/>
        <v/>
      </c>
      <c r="BD465" s="408" t="s">
        <v>1278</v>
      </c>
      <c r="BE465" s="408" t="s">
        <v>1278</v>
      </c>
    </row>
    <row r="466" spans="3:57" x14ac:dyDescent="0.25">
      <c r="C466" s="406">
        <f t="shared" si="172"/>
        <v>464</v>
      </c>
      <c r="D466" s="406" t="e">
        <f t="shared" ca="1" si="170"/>
        <v>#N/A</v>
      </c>
      <c r="E466" s="406" t="e">
        <f t="shared" ca="1" si="170"/>
        <v>#N/A</v>
      </c>
      <c r="F466" s="406" t="e">
        <f t="shared" ca="1" si="170"/>
        <v>#N/A</v>
      </c>
      <c r="G466" s="406" t="e">
        <f t="shared" ca="1" si="170"/>
        <v>#N/A</v>
      </c>
      <c r="H466" s="406" t="e">
        <f t="shared" ca="1" si="170"/>
        <v>#N/A</v>
      </c>
      <c r="I466" s="406" t="e">
        <f t="shared" ca="1" si="170"/>
        <v>#N/A</v>
      </c>
      <c r="J466" s="406" t="e">
        <f t="shared" ca="1" si="170"/>
        <v>#N/A</v>
      </c>
      <c r="K466" s="406" t="e">
        <f t="shared" ca="1" si="170"/>
        <v>#N/A</v>
      </c>
      <c r="L466" s="406" t="e">
        <f t="shared" ca="1" si="170"/>
        <v>#N/A</v>
      </c>
      <c r="M466" s="406" t="e">
        <f t="shared" ca="1" si="170"/>
        <v>#N/A</v>
      </c>
      <c r="N466" s="406" t="e">
        <f t="shared" ca="1" si="168"/>
        <v>#N/A</v>
      </c>
      <c r="O466" s="406" t="e">
        <f t="shared" ca="1" si="168"/>
        <v>#N/A</v>
      </c>
      <c r="P466" s="406" t="e">
        <f t="shared" ca="1" si="168"/>
        <v>#N/A</v>
      </c>
      <c r="Q466" s="406" t="e">
        <f t="shared" ca="1" si="168"/>
        <v>#N/A</v>
      </c>
      <c r="R466" s="406" t="e">
        <f t="shared" ca="1" si="168"/>
        <v>#N/A</v>
      </c>
      <c r="S466" s="406" t="e">
        <f t="shared" ca="1" si="168"/>
        <v>#N/A</v>
      </c>
      <c r="T466" s="406" t="e">
        <f t="shared" ca="1" si="168"/>
        <v>#N/A</v>
      </c>
      <c r="U466" s="406" t="e">
        <f t="shared" ca="1" si="168"/>
        <v>#N/A</v>
      </c>
      <c r="V466" s="406" t="e">
        <f t="shared" ca="1" si="168"/>
        <v>#N/A</v>
      </c>
      <c r="W466" s="406" t="e">
        <f t="shared" ca="1" si="168"/>
        <v>#N/A</v>
      </c>
      <c r="X466" s="406" t="e">
        <f t="shared" ca="1" si="167"/>
        <v>#N/A</v>
      </c>
      <c r="Y466" s="406" t="e">
        <f t="shared" ca="1" si="167"/>
        <v>#N/A</v>
      </c>
      <c r="Z466" s="406" t="e">
        <f t="shared" ca="1" si="167"/>
        <v>#N/A</v>
      </c>
      <c r="AA466" s="406" t="e">
        <f t="shared" ca="1" si="167"/>
        <v>#N/A</v>
      </c>
      <c r="AB466" s="406" t="e">
        <f t="shared" ca="1" si="167"/>
        <v>#N/A</v>
      </c>
      <c r="AC466" s="406" t="e">
        <f t="shared" ca="1" si="167"/>
        <v>#N/A</v>
      </c>
      <c r="AD466" s="406" t="e">
        <f t="shared" ca="1" si="167"/>
        <v>#N/A</v>
      </c>
      <c r="AE466" s="406" t="e">
        <f t="shared" ca="1" si="167"/>
        <v>#N/A</v>
      </c>
      <c r="AF466" s="406" t="e">
        <f t="shared" ca="1" si="167"/>
        <v>#N/A</v>
      </c>
      <c r="AG466" s="406" t="e">
        <f t="shared" ca="1" si="167"/>
        <v>#N/A</v>
      </c>
      <c r="AH466" s="406" t="e">
        <f t="shared" ca="1" si="169"/>
        <v>#N/A</v>
      </c>
      <c r="AI466" s="406" t="e">
        <f t="shared" ca="1" si="169"/>
        <v>#N/A</v>
      </c>
      <c r="AJ466" s="406" t="e">
        <f t="shared" ca="1" si="169"/>
        <v>#N/A</v>
      </c>
      <c r="AK466" s="406" t="e">
        <f t="shared" ca="1" si="169"/>
        <v>#N/A</v>
      </c>
      <c r="AL466" s="406" t="e">
        <f t="shared" ca="1" si="169"/>
        <v>#N/A</v>
      </c>
      <c r="AM466" s="406" t="e">
        <f t="shared" ca="1" si="169"/>
        <v>#N/A</v>
      </c>
      <c r="AN466" s="406" t="e">
        <f t="shared" ca="1" si="169"/>
        <v>#N/A</v>
      </c>
      <c r="AO466" s="406" t="e">
        <f t="shared" ca="1" si="169"/>
        <v>#N/A</v>
      </c>
      <c r="AP466" s="406" t="e">
        <f t="shared" ca="1" si="169"/>
        <v>#N/A</v>
      </c>
      <c r="AQ466" s="406" t="e">
        <f t="shared" ca="1" si="169"/>
        <v>#N/A</v>
      </c>
      <c r="AR466" s="406" t="e">
        <f t="shared" ca="1" si="173"/>
        <v>#N/A</v>
      </c>
      <c r="AS466" s="406" t="e">
        <f t="shared" ca="1" si="173"/>
        <v>#N/A</v>
      </c>
      <c r="AT466" s="406" t="e">
        <f t="shared" ca="1" si="173"/>
        <v>#N/A</v>
      </c>
      <c r="AU466" s="406" t="e">
        <f t="shared" ca="1" si="173"/>
        <v>#N/A</v>
      </c>
      <c r="AV466" s="406" t="e">
        <f t="shared" ca="1" si="173"/>
        <v>#N/A</v>
      </c>
      <c r="AW466" s="406" t="e">
        <f t="shared" ca="1" si="173"/>
        <v>#N/A</v>
      </c>
      <c r="AX466" s="406" t="e">
        <f t="shared" ca="1" si="173"/>
        <v>#N/A</v>
      </c>
      <c r="AY466" s="406" t="e">
        <f t="shared" ca="1" si="173"/>
        <v>#N/A</v>
      </c>
      <c r="AZ466" s="406" t="e">
        <f t="shared" ca="1" si="173"/>
        <v>#N/A</v>
      </c>
      <c r="BA466" s="406" t="e">
        <f t="shared" ca="1" si="173"/>
        <v>#N/A</v>
      </c>
      <c r="BB466" s="408"/>
      <c r="BC466" s="408" t="str">
        <f t="shared" ca="1" si="171"/>
        <v/>
      </c>
      <c r="BD466" s="408" t="s">
        <v>1278</v>
      </c>
      <c r="BE466" s="408" t="s">
        <v>1278</v>
      </c>
    </row>
    <row r="467" spans="3:57" x14ac:dyDescent="0.25">
      <c r="C467" s="406">
        <f t="shared" si="172"/>
        <v>465</v>
      </c>
      <c r="D467" s="406" t="e">
        <f t="shared" ca="1" si="170"/>
        <v>#N/A</v>
      </c>
      <c r="E467" s="406" t="e">
        <f t="shared" ca="1" si="170"/>
        <v>#N/A</v>
      </c>
      <c r="F467" s="406" t="e">
        <f t="shared" ca="1" si="170"/>
        <v>#N/A</v>
      </c>
      <c r="G467" s="406" t="e">
        <f t="shared" ca="1" si="170"/>
        <v>#N/A</v>
      </c>
      <c r="H467" s="406" t="e">
        <f t="shared" ca="1" si="170"/>
        <v>#N/A</v>
      </c>
      <c r="I467" s="406" t="e">
        <f t="shared" ca="1" si="170"/>
        <v>#N/A</v>
      </c>
      <c r="J467" s="406" t="e">
        <f t="shared" ca="1" si="170"/>
        <v>#N/A</v>
      </c>
      <c r="K467" s="406" t="e">
        <f t="shared" ca="1" si="170"/>
        <v>#N/A</v>
      </c>
      <c r="L467" s="406" t="e">
        <f t="shared" ca="1" si="170"/>
        <v>#N/A</v>
      </c>
      <c r="M467" s="406" t="e">
        <f t="shared" ca="1" si="170"/>
        <v>#N/A</v>
      </c>
      <c r="N467" s="406" t="e">
        <f t="shared" ca="1" si="168"/>
        <v>#N/A</v>
      </c>
      <c r="O467" s="406" t="e">
        <f t="shared" ca="1" si="168"/>
        <v>#N/A</v>
      </c>
      <c r="P467" s="406" t="e">
        <f t="shared" ca="1" si="168"/>
        <v>#N/A</v>
      </c>
      <c r="Q467" s="406" t="e">
        <f t="shared" ca="1" si="168"/>
        <v>#N/A</v>
      </c>
      <c r="R467" s="406" t="e">
        <f t="shared" ca="1" si="168"/>
        <v>#N/A</v>
      </c>
      <c r="S467" s="406" t="e">
        <f t="shared" ca="1" si="168"/>
        <v>#N/A</v>
      </c>
      <c r="T467" s="406" t="e">
        <f t="shared" ca="1" si="168"/>
        <v>#N/A</v>
      </c>
      <c r="U467" s="406" t="e">
        <f t="shared" ca="1" si="168"/>
        <v>#N/A</v>
      </c>
      <c r="V467" s="406" t="e">
        <f t="shared" ca="1" si="168"/>
        <v>#N/A</v>
      </c>
      <c r="W467" s="406" t="e">
        <f t="shared" ca="1" si="168"/>
        <v>#N/A</v>
      </c>
      <c r="X467" s="406" t="e">
        <f t="shared" ca="1" si="167"/>
        <v>#N/A</v>
      </c>
      <c r="Y467" s="406" t="e">
        <f t="shared" ca="1" si="167"/>
        <v>#N/A</v>
      </c>
      <c r="Z467" s="406" t="e">
        <f t="shared" ca="1" si="167"/>
        <v>#N/A</v>
      </c>
      <c r="AA467" s="406" t="e">
        <f t="shared" ca="1" si="167"/>
        <v>#N/A</v>
      </c>
      <c r="AB467" s="406" t="e">
        <f t="shared" ca="1" si="167"/>
        <v>#N/A</v>
      </c>
      <c r="AC467" s="406" t="e">
        <f t="shared" ca="1" si="167"/>
        <v>#N/A</v>
      </c>
      <c r="AD467" s="406" t="e">
        <f t="shared" ref="X467:AG493" ca="1" si="174">TRIM(INDIRECT("'" &amp; "TNX RTF" &amp; "'!" &amp; ADDRESS($A$3+$C467,AD$1)))</f>
        <v>#N/A</v>
      </c>
      <c r="AE467" s="406" t="e">
        <f t="shared" ca="1" si="174"/>
        <v>#N/A</v>
      </c>
      <c r="AF467" s="406" t="e">
        <f t="shared" ca="1" si="174"/>
        <v>#N/A</v>
      </c>
      <c r="AG467" s="406" t="e">
        <f t="shared" ca="1" si="174"/>
        <v>#N/A</v>
      </c>
      <c r="AH467" s="406" t="e">
        <f t="shared" ca="1" si="169"/>
        <v>#N/A</v>
      </c>
      <c r="AI467" s="406" t="e">
        <f t="shared" ca="1" si="169"/>
        <v>#N/A</v>
      </c>
      <c r="AJ467" s="406" t="e">
        <f t="shared" ca="1" si="169"/>
        <v>#N/A</v>
      </c>
      <c r="AK467" s="406" t="e">
        <f t="shared" ca="1" si="169"/>
        <v>#N/A</v>
      </c>
      <c r="AL467" s="406" t="e">
        <f t="shared" ca="1" si="169"/>
        <v>#N/A</v>
      </c>
      <c r="AM467" s="406" t="e">
        <f t="shared" ca="1" si="169"/>
        <v>#N/A</v>
      </c>
      <c r="AN467" s="406" t="e">
        <f t="shared" ca="1" si="169"/>
        <v>#N/A</v>
      </c>
      <c r="AO467" s="406" t="e">
        <f t="shared" ca="1" si="169"/>
        <v>#N/A</v>
      </c>
      <c r="AP467" s="406" t="e">
        <f t="shared" ca="1" si="169"/>
        <v>#N/A</v>
      </c>
      <c r="AQ467" s="406" t="e">
        <f t="shared" ca="1" si="169"/>
        <v>#N/A</v>
      </c>
      <c r="AR467" s="406" t="e">
        <f t="shared" ca="1" si="173"/>
        <v>#N/A</v>
      </c>
      <c r="AS467" s="406" t="e">
        <f t="shared" ca="1" si="173"/>
        <v>#N/A</v>
      </c>
      <c r="AT467" s="406" t="e">
        <f t="shared" ca="1" si="173"/>
        <v>#N/A</v>
      </c>
      <c r="AU467" s="406" t="e">
        <f t="shared" ca="1" si="173"/>
        <v>#N/A</v>
      </c>
      <c r="AV467" s="406" t="e">
        <f t="shared" ca="1" si="173"/>
        <v>#N/A</v>
      </c>
      <c r="AW467" s="406" t="e">
        <f t="shared" ca="1" si="173"/>
        <v>#N/A</v>
      </c>
      <c r="AX467" s="406" t="e">
        <f t="shared" ca="1" si="173"/>
        <v>#N/A</v>
      </c>
      <c r="AY467" s="406" t="e">
        <f t="shared" ca="1" si="173"/>
        <v>#N/A</v>
      </c>
      <c r="AZ467" s="406" t="e">
        <f t="shared" ca="1" si="173"/>
        <v>#N/A</v>
      </c>
      <c r="BA467" s="406" t="e">
        <f t="shared" ca="1" si="173"/>
        <v>#N/A</v>
      </c>
      <c r="BB467" s="408"/>
      <c r="BC467" s="408" t="str">
        <f t="shared" ca="1" si="171"/>
        <v/>
      </c>
      <c r="BD467" s="408" t="s">
        <v>1278</v>
      </c>
      <c r="BE467" s="408" t="s">
        <v>1278</v>
      </c>
    </row>
    <row r="468" spans="3:57" ht="15" customHeight="1" x14ac:dyDescent="0.25">
      <c r="C468" s="406">
        <f t="shared" si="172"/>
        <v>466</v>
      </c>
      <c r="D468" s="406" t="e">
        <f t="shared" ca="1" si="170"/>
        <v>#N/A</v>
      </c>
      <c r="E468" s="406" t="e">
        <f t="shared" ca="1" si="170"/>
        <v>#N/A</v>
      </c>
      <c r="F468" s="406" t="e">
        <f t="shared" ca="1" si="170"/>
        <v>#N/A</v>
      </c>
      <c r="G468" s="406" t="e">
        <f t="shared" ca="1" si="170"/>
        <v>#N/A</v>
      </c>
      <c r="H468" s="406" t="e">
        <f t="shared" ca="1" si="170"/>
        <v>#N/A</v>
      </c>
      <c r="I468" s="406" t="e">
        <f t="shared" ca="1" si="170"/>
        <v>#N/A</v>
      </c>
      <c r="J468" s="406" t="e">
        <f t="shared" ca="1" si="170"/>
        <v>#N/A</v>
      </c>
      <c r="K468" s="406" t="e">
        <f t="shared" ca="1" si="170"/>
        <v>#N/A</v>
      </c>
      <c r="L468" s="406" t="e">
        <f t="shared" ca="1" si="170"/>
        <v>#N/A</v>
      </c>
      <c r="M468" s="406" t="e">
        <f t="shared" ca="1" si="170"/>
        <v>#N/A</v>
      </c>
      <c r="N468" s="406" t="e">
        <f t="shared" ca="1" si="168"/>
        <v>#N/A</v>
      </c>
      <c r="O468" s="406" t="e">
        <f t="shared" ca="1" si="168"/>
        <v>#N/A</v>
      </c>
      <c r="P468" s="406" t="e">
        <f t="shared" ca="1" si="168"/>
        <v>#N/A</v>
      </c>
      <c r="Q468" s="406" t="e">
        <f t="shared" ca="1" si="168"/>
        <v>#N/A</v>
      </c>
      <c r="R468" s="406" t="e">
        <f t="shared" ca="1" si="168"/>
        <v>#N/A</v>
      </c>
      <c r="S468" s="406" t="e">
        <f t="shared" ca="1" si="168"/>
        <v>#N/A</v>
      </c>
      <c r="T468" s="406" t="e">
        <f t="shared" ca="1" si="168"/>
        <v>#N/A</v>
      </c>
      <c r="U468" s="406" t="e">
        <f t="shared" ca="1" si="168"/>
        <v>#N/A</v>
      </c>
      <c r="V468" s="406" t="e">
        <f t="shared" ca="1" si="168"/>
        <v>#N/A</v>
      </c>
      <c r="W468" s="406" t="e">
        <f t="shared" ca="1" si="168"/>
        <v>#N/A</v>
      </c>
      <c r="X468" s="406" t="e">
        <f t="shared" ca="1" si="174"/>
        <v>#N/A</v>
      </c>
      <c r="Y468" s="406" t="e">
        <f t="shared" ca="1" si="174"/>
        <v>#N/A</v>
      </c>
      <c r="Z468" s="406" t="e">
        <f t="shared" ca="1" si="174"/>
        <v>#N/A</v>
      </c>
      <c r="AA468" s="406" t="e">
        <f t="shared" ca="1" si="174"/>
        <v>#N/A</v>
      </c>
      <c r="AB468" s="406" t="e">
        <f t="shared" ca="1" si="174"/>
        <v>#N/A</v>
      </c>
      <c r="AC468" s="406" t="e">
        <f t="shared" ca="1" si="174"/>
        <v>#N/A</v>
      </c>
      <c r="AD468" s="406" t="e">
        <f t="shared" ca="1" si="174"/>
        <v>#N/A</v>
      </c>
      <c r="AE468" s="406" t="e">
        <f t="shared" ca="1" si="174"/>
        <v>#N/A</v>
      </c>
      <c r="AF468" s="406" t="e">
        <f t="shared" ca="1" si="174"/>
        <v>#N/A</v>
      </c>
      <c r="AG468" s="406" t="e">
        <f t="shared" ca="1" si="174"/>
        <v>#N/A</v>
      </c>
      <c r="AH468" s="406" t="e">
        <f t="shared" ca="1" si="169"/>
        <v>#N/A</v>
      </c>
      <c r="AI468" s="406" t="e">
        <f t="shared" ca="1" si="169"/>
        <v>#N/A</v>
      </c>
      <c r="AJ468" s="406" t="e">
        <f t="shared" ca="1" si="169"/>
        <v>#N/A</v>
      </c>
      <c r="AK468" s="406" t="e">
        <f t="shared" ca="1" si="169"/>
        <v>#N/A</v>
      </c>
      <c r="AL468" s="406" t="e">
        <f t="shared" ca="1" si="169"/>
        <v>#N/A</v>
      </c>
      <c r="AM468" s="406" t="e">
        <f t="shared" ca="1" si="169"/>
        <v>#N/A</v>
      </c>
      <c r="AN468" s="406" t="e">
        <f t="shared" ca="1" si="169"/>
        <v>#N/A</v>
      </c>
      <c r="AO468" s="406" t="e">
        <f t="shared" ca="1" si="169"/>
        <v>#N/A</v>
      </c>
      <c r="AP468" s="406" t="e">
        <f t="shared" ca="1" si="169"/>
        <v>#N/A</v>
      </c>
      <c r="AQ468" s="406" t="e">
        <f t="shared" ca="1" si="169"/>
        <v>#N/A</v>
      </c>
      <c r="AR468" s="406" t="e">
        <f t="shared" ca="1" si="173"/>
        <v>#N/A</v>
      </c>
      <c r="AS468" s="406" t="e">
        <f t="shared" ca="1" si="173"/>
        <v>#N/A</v>
      </c>
      <c r="AT468" s="406" t="e">
        <f t="shared" ca="1" si="173"/>
        <v>#N/A</v>
      </c>
      <c r="AU468" s="406" t="e">
        <f t="shared" ca="1" si="173"/>
        <v>#N/A</v>
      </c>
      <c r="AV468" s="406" t="e">
        <f t="shared" ca="1" si="173"/>
        <v>#N/A</v>
      </c>
      <c r="AW468" s="406" t="e">
        <f t="shared" ca="1" si="173"/>
        <v>#N/A</v>
      </c>
      <c r="AX468" s="406" t="e">
        <f t="shared" ca="1" si="173"/>
        <v>#N/A</v>
      </c>
      <c r="AY468" s="406" t="e">
        <f t="shared" ca="1" si="173"/>
        <v>#N/A</v>
      </c>
      <c r="AZ468" s="406" t="e">
        <f t="shared" ca="1" si="173"/>
        <v>#N/A</v>
      </c>
      <c r="BA468" s="406" t="e">
        <f t="shared" ca="1" si="173"/>
        <v>#N/A</v>
      </c>
      <c r="BB468" s="408"/>
      <c r="BC468" s="408" t="str">
        <f t="shared" ca="1" si="171"/>
        <v/>
      </c>
      <c r="BD468" s="408" t="s">
        <v>1278</v>
      </c>
      <c r="BE468" s="408" t="s">
        <v>1278</v>
      </c>
    </row>
    <row r="469" spans="3:57" x14ac:dyDescent="0.25">
      <c r="C469" s="406">
        <f t="shared" si="172"/>
        <v>467</v>
      </c>
      <c r="D469" s="406" t="e">
        <f t="shared" ca="1" si="170"/>
        <v>#N/A</v>
      </c>
      <c r="E469" s="406" t="e">
        <f t="shared" ca="1" si="170"/>
        <v>#N/A</v>
      </c>
      <c r="F469" s="406" t="e">
        <f t="shared" ca="1" si="170"/>
        <v>#N/A</v>
      </c>
      <c r="G469" s="406" t="e">
        <f t="shared" ca="1" si="170"/>
        <v>#N/A</v>
      </c>
      <c r="H469" s="406" t="e">
        <f t="shared" ca="1" si="170"/>
        <v>#N/A</v>
      </c>
      <c r="I469" s="406" t="e">
        <f t="shared" ca="1" si="170"/>
        <v>#N/A</v>
      </c>
      <c r="J469" s="406" t="e">
        <f t="shared" ca="1" si="170"/>
        <v>#N/A</v>
      </c>
      <c r="K469" s="406" t="e">
        <f t="shared" ca="1" si="170"/>
        <v>#N/A</v>
      </c>
      <c r="L469" s="406" t="e">
        <f t="shared" ca="1" si="170"/>
        <v>#N/A</v>
      </c>
      <c r="M469" s="406" t="e">
        <f t="shared" ca="1" si="170"/>
        <v>#N/A</v>
      </c>
      <c r="N469" s="406" t="e">
        <f t="shared" ca="1" si="168"/>
        <v>#N/A</v>
      </c>
      <c r="O469" s="406" t="e">
        <f t="shared" ca="1" si="168"/>
        <v>#N/A</v>
      </c>
      <c r="P469" s="406" t="e">
        <f t="shared" ca="1" si="168"/>
        <v>#N/A</v>
      </c>
      <c r="Q469" s="406" t="e">
        <f t="shared" ca="1" si="168"/>
        <v>#N/A</v>
      </c>
      <c r="R469" s="406" t="e">
        <f t="shared" ca="1" si="168"/>
        <v>#N/A</v>
      </c>
      <c r="S469" s="406" t="e">
        <f t="shared" ca="1" si="168"/>
        <v>#N/A</v>
      </c>
      <c r="T469" s="406" t="e">
        <f t="shared" ca="1" si="168"/>
        <v>#N/A</v>
      </c>
      <c r="U469" s="406" t="e">
        <f t="shared" ca="1" si="168"/>
        <v>#N/A</v>
      </c>
      <c r="V469" s="406" t="e">
        <f t="shared" ca="1" si="168"/>
        <v>#N/A</v>
      </c>
      <c r="W469" s="406" t="e">
        <f t="shared" ca="1" si="168"/>
        <v>#N/A</v>
      </c>
      <c r="X469" s="406" t="e">
        <f t="shared" ca="1" si="174"/>
        <v>#N/A</v>
      </c>
      <c r="Y469" s="406" t="e">
        <f t="shared" ca="1" si="174"/>
        <v>#N/A</v>
      </c>
      <c r="Z469" s="406" t="e">
        <f t="shared" ca="1" si="174"/>
        <v>#N/A</v>
      </c>
      <c r="AA469" s="406" t="e">
        <f t="shared" ca="1" si="174"/>
        <v>#N/A</v>
      </c>
      <c r="AB469" s="406" t="e">
        <f t="shared" ca="1" si="174"/>
        <v>#N/A</v>
      </c>
      <c r="AC469" s="406" t="e">
        <f t="shared" ca="1" si="174"/>
        <v>#N/A</v>
      </c>
      <c r="AD469" s="406" t="e">
        <f t="shared" ca="1" si="174"/>
        <v>#N/A</v>
      </c>
      <c r="AE469" s="406" t="e">
        <f t="shared" ca="1" si="174"/>
        <v>#N/A</v>
      </c>
      <c r="AF469" s="406" t="e">
        <f t="shared" ca="1" si="174"/>
        <v>#N/A</v>
      </c>
      <c r="AG469" s="406" t="e">
        <f t="shared" ca="1" si="174"/>
        <v>#N/A</v>
      </c>
      <c r="AH469" s="406" t="e">
        <f t="shared" ca="1" si="169"/>
        <v>#N/A</v>
      </c>
      <c r="AI469" s="406" t="e">
        <f t="shared" ca="1" si="169"/>
        <v>#N/A</v>
      </c>
      <c r="AJ469" s="406" t="e">
        <f t="shared" ca="1" si="169"/>
        <v>#N/A</v>
      </c>
      <c r="AK469" s="406" t="e">
        <f t="shared" ca="1" si="169"/>
        <v>#N/A</v>
      </c>
      <c r="AL469" s="406" t="e">
        <f t="shared" ca="1" si="169"/>
        <v>#N/A</v>
      </c>
      <c r="AM469" s="406" t="e">
        <f t="shared" ca="1" si="169"/>
        <v>#N/A</v>
      </c>
      <c r="AN469" s="406" t="e">
        <f t="shared" ca="1" si="169"/>
        <v>#N/A</v>
      </c>
      <c r="AO469" s="406" t="e">
        <f t="shared" ca="1" si="169"/>
        <v>#N/A</v>
      </c>
      <c r="AP469" s="406" t="e">
        <f t="shared" ca="1" si="169"/>
        <v>#N/A</v>
      </c>
      <c r="AQ469" s="406" t="e">
        <f t="shared" ca="1" si="169"/>
        <v>#N/A</v>
      </c>
      <c r="AR469" s="406" t="e">
        <f t="shared" ca="1" si="173"/>
        <v>#N/A</v>
      </c>
      <c r="AS469" s="406" t="e">
        <f t="shared" ca="1" si="173"/>
        <v>#N/A</v>
      </c>
      <c r="AT469" s="406" t="e">
        <f t="shared" ca="1" si="173"/>
        <v>#N/A</v>
      </c>
      <c r="AU469" s="406" t="e">
        <f t="shared" ca="1" si="173"/>
        <v>#N/A</v>
      </c>
      <c r="AV469" s="406" t="e">
        <f t="shared" ca="1" si="173"/>
        <v>#N/A</v>
      </c>
      <c r="AW469" s="406" t="e">
        <f t="shared" ca="1" si="173"/>
        <v>#N/A</v>
      </c>
      <c r="AX469" s="406" t="e">
        <f t="shared" ca="1" si="173"/>
        <v>#N/A</v>
      </c>
      <c r="AY469" s="406" t="e">
        <f t="shared" ca="1" si="173"/>
        <v>#N/A</v>
      </c>
      <c r="AZ469" s="406" t="e">
        <f t="shared" ca="1" si="173"/>
        <v>#N/A</v>
      </c>
      <c r="BA469" s="406" t="e">
        <f t="shared" ca="1" si="173"/>
        <v>#N/A</v>
      </c>
      <c r="BB469" s="408"/>
      <c r="BC469" s="408" t="str">
        <f t="shared" ca="1" si="171"/>
        <v/>
      </c>
      <c r="BD469" s="408" t="s">
        <v>1278</v>
      </c>
      <c r="BE469" s="408" t="s">
        <v>1278</v>
      </c>
    </row>
    <row r="470" spans="3:57" x14ac:dyDescent="0.25">
      <c r="C470" s="406">
        <f t="shared" si="172"/>
        <v>468</v>
      </c>
      <c r="D470" s="406" t="e">
        <f t="shared" ca="1" si="170"/>
        <v>#N/A</v>
      </c>
      <c r="E470" s="406" t="e">
        <f t="shared" ca="1" si="170"/>
        <v>#N/A</v>
      </c>
      <c r="F470" s="406" t="e">
        <f t="shared" ca="1" si="170"/>
        <v>#N/A</v>
      </c>
      <c r="G470" s="406" t="e">
        <f t="shared" ca="1" si="170"/>
        <v>#N/A</v>
      </c>
      <c r="H470" s="406" t="e">
        <f t="shared" ca="1" si="170"/>
        <v>#N/A</v>
      </c>
      <c r="I470" s="406" t="e">
        <f t="shared" ca="1" si="170"/>
        <v>#N/A</v>
      </c>
      <c r="J470" s="406" t="e">
        <f t="shared" ca="1" si="170"/>
        <v>#N/A</v>
      </c>
      <c r="K470" s="406" t="e">
        <f t="shared" ca="1" si="170"/>
        <v>#N/A</v>
      </c>
      <c r="L470" s="406" t="e">
        <f t="shared" ca="1" si="170"/>
        <v>#N/A</v>
      </c>
      <c r="M470" s="406" t="e">
        <f t="shared" ca="1" si="170"/>
        <v>#N/A</v>
      </c>
      <c r="N470" s="406" t="e">
        <f t="shared" ca="1" si="168"/>
        <v>#N/A</v>
      </c>
      <c r="O470" s="406" t="e">
        <f t="shared" ca="1" si="168"/>
        <v>#N/A</v>
      </c>
      <c r="P470" s="406" t="e">
        <f t="shared" ca="1" si="168"/>
        <v>#N/A</v>
      </c>
      <c r="Q470" s="406" t="e">
        <f t="shared" ca="1" si="168"/>
        <v>#N/A</v>
      </c>
      <c r="R470" s="406" t="e">
        <f t="shared" ca="1" si="168"/>
        <v>#N/A</v>
      </c>
      <c r="S470" s="406" t="e">
        <f t="shared" ca="1" si="168"/>
        <v>#N/A</v>
      </c>
      <c r="T470" s="406" t="e">
        <f t="shared" ca="1" si="168"/>
        <v>#N/A</v>
      </c>
      <c r="U470" s="406" t="e">
        <f t="shared" ca="1" si="168"/>
        <v>#N/A</v>
      </c>
      <c r="V470" s="406" t="e">
        <f t="shared" ca="1" si="168"/>
        <v>#N/A</v>
      </c>
      <c r="W470" s="406" t="e">
        <f t="shared" ca="1" si="168"/>
        <v>#N/A</v>
      </c>
      <c r="X470" s="406" t="e">
        <f t="shared" ca="1" si="174"/>
        <v>#N/A</v>
      </c>
      <c r="Y470" s="406" t="e">
        <f t="shared" ca="1" si="174"/>
        <v>#N/A</v>
      </c>
      <c r="Z470" s="406" t="e">
        <f t="shared" ca="1" si="174"/>
        <v>#N/A</v>
      </c>
      <c r="AA470" s="406" t="e">
        <f t="shared" ca="1" si="174"/>
        <v>#N/A</v>
      </c>
      <c r="AB470" s="406" t="e">
        <f t="shared" ca="1" si="174"/>
        <v>#N/A</v>
      </c>
      <c r="AC470" s="406" t="e">
        <f t="shared" ca="1" si="174"/>
        <v>#N/A</v>
      </c>
      <c r="AD470" s="406" t="e">
        <f t="shared" ca="1" si="174"/>
        <v>#N/A</v>
      </c>
      <c r="AE470" s="406" t="e">
        <f t="shared" ca="1" si="174"/>
        <v>#N/A</v>
      </c>
      <c r="AF470" s="406" t="e">
        <f t="shared" ca="1" si="174"/>
        <v>#N/A</v>
      </c>
      <c r="AG470" s="406" t="e">
        <f t="shared" ca="1" si="174"/>
        <v>#N/A</v>
      </c>
      <c r="AH470" s="406" t="e">
        <f t="shared" ca="1" si="169"/>
        <v>#N/A</v>
      </c>
      <c r="AI470" s="406" t="e">
        <f t="shared" ca="1" si="169"/>
        <v>#N/A</v>
      </c>
      <c r="AJ470" s="406" t="e">
        <f t="shared" ca="1" si="169"/>
        <v>#N/A</v>
      </c>
      <c r="AK470" s="406" t="e">
        <f t="shared" ca="1" si="169"/>
        <v>#N/A</v>
      </c>
      <c r="AL470" s="406" t="e">
        <f t="shared" ca="1" si="169"/>
        <v>#N/A</v>
      </c>
      <c r="AM470" s="406" t="e">
        <f t="shared" ca="1" si="169"/>
        <v>#N/A</v>
      </c>
      <c r="AN470" s="406" t="e">
        <f t="shared" ca="1" si="169"/>
        <v>#N/A</v>
      </c>
      <c r="AO470" s="406" t="e">
        <f t="shared" ca="1" si="169"/>
        <v>#N/A</v>
      </c>
      <c r="AP470" s="406" t="e">
        <f t="shared" ca="1" si="169"/>
        <v>#N/A</v>
      </c>
      <c r="AQ470" s="406" t="e">
        <f t="shared" ca="1" si="169"/>
        <v>#N/A</v>
      </c>
      <c r="AR470" s="406" t="e">
        <f t="shared" ca="1" si="173"/>
        <v>#N/A</v>
      </c>
      <c r="AS470" s="406" t="e">
        <f t="shared" ca="1" si="173"/>
        <v>#N/A</v>
      </c>
      <c r="AT470" s="406" t="e">
        <f t="shared" ca="1" si="173"/>
        <v>#N/A</v>
      </c>
      <c r="AU470" s="406" t="e">
        <f t="shared" ca="1" si="173"/>
        <v>#N/A</v>
      </c>
      <c r="AV470" s="406" t="e">
        <f t="shared" ca="1" si="173"/>
        <v>#N/A</v>
      </c>
      <c r="AW470" s="406" t="e">
        <f t="shared" ca="1" si="173"/>
        <v>#N/A</v>
      </c>
      <c r="AX470" s="406" t="e">
        <f t="shared" ca="1" si="173"/>
        <v>#N/A</v>
      </c>
      <c r="AY470" s="406" t="e">
        <f t="shared" ca="1" si="173"/>
        <v>#N/A</v>
      </c>
      <c r="AZ470" s="406" t="e">
        <f t="shared" ca="1" si="173"/>
        <v>#N/A</v>
      </c>
      <c r="BA470" s="406" t="e">
        <f t="shared" ca="1" si="173"/>
        <v>#N/A</v>
      </c>
      <c r="BB470" s="408"/>
      <c r="BC470" s="408" t="str">
        <f t="shared" ca="1" si="171"/>
        <v/>
      </c>
      <c r="BD470" s="408" t="s">
        <v>1278</v>
      </c>
      <c r="BE470" s="408" t="s">
        <v>1278</v>
      </c>
    </row>
    <row r="471" spans="3:57" ht="15" customHeight="1" x14ac:dyDescent="0.25">
      <c r="C471" s="406">
        <f t="shared" si="172"/>
        <v>469</v>
      </c>
      <c r="D471" s="406" t="e">
        <f t="shared" ca="1" si="170"/>
        <v>#N/A</v>
      </c>
      <c r="E471" s="406" t="e">
        <f t="shared" ca="1" si="170"/>
        <v>#N/A</v>
      </c>
      <c r="F471" s="406" t="e">
        <f t="shared" ca="1" si="170"/>
        <v>#N/A</v>
      </c>
      <c r="G471" s="406" t="e">
        <f t="shared" ca="1" si="170"/>
        <v>#N/A</v>
      </c>
      <c r="H471" s="406" t="e">
        <f t="shared" ca="1" si="170"/>
        <v>#N/A</v>
      </c>
      <c r="I471" s="406" t="e">
        <f t="shared" ca="1" si="170"/>
        <v>#N/A</v>
      </c>
      <c r="J471" s="406" t="e">
        <f t="shared" ca="1" si="170"/>
        <v>#N/A</v>
      </c>
      <c r="K471" s="406" t="e">
        <f t="shared" ca="1" si="170"/>
        <v>#N/A</v>
      </c>
      <c r="L471" s="406" t="e">
        <f t="shared" ca="1" si="170"/>
        <v>#N/A</v>
      </c>
      <c r="M471" s="406" t="e">
        <f t="shared" ca="1" si="170"/>
        <v>#N/A</v>
      </c>
      <c r="N471" s="406" t="e">
        <f t="shared" ca="1" si="168"/>
        <v>#N/A</v>
      </c>
      <c r="O471" s="406" t="e">
        <f t="shared" ca="1" si="168"/>
        <v>#N/A</v>
      </c>
      <c r="P471" s="406" t="e">
        <f t="shared" ca="1" si="168"/>
        <v>#N/A</v>
      </c>
      <c r="Q471" s="406" t="e">
        <f t="shared" ca="1" si="168"/>
        <v>#N/A</v>
      </c>
      <c r="R471" s="406" t="e">
        <f t="shared" ca="1" si="168"/>
        <v>#N/A</v>
      </c>
      <c r="S471" s="406" t="e">
        <f t="shared" ca="1" si="168"/>
        <v>#N/A</v>
      </c>
      <c r="T471" s="406" t="e">
        <f t="shared" ca="1" si="168"/>
        <v>#N/A</v>
      </c>
      <c r="U471" s="406" t="e">
        <f t="shared" ca="1" si="168"/>
        <v>#N/A</v>
      </c>
      <c r="V471" s="406" t="e">
        <f t="shared" ca="1" si="168"/>
        <v>#N/A</v>
      </c>
      <c r="W471" s="406" t="e">
        <f t="shared" ca="1" si="168"/>
        <v>#N/A</v>
      </c>
      <c r="X471" s="406" t="e">
        <f t="shared" ca="1" si="174"/>
        <v>#N/A</v>
      </c>
      <c r="Y471" s="406" t="e">
        <f t="shared" ca="1" si="174"/>
        <v>#N/A</v>
      </c>
      <c r="Z471" s="406" t="e">
        <f t="shared" ca="1" si="174"/>
        <v>#N/A</v>
      </c>
      <c r="AA471" s="406" t="e">
        <f t="shared" ca="1" si="174"/>
        <v>#N/A</v>
      </c>
      <c r="AB471" s="406" t="e">
        <f t="shared" ca="1" si="174"/>
        <v>#N/A</v>
      </c>
      <c r="AC471" s="406" t="e">
        <f t="shared" ca="1" si="174"/>
        <v>#N/A</v>
      </c>
      <c r="AD471" s="406" t="e">
        <f t="shared" ca="1" si="174"/>
        <v>#N/A</v>
      </c>
      <c r="AE471" s="406" t="e">
        <f t="shared" ca="1" si="174"/>
        <v>#N/A</v>
      </c>
      <c r="AF471" s="406" t="e">
        <f t="shared" ca="1" si="174"/>
        <v>#N/A</v>
      </c>
      <c r="AG471" s="406" t="e">
        <f t="shared" ca="1" si="174"/>
        <v>#N/A</v>
      </c>
      <c r="AH471" s="406" t="e">
        <f t="shared" ca="1" si="169"/>
        <v>#N/A</v>
      </c>
      <c r="AI471" s="406" t="e">
        <f t="shared" ca="1" si="169"/>
        <v>#N/A</v>
      </c>
      <c r="AJ471" s="406" t="e">
        <f t="shared" ca="1" si="169"/>
        <v>#N/A</v>
      </c>
      <c r="AK471" s="406" t="e">
        <f t="shared" ca="1" si="169"/>
        <v>#N/A</v>
      </c>
      <c r="AL471" s="406" t="e">
        <f t="shared" ca="1" si="169"/>
        <v>#N/A</v>
      </c>
      <c r="AM471" s="406" t="e">
        <f t="shared" ca="1" si="169"/>
        <v>#N/A</v>
      </c>
      <c r="AN471" s="406" t="e">
        <f t="shared" ca="1" si="169"/>
        <v>#N/A</v>
      </c>
      <c r="AO471" s="406" t="e">
        <f t="shared" ca="1" si="169"/>
        <v>#N/A</v>
      </c>
      <c r="AP471" s="406" t="e">
        <f t="shared" ca="1" si="169"/>
        <v>#N/A</v>
      </c>
      <c r="AQ471" s="406" t="e">
        <f t="shared" ca="1" si="169"/>
        <v>#N/A</v>
      </c>
      <c r="AR471" s="406" t="e">
        <f t="shared" ca="1" si="173"/>
        <v>#N/A</v>
      </c>
      <c r="AS471" s="406" t="e">
        <f t="shared" ca="1" si="173"/>
        <v>#N/A</v>
      </c>
      <c r="AT471" s="406" t="e">
        <f t="shared" ca="1" si="173"/>
        <v>#N/A</v>
      </c>
      <c r="AU471" s="406" t="e">
        <f t="shared" ca="1" si="173"/>
        <v>#N/A</v>
      </c>
      <c r="AV471" s="406" t="e">
        <f t="shared" ca="1" si="173"/>
        <v>#N/A</v>
      </c>
      <c r="AW471" s="406" t="e">
        <f t="shared" ca="1" si="173"/>
        <v>#N/A</v>
      </c>
      <c r="AX471" s="406" t="e">
        <f t="shared" ca="1" si="173"/>
        <v>#N/A</v>
      </c>
      <c r="AY471" s="406" t="e">
        <f t="shared" ca="1" si="173"/>
        <v>#N/A</v>
      </c>
      <c r="AZ471" s="406" t="e">
        <f t="shared" ca="1" si="173"/>
        <v>#N/A</v>
      </c>
      <c r="BA471" s="406" t="e">
        <f t="shared" ca="1" si="173"/>
        <v>#N/A</v>
      </c>
      <c r="BB471" s="408"/>
      <c r="BC471" s="408" t="str">
        <f t="shared" ca="1" si="171"/>
        <v/>
      </c>
      <c r="BD471" s="408" t="s">
        <v>1278</v>
      </c>
      <c r="BE471" s="408" t="s">
        <v>1278</v>
      </c>
    </row>
    <row r="472" spans="3:57" x14ac:dyDescent="0.25">
      <c r="C472" s="406">
        <f t="shared" si="172"/>
        <v>470</v>
      </c>
      <c r="D472" s="406" t="e">
        <f t="shared" ca="1" si="170"/>
        <v>#N/A</v>
      </c>
      <c r="E472" s="406" t="e">
        <f t="shared" ca="1" si="170"/>
        <v>#N/A</v>
      </c>
      <c r="F472" s="406" t="e">
        <f t="shared" ca="1" si="170"/>
        <v>#N/A</v>
      </c>
      <c r="G472" s="406" t="e">
        <f t="shared" ca="1" si="170"/>
        <v>#N/A</v>
      </c>
      <c r="H472" s="406" t="e">
        <f t="shared" ca="1" si="170"/>
        <v>#N/A</v>
      </c>
      <c r="I472" s="406" t="e">
        <f t="shared" ca="1" si="170"/>
        <v>#N/A</v>
      </c>
      <c r="J472" s="406" t="e">
        <f t="shared" ca="1" si="170"/>
        <v>#N/A</v>
      </c>
      <c r="K472" s="406" t="e">
        <f t="shared" ca="1" si="170"/>
        <v>#N/A</v>
      </c>
      <c r="L472" s="406" t="e">
        <f t="shared" ca="1" si="170"/>
        <v>#N/A</v>
      </c>
      <c r="M472" s="406" t="e">
        <f t="shared" ca="1" si="170"/>
        <v>#N/A</v>
      </c>
      <c r="N472" s="406" t="e">
        <f t="shared" ca="1" si="168"/>
        <v>#N/A</v>
      </c>
      <c r="O472" s="406" t="e">
        <f t="shared" ca="1" si="168"/>
        <v>#N/A</v>
      </c>
      <c r="P472" s="406" t="e">
        <f t="shared" ca="1" si="168"/>
        <v>#N/A</v>
      </c>
      <c r="Q472" s="406" t="e">
        <f t="shared" ca="1" si="168"/>
        <v>#N/A</v>
      </c>
      <c r="R472" s="406" t="e">
        <f t="shared" ca="1" si="168"/>
        <v>#N/A</v>
      </c>
      <c r="S472" s="406" t="e">
        <f t="shared" ca="1" si="168"/>
        <v>#N/A</v>
      </c>
      <c r="T472" s="406" t="e">
        <f t="shared" ca="1" si="168"/>
        <v>#N/A</v>
      </c>
      <c r="U472" s="406" t="e">
        <f t="shared" ca="1" si="168"/>
        <v>#N/A</v>
      </c>
      <c r="V472" s="406" t="e">
        <f t="shared" ca="1" si="168"/>
        <v>#N/A</v>
      </c>
      <c r="W472" s="406" t="e">
        <f t="shared" ca="1" si="168"/>
        <v>#N/A</v>
      </c>
      <c r="X472" s="406" t="e">
        <f t="shared" ca="1" si="174"/>
        <v>#N/A</v>
      </c>
      <c r="Y472" s="406" t="e">
        <f t="shared" ca="1" si="174"/>
        <v>#N/A</v>
      </c>
      <c r="Z472" s="406" t="e">
        <f t="shared" ca="1" si="174"/>
        <v>#N/A</v>
      </c>
      <c r="AA472" s="406" t="e">
        <f t="shared" ca="1" si="174"/>
        <v>#N/A</v>
      </c>
      <c r="AB472" s="406" t="e">
        <f t="shared" ca="1" si="174"/>
        <v>#N/A</v>
      </c>
      <c r="AC472" s="406" t="e">
        <f t="shared" ca="1" si="174"/>
        <v>#N/A</v>
      </c>
      <c r="AD472" s="406" t="e">
        <f t="shared" ca="1" si="174"/>
        <v>#N/A</v>
      </c>
      <c r="AE472" s="406" t="e">
        <f t="shared" ca="1" si="174"/>
        <v>#N/A</v>
      </c>
      <c r="AF472" s="406" t="e">
        <f t="shared" ca="1" si="174"/>
        <v>#N/A</v>
      </c>
      <c r="AG472" s="406" t="e">
        <f t="shared" ca="1" si="174"/>
        <v>#N/A</v>
      </c>
      <c r="AH472" s="406" t="e">
        <f t="shared" ca="1" si="169"/>
        <v>#N/A</v>
      </c>
      <c r="AI472" s="406" t="e">
        <f t="shared" ca="1" si="169"/>
        <v>#N/A</v>
      </c>
      <c r="AJ472" s="406" t="e">
        <f t="shared" ca="1" si="169"/>
        <v>#N/A</v>
      </c>
      <c r="AK472" s="406" t="e">
        <f t="shared" ca="1" si="169"/>
        <v>#N/A</v>
      </c>
      <c r="AL472" s="406" t="e">
        <f t="shared" ca="1" si="169"/>
        <v>#N/A</v>
      </c>
      <c r="AM472" s="406" t="e">
        <f t="shared" ca="1" si="169"/>
        <v>#N/A</v>
      </c>
      <c r="AN472" s="406" t="e">
        <f t="shared" ca="1" si="169"/>
        <v>#N/A</v>
      </c>
      <c r="AO472" s="406" t="e">
        <f t="shared" ca="1" si="169"/>
        <v>#N/A</v>
      </c>
      <c r="AP472" s="406" t="e">
        <f t="shared" ca="1" si="169"/>
        <v>#N/A</v>
      </c>
      <c r="AQ472" s="406" t="e">
        <f t="shared" ca="1" si="169"/>
        <v>#N/A</v>
      </c>
      <c r="AR472" s="406" t="e">
        <f t="shared" ca="1" si="173"/>
        <v>#N/A</v>
      </c>
      <c r="AS472" s="406" t="e">
        <f t="shared" ca="1" si="173"/>
        <v>#N/A</v>
      </c>
      <c r="AT472" s="406" t="e">
        <f t="shared" ca="1" si="173"/>
        <v>#N/A</v>
      </c>
      <c r="AU472" s="406" t="e">
        <f t="shared" ca="1" si="173"/>
        <v>#N/A</v>
      </c>
      <c r="AV472" s="406" t="e">
        <f t="shared" ca="1" si="173"/>
        <v>#N/A</v>
      </c>
      <c r="AW472" s="406" t="e">
        <f t="shared" ca="1" si="173"/>
        <v>#N/A</v>
      </c>
      <c r="AX472" s="406" t="e">
        <f t="shared" ca="1" si="173"/>
        <v>#N/A</v>
      </c>
      <c r="AY472" s="406" t="e">
        <f t="shared" ca="1" si="173"/>
        <v>#N/A</v>
      </c>
      <c r="AZ472" s="406" t="e">
        <f t="shared" ca="1" si="173"/>
        <v>#N/A</v>
      </c>
      <c r="BA472" s="406" t="e">
        <f t="shared" ca="1" si="173"/>
        <v>#N/A</v>
      </c>
      <c r="BB472" s="408"/>
      <c r="BC472" s="408" t="str">
        <f t="shared" ca="1" si="171"/>
        <v/>
      </c>
      <c r="BD472" s="408" t="s">
        <v>1278</v>
      </c>
      <c r="BE472" s="408" t="s">
        <v>1278</v>
      </c>
    </row>
    <row r="473" spans="3:57" x14ac:dyDescent="0.25">
      <c r="C473" s="406">
        <f t="shared" si="172"/>
        <v>471</v>
      </c>
      <c r="D473" s="406" t="e">
        <f t="shared" ca="1" si="170"/>
        <v>#N/A</v>
      </c>
      <c r="E473" s="406" t="e">
        <f t="shared" ca="1" si="170"/>
        <v>#N/A</v>
      </c>
      <c r="F473" s="406" t="e">
        <f t="shared" ca="1" si="170"/>
        <v>#N/A</v>
      </c>
      <c r="G473" s="406" t="e">
        <f t="shared" ca="1" si="170"/>
        <v>#N/A</v>
      </c>
      <c r="H473" s="406" t="e">
        <f t="shared" ca="1" si="170"/>
        <v>#N/A</v>
      </c>
      <c r="I473" s="406" t="e">
        <f t="shared" ca="1" si="170"/>
        <v>#N/A</v>
      </c>
      <c r="J473" s="406" t="e">
        <f t="shared" ca="1" si="170"/>
        <v>#N/A</v>
      </c>
      <c r="K473" s="406" t="e">
        <f t="shared" ca="1" si="170"/>
        <v>#N/A</v>
      </c>
      <c r="L473" s="406" t="e">
        <f t="shared" ca="1" si="170"/>
        <v>#N/A</v>
      </c>
      <c r="M473" s="406" t="e">
        <f t="shared" ca="1" si="170"/>
        <v>#N/A</v>
      </c>
      <c r="N473" s="406" t="e">
        <f t="shared" ca="1" si="168"/>
        <v>#N/A</v>
      </c>
      <c r="O473" s="406" t="e">
        <f t="shared" ca="1" si="168"/>
        <v>#N/A</v>
      </c>
      <c r="P473" s="406" t="e">
        <f t="shared" ca="1" si="168"/>
        <v>#N/A</v>
      </c>
      <c r="Q473" s="406" t="e">
        <f t="shared" ca="1" si="168"/>
        <v>#N/A</v>
      </c>
      <c r="R473" s="406" t="e">
        <f t="shared" ca="1" si="168"/>
        <v>#N/A</v>
      </c>
      <c r="S473" s="406" t="e">
        <f t="shared" ca="1" si="168"/>
        <v>#N/A</v>
      </c>
      <c r="T473" s="406" t="e">
        <f t="shared" ca="1" si="168"/>
        <v>#N/A</v>
      </c>
      <c r="U473" s="406" t="e">
        <f t="shared" ca="1" si="168"/>
        <v>#N/A</v>
      </c>
      <c r="V473" s="406" t="e">
        <f t="shared" ca="1" si="168"/>
        <v>#N/A</v>
      </c>
      <c r="W473" s="406" t="e">
        <f t="shared" ca="1" si="168"/>
        <v>#N/A</v>
      </c>
      <c r="X473" s="406" t="e">
        <f t="shared" ca="1" si="174"/>
        <v>#N/A</v>
      </c>
      <c r="Y473" s="406" t="e">
        <f t="shared" ca="1" si="174"/>
        <v>#N/A</v>
      </c>
      <c r="Z473" s="406" t="e">
        <f t="shared" ca="1" si="174"/>
        <v>#N/A</v>
      </c>
      <c r="AA473" s="406" t="e">
        <f t="shared" ca="1" si="174"/>
        <v>#N/A</v>
      </c>
      <c r="AB473" s="406" t="e">
        <f t="shared" ca="1" si="174"/>
        <v>#N/A</v>
      </c>
      <c r="AC473" s="406" t="e">
        <f t="shared" ca="1" si="174"/>
        <v>#N/A</v>
      </c>
      <c r="AD473" s="406" t="e">
        <f t="shared" ca="1" si="174"/>
        <v>#N/A</v>
      </c>
      <c r="AE473" s="406" t="e">
        <f t="shared" ca="1" si="174"/>
        <v>#N/A</v>
      </c>
      <c r="AF473" s="406" t="e">
        <f t="shared" ca="1" si="174"/>
        <v>#N/A</v>
      </c>
      <c r="AG473" s="406" t="e">
        <f t="shared" ca="1" si="174"/>
        <v>#N/A</v>
      </c>
      <c r="AH473" s="406" t="e">
        <f t="shared" ca="1" si="169"/>
        <v>#N/A</v>
      </c>
      <c r="AI473" s="406" t="e">
        <f t="shared" ca="1" si="169"/>
        <v>#N/A</v>
      </c>
      <c r="AJ473" s="406" t="e">
        <f t="shared" ca="1" si="169"/>
        <v>#N/A</v>
      </c>
      <c r="AK473" s="406" t="e">
        <f t="shared" ca="1" si="169"/>
        <v>#N/A</v>
      </c>
      <c r="AL473" s="406" t="e">
        <f t="shared" ca="1" si="169"/>
        <v>#N/A</v>
      </c>
      <c r="AM473" s="406" t="e">
        <f t="shared" ca="1" si="169"/>
        <v>#N/A</v>
      </c>
      <c r="AN473" s="406" t="e">
        <f t="shared" ca="1" si="169"/>
        <v>#N/A</v>
      </c>
      <c r="AO473" s="406" t="e">
        <f t="shared" ca="1" si="169"/>
        <v>#N/A</v>
      </c>
      <c r="AP473" s="406" t="e">
        <f t="shared" ca="1" si="169"/>
        <v>#N/A</v>
      </c>
      <c r="AQ473" s="406" t="e">
        <f t="shared" ca="1" si="169"/>
        <v>#N/A</v>
      </c>
      <c r="AR473" s="406" t="e">
        <f t="shared" ca="1" si="173"/>
        <v>#N/A</v>
      </c>
      <c r="AS473" s="406" t="e">
        <f t="shared" ca="1" si="173"/>
        <v>#N/A</v>
      </c>
      <c r="AT473" s="406" t="e">
        <f t="shared" ca="1" si="173"/>
        <v>#N/A</v>
      </c>
      <c r="AU473" s="406" t="e">
        <f t="shared" ca="1" si="173"/>
        <v>#N/A</v>
      </c>
      <c r="AV473" s="406" t="e">
        <f t="shared" ca="1" si="173"/>
        <v>#N/A</v>
      </c>
      <c r="AW473" s="406" t="e">
        <f t="shared" ca="1" si="173"/>
        <v>#N/A</v>
      </c>
      <c r="AX473" s="406" t="e">
        <f t="shared" ca="1" si="173"/>
        <v>#N/A</v>
      </c>
      <c r="AY473" s="406" t="e">
        <f t="shared" ca="1" si="173"/>
        <v>#N/A</v>
      </c>
      <c r="AZ473" s="406" t="e">
        <f t="shared" ca="1" si="173"/>
        <v>#N/A</v>
      </c>
      <c r="BA473" s="406" t="e">
        <f t="shared" ca="1" si="173"/>
        <v>#N/A</v>
      </c>
      <c r="BB473" s="408"/>
      <c r="BC473" s="408" t="str">
        <f t="shared" ca="1" si="171"/>
        <v/>
      </c>
      <c r="BD473" s="408" t="s">
        <v>1278</v>
      </c>
      <c r="BE473" s="408" t="s">
        <v>1278</v>
      </c>
    </row>
    <row r="474" spans="3:57" ht="15" customHeight="1" x14ac:dyDescent="0.25">
      <c r="C474" s="406">
        <f t="shared" si="172"/>
        <v>472</v>
      </c>
      <c r="D474" s="406" t="e">
        <f t="shared" ca="1" si="170"/>
        <v>#N/A</v>
      </c>
      <c r="E474" s="406" t="e">
        <f t="shared" ca="1" si="170"/>
        <v>#N/A</v>
      </c>
      <c r="F474" s="406" t="e">
        <f t="shared" ca="1" si="170"/>
        <v>#N/A</v>
      </c>
      <c r="G474" s="406" t="e">
        <f t="shared" ca="1" si="170"/>
        <v>#N/A</v>
      </c>
      <c r="H474" s="406" t="e">
        <f t="shared" ca="1" si="170"/>
        <v>#N/A</v>
      </c>
      <c r="I474" s="406" t="e">
        <f t="shared" ca="1" si="170"/>
        <v>#N/A</v>
      </c>
      <c r="J474" s="406" t="e">
        <f t="shared" ca="1" si="170"/>
        <v>#N/A</v>
      </c>
      <c r="K474" s="406" t="e">
        <f t="shared" ca="1" si="170"/>
        <v>#N/A</v>
      </c>
      <c r="L474" s="406" t="e">
        <f t="shared" ca="1" si="170"/>
        <v>#N/A</v>
      </c>
      <c r="M474" s="406" t="e">
        <f t="shared" ca="1" si="170"/>
        <v>#N/A</v>
      </c>
      <c r="N474" s="406" t="e">
        <f t="shared" ca="1" si="168"/>
        <v>#N/A</v>
      </c>
      <c r="O474" s="406" t="e">
        <f t="shared" ca="1" si="168"/>
        <v>#N/A</v>
      </c>
      <c r="P474" s="406" t="e">
        <f t="shared" ca="1" si="168"/>
        <v>#N/A</v>
      </c>
      <c r="Q474" s="406" t="e">
        <f t="shared" ca="1" si="168"/>
        <v>#N/A</v>
      </c>
      <c r="R474" s="406" t="e">
        <f t="shared" ref="N474:W499" ca="1" si="175">TRIM(INDIRECT("'" &amp; "TNX RTF" &amp; "'!" &amp; ADDRESS($A$3+$C474,R$1)))</f>
        <v>#N/A</v>
      </c>
      <c r="S474" s="406" t="e">
        <f t="shared" ca="1" si="175"/>
        <v>#N/A</v>
      </c>
      <c r="T474" s="406" t="e">
        <f t="shared" ca="1" si="175"/>
        <v>#N/A</v>
      </c>
      <c r="U474" s="406" t="e">
        <f t="shared" ca="1" si="175"/>
        <v>#N/A</v>
      </c>
      <c r="V474" s="406" t="e">
        <f t="shared" ca="1" si="175"/>
        <v>#N/A</v>
      </c>
      <c r="W474" s="406" t="e">
        <f t="shared" ca="1" si="175"/>
        <v>#N/A</v>
      </c>
      <c r="X474" s="406" t="e">
        <f t="shared" ca="1" si="174"/>
        <v>#N/A</v>
      </c>
      <c r="Y474" s="406" t="e">
        <f t="shared" ca="1" si="174"/>
        <v>#N/A</v>
      </c>
      <c r="Z474" s="406" t="e">
        <f t="shared" ca="1" si="174"/>
        <v>#N/A</v>
      </c>
      <c r="AA474" s="406" t="e">
        <f t="shared" ca="1" si="174"/>
        <v>#N/A</v>
      </c>
      <c r="AB474" s="406" t="e">
        <f t="shared" ca="1" si="174"/>
        <v>#N/A</v>
      </c>
      <c r="AC474" s="406" t="e">
        <f t="shared" ca="1" si="174"/>
        <v>#N/A</v>
      </c>
      <c r="AD474" s="406" t="e">
        <f t="shared" ca="1" si="174"/>
        <v>#N/A</v>
      </c>
      <c r="AE474" s="406" t="e">
        <f t="shared" ca="1" si="174"/>
        <v>#N/A</v>
      </c>
      <c r="AF474" s="406" t="e">
        <f t="shared" ca="1" si="174"/>
        <v>#N/A</v>
      </c>
      <c r="AG474" s="406" t="e">
        <f t="shared" ca="1" si="174"/>
        <v>#N/A</v>
      </c>
      <c r="AH474" s="406" t="e">
        <f t="shared" ca="1" si="169"/>
        <v>#N/A</v>
      </c>
      <c r="AI474" s="406" t="e">
        <f t="shared" ca="1" si="169"/>
        <v>#N/A</v>
      </c>
      <c r="AJ474" s="406" t="e">
        <f t="shared" ca="1" si="169"/>
        <v>#N/A</v>
      </c>
      <c r="AK474" s="406" t="e">
        <f t="shared" ref="AH474:AQ499" ca="1" si="176">TRIM(INDIRECT("'" &amp; "TNX RTF" &amp; "'!" &amp; ADDRESS($A$3+$C474,AK$1)))</f>
        <v>#N/A</v>
      </c>
      <c r="AL474" s="406" t="e">
        <f t="shared" ca="1" si="176"/>
        <v>#N/A</v>
      </c>
      <c r="AM474" s="406" t="e">
        <f t="shared" ca="1" si="176"/>
        <v>#N/A</v>
      </c>
      <c r="AN474" s="406" t="e">
        <f t="shared" ca="1" si="176"/>
        <v>#N/A</v>
      </c>
      <c r="AO474" s="406" t="e">
        <f t="shared" ca="1" si="176"/>
        <v>#N/A</v>
      </c>
      <c r="AP474" s="406" t="e">
        <f t="shared" ca="1" si="176"/>
        <v>#N/A</v>
      </c>
      <c r="AQ474" s="406" t="e">
        <f t="shared" ca="1" si="176"/>
        <v>#N/A</v>
      </c>
      <c r="AR474" s="406" t="e">
        <f t="shared" ca="1" si="173"/>
        <v>#N/A</v>
      </c>
      <c r="AS474" s="406" t="e">
        <f t="shared" ca="1" si="173"/>
        <v>#N/A</v>
      </c>
      <c r="AT474" s="406" t="e">
        <f t="shared" ca="1" si="173"/>
        <v>#N/A</v>
      </c>
      <c r="AU474" s="406" t="e">
        <f t="shared" ca="1" si="173"/>
        <v>#N/A</v>
      </c>
      <c r="AV474" s="406" t="e">
        <f t="shared" ca="1" si="173"/>
        <v>#N/A</v>
      </c>
      <c r="AW474" s="406" t="e">
        <f t="shared" ca="1" si="173"/>
        <v>#N/A</v>
      </c>
      <c r="AX474" s="406" t="e">
        <f t="shared" ca="1" si="173"/>
        <v>#N/A</v>
      </c>
      <c r="AY474" s="406" t="e">
        <f t="shared" ca="1" si="173"/>
        <v>#N/A</v>
      </c>
      <c r="AZ474" s="406" t="e">
        <f t="shared" ca="1" si="173"/>
        <v>#N/A</v>
      </c>
      <c r="BA474" s="406" t="e">
        <f t="shared" ca="1" si="173"/>
        <v>#N/A</v>
      </c>
      <c r="BB474" s="408"/>
      <c r="BC474" s="408" t="str">
        <f t="shared" ca="1" si="171"/>
        <v/>
      </c>
      <c r="BD474" s="408" t="s">
        <v>1278</v>
      </c>
      <c r="BE474" s="408" t="s">
        <v>1278</v>
      </c>
    </row>
    <row r="475" spans="3:57" x14ac:dyDescent="0.25">
      <c r="C475" s="406">
        <f t="shared" si="172"/>
        <v>473</v>
      </c>
      <c r="D475" s="406" t="e">
        <f t="shared" ca="1" si="170"/>
        <v>#N/A</v>
      </c>
      <c r="E475" s="406" t="e">
        <f t="shared" ca="1" si="170"/>
        <v>#N/A</v>
      </c>
      <c r="F475" s="406" t="e">
        <f t="shared" ca="1" si="170"/>
        <v>#N/A</v>
      </c>
      <c r="G475" s="406" t="e">
        <f t="shared" ca="1" si="170"/>
        <v>#N/A</v>
      </c>
      <c r="H475" s="406" t="e">
        <f t="shared" ca="1" si="170"/>
        <v>#N/A</v>
      </c>
      <c r="I475" s="406" t="e">
        <f t="shared" ca="1" si="170"/>
        <v>#N/A</v>
      </c>
      <c r="J475" s="406" t="e">
        <f t="shared" ca="1" si="170"/>
        <v>#N/A</v>
      </c>
      <c r="K475" s="406" t="e">
        <f t="shared" ca="1" si="170"/>
        <v>#N/A</v>
      </c>
      <c r="L475" s="406" t="e">
        <f t="shared" ca="1" si="170"/>
        <v>#N/A</v>
      </c>
      <c r="M475" s="406" t="e">
        <f t="shared" ca="1" si="170"/>
        <v>#N/A</v>
      </c>
      <c r="N475" s="406" t="e">
        <f t="shared" ca="1" si="175"/>
        <v>#N/A</v>
      </c>
      <c r="O475" s="406" t="e">
        <f t="shared" ca="1" si="175"/>
        <v>#N/A</v>
      </c>
      <c r="P475" s="406" t="e">
        <f t="shared" ca="1" si="175"/>
        <v>#N/A</v>
      </c>
      <c r="Q475" s="406" t="e">
        <f t="shared" ca="1" si="175"/>
        <v>#N/A</v>
      </c>
      <c r="R475" s="406" t="e">
        <f t="shared" ca="1" si="175"/>
        <v>#N/A</v>
      </c>
      <c r="S475" s="406" t="e">
        <f t="shared" ca="1" si="175"/>
        <v>#N/A</v>
      </c>
      <c r="T475" s="406" t="e">
        <f t="shared" ca="1" si="175"/>
        <v>#N/A</v>
      </c>
      <c r="U475" s="406" t="e">
        <f t="shared" ca="1" si="175"/>
        <v>#N/A</v>
      </c>
      <c r="V475" s="406" t="e">
        <f t="shared" ca="1" si="175"/>
        <v>#N/A</v>
      </c>
      <c r="W475" s="406" t="e">
        <f t="shared" ca="1" si="175"/>
        <v>#N/A</v>
      </c>
      <c r="X475" s="406" t="e">
        <f t="shared" ca="1" si="174"/>
        <v>#N/A</v>
      </c>
      <c r="Y475" s="406" t="e">
        <f t="shared" ca="1" si="174"/>
        <v>#N/A</v>
      </c>
      <c r="Z475" s="406" t="e">
        <f t="shared" ca="1" si="174"/>
        <v>#N/A</v>
      </c>
      <c r="AA475" s="406" t="e">
        <f t="shared" ca="1" si="174"/>
        <v>#N/A</v>
      </c>
      <c r="AB475" s="406" t="e">
        <f t="shared" ca="1" si="174"/>
        <v>#N/A</v>
      </c>
      <c r="AC475" s="406" t="e">
        <f t="shared" ca="1" si="174"/>
        <v>#N/A</v>
      </c>
      <c r="AD475" s="406" t="e">
        <f t="shared" ca="1" si="174"/>
        <v>#N/A</v>
      </c>
      <c r="AE475" s="406" t="e">
        <f t="shared" ca="1" si="174"/>
        <v>#N/A</v>
      </c>
      <c r="AF475" s="406" t="e">
        <f t="shared" ca="1" si="174"/>
        <v>#N/A</v>
      </c>
      <c r="AG475" s="406" t="e">
        <f t="shared" ca="1" si="174"/>
        <v>#N/A</v>
      </c>
      <c r="AH475" s="406" t="e">
        <f t="shared" ca="1" si="176"/>
        <v>#N/A</v>
      </c>
      <c r="AI475" s="406" t="e">
        <f t="shared" ca="1" si="176"/>
        <v>#N/A</v>
      </c>
      <c r="AJ475" s="406" t="e">
        <f t="shared" ca="1" si="176"/>
        <v>#N/A</v>
      </c>
      <c r="AK475" s="406" t="e">
        <f t="shared" ca="1" si="176"/>
        <v>#N/A</v>
      </c>
      <c r="AL475" s="406" t="e">
        <f t="shared" ca="1" si="176"/>
        <v>#N/A</v>
      </c>
      <c r="AM475" s="406" t="e">
        <f t="shared" ca="1" si="176"/>
        <v>#N/A</v>
      </c>
      <c r="AN475" s="406" t="e">
        <f t="shared" ca="1" si="176"/>
        <v>#N/A</v>
      </c>
      <c r="AO475" s="406" t="e">
        <f t="shared" ca="1" si="176"/>
        <v>#N/A</v>
      </c>
      <c r="AP475" s="406" t="e">
        <f t="shared" ca="1" si="176"/>
        <v>#N/A</v>
      </c>
      <c r="AQ475" s="406" t="e">
        <f t="shared" ca="1" si="176"/>
        <v>#N/A</v>
      </c>
      <c r="AR475" s="406" t="e">
        <f t="shared" ca="1" si="173"/>
        <v>#N/A</v>
      </c>
      <c r="AS475" s="406" t="e">
        <f t="shared" ca="1" si="173"/>
        <v>#N/A</v>
      </c>
      <c r="AT475" s="406" t="e">
        <f t="shared" ca="1" si="173"/>
        <v>#N/A</v>
      </c>
      <c r="AU475" s="406" t="e">
        <f t="shared" ca="1" si="173"/>
        <v>#N/A</v>
      </c>
      <c r="AV475" s="406" t="e">
        <f t="shared" ca="1" si="173"/>
        <v>#N/A</v>
      </c>
      <c r="AW475" s="406" t="e">
        <f t="shared" ca="1" si="173"/>
        <v>#N/A</v>
      </c>
      <c r="AX475" s="406" t="e">
        <f t="shared" ca="1" si="173"/>
        <v>#N/A</v>
      </c>
      <c r="AY475" s="406" t="e">
        <f t="shared" ca="1" si="173"/>
        <v>#N/A</v>
      </c>
      <c r="AZ475" s="406" t="e">
        <f t="shared" ca="1" si="173"/>
        <v>#N/A</v>
      </c>
      <c r="BA475" s="406" t="e">
        <f t="shared" ca="1" si="173"/>
        <v>#N/A</v>
      </c>
      <c r="BB475" s="408"/>
      <c r="BC475" s="408" t="str">
        <f t="shared" ca="1" si="171"/>
        <v/>
      </c>
      <c r="BD475" s="408" t="s">
        <v>1278</v>
      </c>
      <c r="BE475" s="408" t="s">
        <v>1278</v>
      </c>
    </row>
    <row r="476" spans="3:57" x14ac:dyDescent="0.25">
      <c r="C476" s="406">
        <f t="shared" si="172"/>
        <v>474</v>
      </c>
      <c r="D476" s="406" t="e">
        <f t="shared" ref="D476:M501" ca="1" si="177">TRIM(INDIRECT("'" &amp; "TNX RTF" &amp; "'!" &amp; ADDRESS($A$3+$C476,D$1)))</f>
        <v>#N/A</v>
      </c>
      <c r="E476" s="406" t="e">
        <f t="shared" ca="1" si="177"/>
        <v>#N/A</v>
      </c>
      <c r="F476" s="406" t="e">
        <f t="shared" ca="1" si="177"/>
        <v>#N/A</v>
      </c>
      <c r="G476" s="406" t="e">
        <f t="shared" ca="1" si="177"/>
        <v>#N/A</v>
      </c>
      <c r="H476" s="406" t="e">
        <f t="shared" ca="1" si="177"/>
        <v>#N/A</v>
      </c>
      <c r="I476" s="406" t="e">
        <f t="shared" ca="1" si="177"/>
        <v>#N/A</v>
      </c>
      <c r="J476" s="406" t="e">
        <f t="shared" ca="1" si="177"/>
        <v>#N/A</v>
      </c>
      <c r="K476" s="406" t="e">
        <f t="shared" ca="1" si="177"/>
        <v>#N/A</v>
      </c>
      <c r="L476" s="406" t="e">
        <f t="shared" ca="1" si="177"/>
        <v>#N/A</v>
      </c>
      <c r="M476" s="406" t="e">
        <f t="shared" ca="1" si="177"/>
        <v>#N/A</v>
      </c>
      <c r="N476" s="406" t="e">
        <f t="shared" ca="1" si="175"/>
        <v>#N/A</v>
      </c>
      <c r="O476" s="406" t="e">
        <f t="shared" ca="1" si="175"/>
        <v>#N/A</v>
      </c>
      <c r="P476" s="406" t="e">
        <f t="shared" ca="1" si="175"/>
        <v>#N/A</v>
      </c>
      <c r="Q476" s="406" t="e">
        <f t="shared" ca="1" si="175"/>
        <v>#N/A</v>
      </c>
      <c r="R476" s="406" t="e">
        <f t="shared" ca="1" si="175"/>
        <v>#N/A</v>
      </c>
      <c r="S476" s="406" t="e">
        <f t="shared" ca="1" si="175"/>
        <v>#N/A</v>
      </c>
      <c r="T476" s="406" t="e">
        <f t="shared" ca="1" si="175"/>
        <v>#N/A</v>
      </c>
      <c r="U476" s="406" t="e">
        <f t="shared" ca="1" si="175"/>
        <v>#N/A</v>
      </c>
      <c r="V476" s="406" t="e">
        <f t="shared" ca="1" si="175"/>
        <v>#N/A</v>
      </c>
      <c r="W476" s="406" t="e">
        <f t="shared" ca="1" si="175"/>
        <v>#N/A</v>
      </c>
      <c r="X476" s="406" t="e">
        <f t="shared" ca="1" si="174"/>
        <v>#N/A</v>
      </c>
      <c r="Y476" s="406" t="e">
        <f t="shared" ca="1" si="174"/>
        <v>#N/A</v>
      </c>
      <c r="Z476" s="406" t="e">
        <f t="shared" ca="1" si="174"/>
        <v>#N/A</v>
      </c>
      <c r="AA476" s="406" t="e">
        <f t="shared" ca="1" si="174"/>
        <v>#N/A</v>
      </c>
      <c r="AB476" s="406" t="e">
        <f t="shared" ca="1" si="174"/>
        <v>#N/A</v>
      </c>
      <c r="AC476" s="406" t="e">
        <f t="shared" ca="1" si="174"/>
        <v>#N/A</v>
      </c>
      <c r="AD476" s="406" t="e">
        <f t="shared" ca="1" si="174"/>
        <v>#N/A</v>
      </c>
      <c r="AE476" s="406" t="e">
        <f t="shared" ca="1" si="174"/>
        <v>#N/A</v>
      </c>
      <c r="AF476" s="406" t="e">
        <f t="shared" ca="1" si="174"/>
        <v>#N/A</v>
      </c>
      <c r="AG476" s="406" t="e">
        <f t="shared" ca="1" si="174"/>
        <v>#N/A</v>
      </c>
      <c r="AH476" s="406" t="e">
        <f t="shared" ca="1" si="176"/>
        <v>#N/A</v>
      </c>
      <c r="AI476" s="406" t="e">
        <f t="shared" ca="1" si="176"/>
        <v>#N/A</v>
      </c>
      <c r="AJ476" s="406" t="e">
        <f t="shared" ca="1" si="176"/>
        <v>#N/A</v>
      </c>
      <c r="AK476" s="406" t="e">
        <f t="shared" ca="1" si="176"/>
        <v>#N/A</v>
      </c>
      <c r="AL476" s="406" t="e">
        <f t="shared" ca="1" si="176"/>
        <v>#N/A</v>
      </c>
      <c r="AM476" s="406" t="e">
        <f t="shared" ca="1" si="176"/>
        <v>#N/A</v>
      </c>
      <c r="AN476" s="406" t="e">
        <f t="shared" ca="1" si="176"/>
        <v>#N/A</v>
      </c>
      <c r="AO476" s="406" t="e">
        <f t="shared" ca="1" si="176"/>
        <v>#N/A</v>
      </c>
      <c r="AP476" s="406" t="e">
        <f t="shared" ca="1" si="176"/>
        <v>#N/A</v>
      </c>
      <c r="AQ476" s="406" t="e">
        <f t="shared" ca="1" si="176"/>
        <v>#N/A</v>
      </c>
      <c r="AR476" s="406" t="e">
        <f t="shared" ca="1" si="173"/>
        <v>#N/A</v>
      </c>
      <c r="AS476" s="406" t="e">
        <f t="shared" ca="1" si="173"/>
        <v>#N/A</v>
      </c>
      <c r="AT476" s="406" t="e">
        <f t="shared" ca="1" si="173"/>
        <v>#N/A</v>
      </c>
      <c r="AU476" s="406" t="e">
        <f t="shared" ca="1" si="173"/>
        <v>#N/A</v>
      </c>
      <c r="AV476" s="406" t="e">
        <f t="shared" ca="1" si="173"/>
        <v>#N/A</v>
      </c>
      <c r="AW476" s="406" t="e">
        <f t="shared" ca="1" si="173"/>
        <v>#N/A</v>
      </c>
      <c r="AX476" s="406" t="e">
        <f t="shared" ca="1" si="173"/>
        <v>#N/A</v>
      </c>
      <c r="AY476" s="406" t="e">
        <f t="shared" ca="1" si="173"/>
        <v>#N/A</v>
      </c>
      <c r="AZ476" s="406" t="e">
        <f t="shared" ca="1" si="173"/>
        <v>#N/A</v>
      </c>
      <c r="BA476" s="406" t="e">
        <f t="shared" ca="1" si="173"/>
        <v>#N/A</v>
      </c>
      <c r="BB476" s="408"/>
      <c r="BC476" s="408" t="str">
        <f t="shared" ca="1" si="171"/>
        <v/>
      </c>
      <c r="BD476" s="408" t="s">
        <v>1278</v>
      </c>
      <c r="BE476" s="408" t="s">
        <v>1278</v>
      </c>
    </row>
    <row r="477" spans="3:57" ht="15" customHeight="1" x14ac:dyDescent="0.25">
      <c r="C477" s="406">
        <f t="shared" si="172"/>
        <v>475</v>
      </c>
      <c r="D477" s="406" t="e">
        <f t="shared" ca="1" si="177"/>
        <v>#N/A</v>
      </c>
      <c r="E477" s="406" t="e">
        <f t="shared" ca="1" si="177"/>
        <v>#N/A</v>
      </c>
      <c r="F477" s="406" t="e">
        <f t="shared" ca="1" si="177"/>
        <v>#N/A</v>
      </c>
      <c r="G477" s="406" t="e">
        <f t="shared" ca="1" si="177"/>
        <v>#N/A</v>
      </c>
      <c r="H477" s="406" t="e">
        <f t="shared" ca="1" si="177"/>
        <v>#N/A</v>
      </c>
      <c r="I477" s="406" t="e">
        <f t="shared" ca="1" si="177"/>
        <v>#N/A</v>
      </c>
      <c r="J477" s="406" t="e">
        <f t="shared" ca="1" si="177"/>
        <v>#N/A</v>
      </c>
      <c r="K477" s="406" t="e">
        <f t="shared" ca="1" si="177"/>
        <v>#N/A</v>
      </c>
      <c r="L477" s="406" t="e">
        <f t="shared" ca="1" si="177"/>
        <v>#N/A</v>
      </c>
      <c r="M477" s="406" t="e">
        <f t="shared" ca="1" si="177"/>
        <v>#N/A</v>
      </c>
      <c r="N477" s="406" t="e">
        <f t="shared" ca="1" si="175"/>
        <v>#N/A</v>
      </c>
      <c r="O477" s="406" t="e">
        <f t="shared" ca="1" si="175"/>
        <v>#N/A</v>
      </c>
      <c r="P477" s="406" t="e">
        <f t="shared" ca="1" si="175"/>
        <v>#N/A</v>
      </c>
      <c r="Q477" s="406" t="e">
        <f t="shared" ca="1" si="175"/>
        <v>#N/A</v>
      </c>
      <c r="R477" s="406" t="e">
        <f t="shared" ca="1" si="175"/>
        <v>#N/A</v>
      </c>
      <c r="S477" s="406" t="e">
        <f t="shared" ca="1" si="175"/>
        <v>#N/A</v>
      </c>
      <c r="T477" s="406" t="e">
        <f t="shared" ca="1" si="175"/>
        <v>#N/A</v>
      </c>
      <c r="U477" s="406" t="e">
        <f t="shared" ca="1" si="175"/>
        <v>#N/A</v>
      </c>
      <c r="V477" s="406" t="e">
        <f t="shared" ca="1" si="175"/>
        <v>#N/A</v>
      </c>
      <c r="W477" s="406" t="e">
        <f t="shared" ca="1" si="175"/>
        <v>#N/A</v>
      </c>
      <c r="X477" s="406" t="e">
        <f t="shared" ca="1" si="174"/>
        <v>#N/A</v>
      </c>
      <c r="Y477" s="406" t="e">
        <f t="shared" ca="1" si="174"/>
        <v>#N/A</v>
      </c>
      <c r="Z477" s="406" t="e">
        <f t="shared" ca="1" si="174"/>
        <v>#N/A</v>
      </c>
      <c r="AA477" s="406" t="e">
        <f t="shared" ca="1" si="174"/>
        <v>#N/A</v>
      </c>
      <c r="AB477" s="406" t="e">
        <f t="shared" ca="1" si="174"/>
        <v>#N/A</v>
      </c>
      <c r="AC477" s="406" t="e">
        <f t="shared" ca="1" si="174"/>
        <v>#N/A</v>
      </c>
      <c r="AD477" s="406" t="e">
        <f t="shared" ca="1" si="174"/>
        <v>#N/A</v>
      </c>
      <c r="AE477" s="406" t="e">
        <f t="shared" ca="1" si="174"/>
        <v>#N/A</v>
      </c>
      <c r="AF477" s="406" t="e">
        <f t="shared" ca="1" si="174"/>
        <v>#N/A</v>
      </c>
      <c r="AG477" s="406" t="e">
        <f t="shared" ca="1" si="174"/>
        <v>#N/A</v>
      </c>
      <c r="AH477" s="406" t="e">
        <f t="shared" ca="1" si="176"/>
        <v>#N/A</v>
      </c>
      <c r="AI477" s="406" t="e">
        <f t="shared" ca="1" si="176"/>
        <v>#N/A</v>
      </c>
      <c r="AJ477" s="406" t="e">
        <f t="shared" ca="1" si="176"/>
        <v>#N/A</v>
      </c>
      <c r="AK477" s="406" t="e">
        <f t="shared" ca="1" si="176"/>
        <v>#N/A</v>
      </c>
      <c r="AL477" s="406" t="e">
        <f t="shared" ca="1" si="176"/>
        <v>#N/A</v>
      </c>
      <c r="AM477" s="406" t="e">
        <f t="shared" ca="1" si="176"/>
        <v>#N/A</v>
      </c>
      <c r="AN477" s="406" t="e">
        <f t="shared" ca="1" si="176"/>
        <v>#N/A</v>
      </c>
      <c r="AO477" s="406" t="e">
        <f t="shared" ca="1" si="176"/>
        <v>#N/A</v>
      </c>
      <c r="AP477" s="406" t="e">
        <f t="shared" ca="1" si="176"/>
        <v>#N/A</v>
      </c>
      <c r="AQ477" s="406" t="e">
        <f t="shared" ca="1" si="176"/>
        <v>#N/A</v>
      </c>
      <c r="AR477" s="406" t="e">
        <f t="shared" ca="1" si="173"/>
        <v>#N/A</v>
      </c>
      <c r="AS477" s="406" t="e">
        <f t="shared" ca="1" si="173"/>
        <v>#N/A</v>
      </c>
      <c r="AT477" s="406" t="e">
        <f t="shared" ca="1" si="173"/>
        <v>#N/A</v>
      </c>
      <c r="AU477" s="406" t="e">
        <f t="shared" ca="1" si="173"/>
        <v>#N/A</v>
      </c>
      <c r="AV477" s="406" t="e">
        <f t="shared" ca="1" si="173"/>
        <v>#N/A</v>
      </c>
      <c r="AW477" s="406" t="e">
        <f t="shared" ca="1" si="173"/>
        <v>#N/A</v>
      </c>
      <c r="AX477" s="406" t="e">
        <f t="shared" ca="1" si="173"/>
        <v>#N/A</v>
      </c>
      <c r="AY477" s="406" t="e">
        <f t="shared" ca="1" si="173"/>
        <v>#N/A</v>
      </c>
      <c r="AZ477" s="406" t="e">
        <f t="shared" ca="1" si="173"/>
        <v>#N/A</v>
      </c>
      <c r="BA477" s="406" t="e">
        <f t="shared" ca="1" si="173"/>
        <v>#N/A</v>
      </c>
      <c r="BB477" s="408"/>
      <c r="BC477" s="408" t="str">
        <f t="shared" ca="1" si="171"/>
        <v/>
      </c>
      <c r="BD477" s="408" t="s">
        <v>1278</v>
      </c>
      <c r="BE477" s="408" t="s">
        <v>1278</v>
      </c>
    </row>
    <row r="478" spans="3:57" x14ac:dyDescent="0.25">
      <c r="C478" s="406">
        <f t="shared" si="172"/>
        <v>476</v>
      </c>
      <c r="D478" s="406" t="e">
        <f t="shared" ca="1" si="177"/>
        <v>#N/A</v>
      </c>
      <c r="E478" s="406" t="e">
        <f t="shared" ca="1" si="177"/>
        <v>#N/A</v>
      </c>
      <c r="F478" s="406" t="e">
        <f t="shared" ca="1" si="177"/>
        <v>#N/A</v>
      </c>
      <c r="G478" s="406" t="e">
        <f t="shared" ca="1" si="177"/>
        <v>#N/A</v>
      </c>
      <c r="H478" s="406" t="e">
        <f t="shared" ca="1" si="177"/>
        <v>#N/A</v>
      </c>
      <c r="I478" s="406" t="e">
        <f t="shared" ca="1" si="177"/>
        <v>#N/A</v>
      </c>
      <c r="J478" s="406" t="e">
        <f t="shared" ca="1" si="177"/>
        <v>#N/A</v>
      </c>
      <c r="K478" s="406" t="e">
        <f t="shared" ca="1" si="177"/>
        <v>#N/A</v>
      </c>
      <c r="L478" s="406" t="e">
        <f t="shared" ca="1" si="177"/>
        <v>#N/A</v>
      </c>
      <c r="M478" s="406" t="e">
        <f t="shared" ca="1" si="177"/>
        <v>#N/A</v>
      </c>
      <c r="N478" s="406" t="e">
        <f t="shared" ca="1" si="175"/>
        <v>#N/A</v>
      </c>
      <c r="O478" s="406" t="e">
        <f t="shared" ca="1" si="175"/>
        <v>#N/A</v>
      </c>
      <c r="P478" s="406" t="e">
        <f t="shared" ca="1" si="175"/>
        <v>#N/A</v>
      </c>
      <c r="Q478" s="406" t="e">
        <f t="shared" ca="1" si="175"/>
        <v>#N/A</v>
      </c>
      <c r="R478" s="406" t="e">
        <f t="shared" ca="1" si="175"/>
        <v>#N/A</v>
      </c>
      <c r="S478" s="406" t="e">
        <f t="shared" ca="1" si="175"/>
        <v>#N/A</v>
      </c>
      <c r="T478" s="406" t="e">
        <f t="shared" ca="1" si="175"/>
        <v>#N/A</v>
      </c>
      <c r="U478" s="406" t="e">
        <f t="shared" ca="1" si="175"/>
        <v>#N/A</v>
      </c>
      <c r="V478" s="406" t="e">
        <f t="shared" ca="1" si="175"/>
        <v>#N/A</v>
      </c>
      <c r="W478" s="406" t="e">
        <f t="shared" ca="1" si="175"/>
        <v>#N/A</v>
      </c>
      <c r="X478" s="406" t="e">
        <f t="shared" ca="1" si="174"/>
        <v>#N/A</v>
      </c>
      <c r="Y478" s="406" t="e">
        <f t="shared" ca="1" si="174"/>
        <v>#N/A</v>
      </c>
      <c r="Z478" s="406" t="e">
        <f t="shared" ca="1" si="174"/>
        <v>#N/A</v>
      </c>
      <c r="AA478" s="406" t="e">
        <f t="shared" ca="1" si="174"/>
        <v>#N/A</v>
      </c>
      <c r="AB478" s="406" t="e">
        <f t="shared" ca="1" si="174"/>
        <v>#N/A</v>
      </c>
      <c r="AC478" s="406" t="e">
        <f t="shared" ca="1" si="174"/>
        <v>#N/A</v>
      </c>
      <c r="AD478" s="406" t="e">
        <f t="shared" ca="1" si="174"/>
        <v>#N/A</v>
      </c>
      <c r="AE478" s="406" t="e">
        <f t="shared" ca="1" si="174"/>
        <v>#N/A</v>
      </c>
      <c r="AF478" s="406" t="e">
        <f t="shared" ca="1" si="174"/>
        <v>#N/A</v>
      </c>
      <c r="AG478" s="406" t="e">
        <f t="shared" ca="1" si="174"/>
        <v>#N/A</v>
      </c>
      <c r="AH478" s="406" t="e">
        <f t="shared" ca="1" si="176"/>
        <v>#N/A</v>
      </c>
      <c r="AI478" s="406" t="e">
        <f t="shared" ca="1" si="176"/>
        <v>#N/A</v>
      </c>
      <c r="AJ478" s="406" t="e">
        <f t="shared" ca="1" si="176"/>
        <v>#N/A</v>
      </c>
      <c r="AK478" s="406" t="e">
        <f t="shared" ca="1" si="176"/>
        <v>#N/A</v>
      </c>
      <c r="AL478" s="406" t="e">
        <f t="shared" ca="1" si="176"/>
        <v>#N/A</v>
      </c>
      <c r="AM478" s="406" t="e">
        <f t="shared" ca="1" si="176"/>
        <v>#N/A</v>
      </c>
      <c r="AN478" s="406" t="e">
        <f t="shared" ca="1" si="176"/>
        <v>#N/A</v>
      </c>
      <c r="AO478" s="406" t="e">
        <f t="shared" ca="1" si="176"/>
        <v>#N/A</v>
      </c>
      <c r="AP478" s="406" t="e">
        <f t="shared" ca="1" si="176"/>
        <v>#N/A</v>
      </c>
      <c r="AQ478" s="406" t="e">
        <f t="shared" ca="1" si="176"/>
        <v>#N/A</v>
      </c>
      <c r="AR478" s="406" t="e">
        <f t="shared" ca="1" si="173"/>
        <v>#N/A</v>
      </c>
      <c r="AS478" s="406" t="e">
        <f t="shared" ca="1" si="173"/>
        <v>#N/A</v>
      </c>
      <c r="AT478" s="406" t="e">
        <f t="shared" ca="1" si="173"/>
        <v>#N/A</v>
      </c>
      <c r="AU478" s="406" t="e">
        <f t="shared" ca="1" si="173"/>
        <v>#N/A</v>
      </c>
      <c r="AV478" s="406" t="e">
        <f t="shared" ca="1" si="173"/>
        <v>#N/A</v>
      </c>
      <c r="AW478" s="406" t="e">
        <f t="shared" ca="1" si="173"/>
        <v>#N/A</v>
      </c>
      <c r="AX478" s="406" t="e">
        <f t="shared" ca="1" si="173"/>
        <v>#N/A</v>
      </c>
      <c r="AY478" s="406" t="e">
        <f t="shared" ca="1" si="173"/>
        <v>#N/A</v>
      </c>
      <c r="AZ478" s="406" t="e">
        <f t="shared" ca="1" si="173"/>
        <v>#N/A</v>
      </c>
      <c r="BA478" s="406" t="e">
        <f t="shared" ca="1" si="173"/>
        <v>#N/A</v>
      </c>
      <c r="BB478" s="408"/>
      <c r="BC478" s="408" t="str">
        <f t="shared" ca="1" si="171"/>
        <v/>
      </c>
      <c r="BD478" s="408" t="s">
        <v>1278</v>
      </c>
      <c r="BE478" s="408" t="s">
        <v>1278</v>
      </c>
    </row>
    <row r="479" spans="3:57" x14ac:dyDescent="0.25">
      <c r="C479" s="406">
        <f t="shared" si="172"/>
        <v>477</v>
      </c>
      <c r="D479" s="406" t="e">
        <f t="shared" ca="1" si="177"/>
        <v>#N/A</v>
      </c>
      <c r="E479" s="406" t="e">
        <f t="shared" ca="1" si="177"/>
        <v>#N/A</v>
      </c>
      <c r="F479" s="406" t="e">
        <f t="shared" ca="1" si="177"/>
        <v>#N/A</v>
      </c>
      <c r="G479" s="406" t="e">
        <f t="shared" ca="1" si="177"/>
        <v>#N/A</v>
      </c>
      <c r="H479" s="406" t="e">
        <f t="shared" ca="1" si="177"/>
        <v>#N/A</v>
      </c>
      <c r="I479" s="406" t="e">
        <f t="shared" ca="1" si="177"/>
        <v>#N/A</v>
      </c>
      <c r="J479" s="406" t="e">
        <f t="shared" ca="1" si="177"/>
        <v>#N/A</v>
      </c>
      <c r="K479" s="406" t="e">
        <f t="shared" ca="1" si="177"/>
        <v>#N/A</v>
      </c>
      <c r="L479" s="406" t="e">
        <f t="shared" ca="1" si="177"/>
        <v>#N/A</v>
      </c>
      <c r="M479" s="406" t="e">
        <f t="shared" ca="1" si="177"/>
        <v>#N/A</v>
      </c>
      <c r="N479" s="406" t="e">
        <f t="shared" ca="1" si="175"/>
        <v>#N/A</v>
      </c>
      <c r="O479" s="406" t="e">
        <f t="shared" ca="1" si="175"/>
        <v>#N/A</v>
      </c>
      <c r="P479" s="406" t="e">
        <f t="shared" ca="1" si="175"/>
        <v>#N/A</v>
      </c>
      <c r="Q479" s="406" t="e">
        <f t="shared" ca="1" si="175"/>
        <v>#N/A</v>
      </c>
      <c r="R479" s="406" t="e">
        <f t="shared" ca="1" si="175"/>
        <v>#N/A</v>
      </c>
      <c r="S479" s="406" t="e">
        <f t="shared" ca="1" si="175"/>
        <v>#N/A</v>
      </c>
      <c r="T479" s="406" t="e">
        <f t="shared" ca="1" si="175"/>
        <v>#N/A</v>
      </c>
      <c r="U479" s="406" t="e">
        <f t="shared" ca="1" si="175"/>
        <v>#N/A</v>
      </c>
      <c r="V479" s="406" t="e">
        <f t="shared" ca="1" si="175"/>
        <v>#N/A</v>
      </c>
      <c r="W479" s="406" t="e">
        <f t="shared" ca="1" si="175"/>
        <v>#N/A</v>
      </c>
      <c r="X479" s="406" t="e">
        <f t="shared" ca="1" si="174"/>
        <v>#N/A</v>
      </c>
      <c r="Y479" s="406" t="e">
        <f t="shared" ca="1" si="174"/>
        <v>#N/A</v>
      </c>
      <c r="Z479" s="406" t="e">
        <f t="shared" ca="1" si="174"/>
        <v>#N/A</v>
      </c>
      <c r="AA479" s="406" t="e">
        <f t="shared" ca="1" si="174"/>
        <v>#N/A</v>
      </c>
      <c r="AB479" s="406" t="e">
        <f t="shared" ca="1" si="174"/>
        <v>#N/A</v>
      </c>
      <c r="AC479" s="406" t="e">
        <f t="shared" ca="1" si="174"/>
        <v>#N/A</v>
      </c>
      <c r="AD479" s="406" t="e">
        <f t="shared" ca="1" si="174"/>
        <v>#N/A</v>
      </c>
      <c r="AE479" s="406" t="e">
        <f t="shared" ca="1" si="174"/>
        <v>#N/A</v>
      </c>
      <c r="AF479" s="406" t="e">
        <f t="shared" ca="1" si="174"/>
        <v>#N/A</v>
      </c>
      <c r="AG479" s="406" t="e">
        <f t="shared" ca="1" si="174"/>
        <v>#N/A</v>
      </c>
      <c r="AH479" s="406" t="e">
        <f t="shared" ca="1" si="176"/>
        <v>#N/A</v>
      </c>
      <c r="AI479" s="406" t="e">
        <f t="shared" ca="1" si="176"/>
        <v>#N/A</v>
      </c>
      <c r="AJ479" s="406" t="e">
        <f t="shared" ca="1" si="176"/>
        <v>#N/A</v>
      </c>
      <c r="AK479" s="406" t="e">
        <f t="shared" ca="1" si="176"/>
        <v>#N/A</v>
      </c>
      <c r="AL479" s="406" t="e">
        <f t="shared" ca="1" si="176"/>
        <v>#N/A</v>
      </c>
      <c r="AM479" s="406" t="e">
        <f t="shared" ca="1" si="176"/>
        <v>#N/A</v>
      </c>
      <c r="AN479" s="406" t="e">
        <f t="shared" ca="1" si="176"/>
        <v>#N/A</v>
      </c>
      <c r="AO479" s="406" t="e">
        <f t="shared" ca="1" si="176"/>
        <v>#N/A</v>
      </c>
      <c r="AP479" s="406" t="e">
        <f t="shared" ca="1" si="176"/>
        <v>#N/A</v>
      </c>
      <c r="AQ479" s="406" t="e">
        <f t="shared" ca="1" si="176"/>
        <v>#N/A</v>
      </c>
      <c r="AR479" s="406" t="e">
        <f t="shared" ca="1" si="173"/>
        <v>#N/A</v>
      </c>
      <c r="AS479" s="406" t="e">
        <f t="shared" ca="1" si="173"/>
        <v>#N/A</v>
      </c>
      <c r="AT479" s="406" t="e">
        <f t="shared" ca="1" si="173"/>
        <v>#N/A</v>
      </c>
      <c r="AU479" s="406" t="e">
        <f t="shared" ca="1" si="173"/>
        <v>#N/A</v>
      </c>
      <c r="AV479" s="406" t="e">
        <f t="shared" ca="1" si="173"/>
        <v>#N/A</v>
      </c>
      <c r="AW479" s="406" t="e">
        <f t="shared" ca="1" si="173"/>
        <v>#N/A</v>
      </c>
      <c r="AX479" s="406" t="e">
        <f t="shared" ca="1" si="173"/>
        <v>#N/A</v>
      </c>
      <c r="AY479" s="406" t="e">
        <f t="shared" ca="1" si="173"/>
        <v>#N/A</v>
      </c>
      <c r="AZ479" s="406" t="e">
        <f t="shared" ca="1" si="173"/>
        <v>#N/A</v>
      </c>
      <c r="BA479" s="406" t="e">
        <f t="shared" ca="1" si="173"/>
        <v>#N/A</v>
      </c>
      <c r="BB479" s="408"/>
      <c r="BC479" s="408" t="str">
        <f t="shared" ca="1" si="171"/>
        <v/>
      </c>
      <c r="BD479" s="408" t="s">
        <v>1278</v>
      </c>
      <c r="BE479" s="408" t="s">
        <v>1278</v>
      </c>
    </row>
    <row r="480" spans="3:57" ht="15" customHeight="1" x14ac:dyDescent="0.25">
      <c r="C480" s="406">
        <f t="shared" si="172"/>
        <v>478</v>
      </c>
      <c r="D480" s="406" t="e">
        <f t="shared" ca="1" si="177"/>
        <v>#N/A</v>
      </c>
      <c r="E480" s="406" t="e">
        <f t="shared" ca="1" si="177"/>
        <v>#N/A</v>
      </c>
      <c r="F480" s="406" t="e">
        <f t="shared" ca="1" si="177"/>
        <v>#N/A</v>
      </c>
      <c r="G480" s="406" t="e">
        <f t="shared" ca="1" si="177"/>
        <v>#N/A</v>
      </c>
      <c r="H480" s="406" t="e">
        <f t="shared" ca="1" si="177"/>
        <v>#N/A</v>
      </c>
      <c r="I480" s="406" t="e">
        <f t="shared" ca="1" si="177"/>
        <v>#N/A</v>
      </c>
      <c r="J480" s="406" t="e">
        <f t="shared" ca="1" si="177"/>
        <v>#N/A</v>
      </c>
      <c r="K480" s="406" t="e">
        <f t="shared" ca="1" si="177"/>
        <v>#N/A</v>
      </c>
      <c r="L480" s="406" t="e">
        <f t="shared" ca="1" si="177"/>
        <v>#N/A</v>
      </c>
      <c r="M480" s="406" t="e">
        <f t="shared" ca="1" si="177"/>
        <v>#N/A</v>
      </c>
      <c r="N480" s="406" t="e">
        <f t="shared" ca="1" si="175"/>
        <v>#N/A</v>
      </c>
      <c r="O480" s="406" t="e">
        <f t="shared" ca="1" si="175"/>
        <v>#N/A</v>
      </c>
      <c r="P480" s="406" t="e">
        <f t="shared" ca="1" si="175"/>
        <v>#N/A</v>
      </c>
      <c r="Q480" s="406" t="e">
        <f t="shared" ca="1" si="175"/>
        <v>#N/A</v>
      </c>
      <c r="R480" s="406" t="e">
        <f t="shared" ca="1" si="175"/>
        <v>#N/A</v>
      </c>
      <c r="S480" s="406" t="e">
        <f t="shared" ca="1" si="175"/>
        <v>#N/A</v>
      </c>
      <c r="T480" s="406" t="e">
        <f t="shared" ca="1" si="175"/>
        <v>#N/A</v>
      </c>
      <c r="U480" s="406" t="e">
        <f t="shared" ca="1" si="175"/>
        <v>#N/A</v>
      </c>
      <c r="V480" s="406" t="e">
        <f t="shared" ca="1" si="175"/>
        <v>#N/A</v>
      </c>
      <c r="W480" s="406" t="e">
        <f t="shared" ca="1" si="175"/>
        <v>#N/A</v>
      </c>
      <c r="X480" s="406" t="e">
        <f t="shared" ca="1" si="174"/>
        <v>#N/A</v>
      </c>
      <c r="Y480" s="406" t="e">
        <f t="shared" ca="1" si="174"/>
        <v>#N/A</v>
      </c>
      <c r="Z480" s="406" t="e">
        <f t="shared" ca="1" si="174"/>
        <v>#N/A</v>
      </c>
      <c r="AA480" s="406" t="e">
        <f t="shared" ca="1" si="174"/>
        <v>#N/A</v>
      </c>
      <c r="AB480" s="406" t="e">
        <f t="shared" ca="1" si="174"/>
        <v>#N/A</v>
      </c>
      <c r="AC480" s="406" t="e">
        <f t="shared" ca="1" si="174"/>
        <v>#N/A</v>
      </c>
      <c r="AD480" s="406" t="e">
        <f t="shared" ca="1" si="174"/>
        <v>#N/A</v>
      </c>
      <c r="AE480" s="406" t="e">
        <f t="shared" ca="1" si="174"/>
        <v>#N/A</v>
      </c>
      <c r="AF480" s="406" t="e">
        <f t="shared" ca="1" si="174"/>
        <v>#N/A</v>
      </c>
      <c r="AG480" s="406" t="e">
        <f t="shared" ca="1" si="174"/>
        <v>#N/A</v>
      </c>
      <c r="AH480" s="406" t="e">
        <f t="shared" ca="1" si="176"/>
        <v>#N/A</v>
      </c>
      <c r="AI480" s="406" t="e">
        <f t="shared" ca="1" si="176"/>
        <v>#N/A</v>
      </c>
      <c r="AJ480" s="406" t="e">
        <f t="shared" ca="1" si="176"/>
        <v>#N/A</v>
      </c>
      <c r="AK480" s="406" t="e">
        <f t="shared" ca="1" si="176"/>
        <v>#N/A</v>
      </c>
      <c r="AL480" s="406" t="e">
        <f t="shared" ca="1" si="176"/>
        <v>#N/A</v>
      </c>
      <c r="AM480" s="406" t="e">
        <f t="shared" ca="1" si="176"/>
        <v>#N/A</v>
      </c>
      <c r="AN480" s="406" t="e">
        <f t="shared" ca="1" si="176"/>
        <v>#N/A</v>
      </c>
      <c r="AO480" s="406" t="e">
        <f t="shared" ca="1" si="176"/>
        <v>#N/A</v>
      </c>
      <c r="AP480" s="406" t="e">
        <f t="shared" ca="1" si="176"/>
        <v>#N/A</v>
      </c>
      <c r="AQ480" s="406" t="e">
        <f t="shared" ca="1" si="176"/>
        <v>#N/A</v>
      </c>
      <c r="AR480" s="406" t="e">
        <f t="shared" ca="1" si="173"/>
        <v>#N/A</v>
      </c>
      <c r="AS480" s="406" t="e">
        <f t="shared" ca="1" si="173"/>
        <v>#N/A</v>
      </c>
      <c r="AT480" s="406" t="e">
        <f t="shared" ca="1" si="173"/>
        <v>#N/A</v>
      </c>
      <c r="AU480" s="406" t="e">
        <f t="shared" ca="1" si="173"/>
        <v>#N/A</v>
      </c>
      <c r="AV480" s="406" t="e">
        <f t="shared" ca="1" si="173"/>
        <v>#N/A</v>
      </c>
      <c r="AW480" s="406" t="e">
        <f t="shared" ca="1" si="173"/>
        <v>#N/A</v>
      </c>
      <c r="AX480" s="406" t="e">
        <f t="shared" ca="1" si="173"/>
        <v>#N/A</v>
      </c>
      <c r="AY480" s="406" t="e">
        <f t="shared" ca="1" si="173"/>
        <v>#N/A</v>
      </c>
      <c r="AZ480" s="406" t="e">
        <f t="shared" ca="1" si="173"/>
        <v>#N/A</v>
      </c>
      <c r="BA480" s="406" t="e">
        <f t="shared" ca="1" si="173"/>
        <v>#N/A</v>
      </c>
      <c r="BB480" s="408"/>
      <c r="BC480" s="408" t="str">
        <f t="shared" ca="1" si="171"/>
        <v/>
      </c>
      <c r="BD480" s="408" t="s">
        <v>1278</v>
      </c>
      <c r="BE480" s="408" t="s">
        <v>1278</v>
      </c>
    </row>
    <row r="481" spans="3:57" x14ac:dyDescent="0.25">
      <c r="C481" s="406">
        <f t="shared" si="172"/>
        <v>479</v>
      </c>
      <c r="D481" s="406" t="e">
        <f t="shared" ca="1" si="177"/>
        <v>#N/A</v>
      </c>
      <c r="E481" s="406" t="e">
        <f t="shared" ca="1" si="177"/>
        <v>#N/A</v>
      </c>
      <c r="F481" s="406" t="e">
        <f t="shared" ca="1" si="177"/>
        <v>#N/A</v>
      </c>
      <c r="G481" s="406" t="e">
        <f t="shared" ca="1" si="177"/>
        <v>#N/A</v>
      </c>
      <c r="H481" s="406" t="e">
        <f t="shared" ca="1" si="177"/>
        <v>#N/A</v>
      </c>
      <c r="I481" s="406" t="e">
        <f t="shared" ca="1" si="177"/>
        <v>#N/A</v>
      </c>
      <c r="J481" s="406" t="e">
        <f t="shared" ca="1" si="177"/>
        <v>#N/A</v>
      </c>
      <c r="K481" s="406" t="e">
        <f t="shared" ca="1" si="177"/>
        <v>#N/A</v>
      </c>
      <c r="L481" s="406" t="e">
        <f t="shared" ca="1" si="177"/>
        <v>#N/A</v>
      </c>
      <c r="M481" s="406" t="e">
        <f t="shared" ca="1" si="177"/>
        <v>#N/A</v>
      </c>
      <c r="N481" s="406" t="e">
        <f t="shared" ca="1" si="175"/>
        <v>#N/A</v>
      </c>
      <c r="O481" s="406" t="e">
        <f t="shared" ca="1" si="175"/>
        <v>#N/A</v>
      </c>
      <c r="P481" s="406" t="e">
        <f t="shared" ca="1" si="175"/>
        <v>#N/A</v>
      </c>
      <c r="Q481" s="406" t="e">
        <f t="shared" ca="1" si="175"/>
        <v>#N/A</v>
      </c>
      <c r="R481" s="406" t="e">
        <f t="shared" ca="1" si="175"/>
        <v>#N/A</v>
      </c>
      <c r="S481" s="406" t="e">
        <f t="shared" ca="1" si="175"/>
        <v>#N/A</v>
      </c>
      <c r="T481" s="406" t="e">
        <f t="shared" ca="1" si="175"/>
        <v>#N/A</v>
      </c>
      <c r="U481" s="406" t="e">
        <f t="shared" ca="1" si="175"/>
        <v>#N/A</v>
      </c>
      <c r="V481" s="406" t="e">
        <f t="shared" ca="1" si="175"/>
        <v>#N/A</v>
      </c>
      <c r="W481" s="406" t="e">
        <f t="shared" ca="1" si="175"/>
        <v>#N/A</v>
      </c>
      <c r="X481" s="406" t="e">
        <f t="shared" ca="1" si="174"/>
        <v>#N/A</v>
      </c>
      <c r="Y481" s="406" t="e">
        <f t="shared" ca="1" si="174"/>
        <v>#N/A</v>
      </c>
      <c r="Z481" s="406" t="e">
        <f t="shared" ca="1" si="174"/>
        <v>#N/A</v>
      </c>
      <c r="AA481" s="406" t="e">
        <f t="shared" ca="1" si="174"/>
        <v>#N/A</v>
      </c>
      <c r="AB481" s="406" t="e">
        <f t="shared" ca="1" si="174"/>
        <v>#N/A</v>
      </c>
      <c r="AC481" s="406" t="e">
        <f t="shared" ca="1" si="174"/>
        <v>#N/A</v>
      </c>
      <c r="AD481" s="406" t="e">
        <f t="shared" ca="1" si="174"/>
        <v>#N/A</v>
      </c>
      <c r="AE481" s="406" t="e">
        <f t="shared" ca="1" si="174"/>
        <v>#N/A</v>
      </c>
      <c r="AF481" s="406" t="e">
        <f t="shared" ca="1" si="174"/>
        <v>#N/A</v>
      </c>
      <c r="AG481" s="406" t="e">
        <f t="shared" ca="1" si="174"/>
        <v>#N/A</v>
      </c>
      <c r="AH481" s="406" t="e">
        <f t="shared" ca="1" si="176"/>
        <v>#N/A</v>
      </c>
      <c r="AI481" s="406" t="e">
        <f t="shared" ca="1" si="176"/>
        <v>#N/A</v>
      </c>
      <c r="AJ481" s="406" t="e">
        <f t="shared" ca="1" si="176"/>
        <v>#N/A</v>
      </c>
      <c r="AK481" s="406" t="e">
        <f t="shared" ca="1" si="176"/>
        <v>#N/A</v>
      </c>
      <c r="AL481" s="406" t="e">
        <f t="shared" ca="1" si="176"/>
        <v>#N/A</v>
      </c>
      <c r="AM481" s="406" t="e">
        <f t="shared" ca="1" si="176"/>
        <v>#N/A</v>
      </c>
      <c r="AN481" s="406" t="e">
        <f t="shared" ca="1" si="176"/>
        <v>#N/A</v>
      </c>
      <c r="AO481" s="406" t="e">
        <f t="shared" ca="1" si="176"/>
        <v>#N/A</v>
      </c>
      <c r="AP481" s="406" t="e">
        <f t="shared" ca="1" si="176"/>
        <v>#N/A</v>
      </c>
      <c r="AQ481" s="406" t="e">
        <f t="shared" ca="1" si="176"/>
        <v>#N/A</v>
      </c>
      <c r="AR481" s="406" t="e">
        <f t="shared" ca="1" si="173"/>
        <v>#N/A</v>
      </c>
      <c r="AS481" s="406" t="e">
        <f t="shared" ca="1" si="173"/>
        <v>#N/A</v>
      </c>
      <c r="AT481" s="406" t="e">
        <f t="shared" ca="1" si="173"/>
        <v>#N/A</v>
      </c>
      <c r="AU481" s="406" t="e">
        <f t="shared" ca="1" si="173"/>
        <v>#N/A</v>
      </c>
      <c r="AV481" s="406" t="e">
        <f t="shared" ca="1" si="173"/>
        <v>#N/A</v>
      </c>
      <c r="AW481" s="406" t="e">
        <f t="shared" ca="1" si="173"/>
        <v>#N/A</v>
      </c>
      <c r="AX481" s="406" t="e">
        <f t="shared" ca="1" si="173"/>
        <v>#N/A</v>
      </c>
      <c r="AY481" s="406" t="e">
        <f t="shared" ca="1" si="173"/>
        <v>#N/A</v>
      </c>
      <c r="AZ481" s="406" t="e">
        <f t="shared" ca="1" si="173"/>
        <v>#N/A</v>
      </c>
      <c r="BA481" s="406" t="e">
        <f t="shared" ca="1" si="173"/>
        <v>#N/A</v>
      </c>
      <c r="BB481" s="408"/>
      <c r="BC481" s="408" t="str">
        <f t="shared" ca="1" si="171"/>
        <v/>
      </c>
      <c r="BD481" s="408" t="s">
        <v>1278</v>
      </c>
      <c r="BE481" s="408" t="s">
        <v>1278</v>
      </c>
    </row>
    <row r="482" spans="3:57" x14ac:dyDescent="0.25">
      <c r="C482" s="406">
        <f t="shared" si="172"/>
        <v>480</v>
      </c>
      <c r="D482" s="406" t="e">
        <f t="shared" ca="1" si="177"/>
        <v>#N/A</v>
      </c>
      <c r="E482" s="406" t="e">
        <f t="shared" ca="1" si="177"/>
        <v>#N/A</v>
      </c>
      <c r="F482" s="406" t="e">
        <f t="shared" ca="1" si="177"/>
        <v>#N/A</v>
      </c>
      <c r="G482" s="406" t="e">
        <f t="shared" ca="1" si="177"/>
        <v>#N/A</v>
      </c>
      <c r="H482" s="406" t="e">
        <f t="shared" ca="1" si="177"/>
        <v>#N/A</v>
      </c>
      <c r="I482" s="406" t="e">
        <f t="shared" ca="1" si="177"/>
        <v>#N/A</v>
      </c>
      <c r="J482" s="406" t="e">
        <f t="shared" ca="1" si="177"/>
        <v>#N/A</v>
      </c>
      <c r="K482" s="406" t="e">
        <f t="shared" ca="1" si="177"/>
        <v>#N/A</v>
      </c>
      <c r="L482" s="406" t="e">
        <f t="shared" ca="1" si="177"/>
        <v>#N/A</v>
      </c>
      <c r="M482" s="406" t="e">
        <f t="shared" ca="1" si="177"/>
        <v>#N/A</v>
      </c>
      <c r="N482" s="406" t="e">
        <f t="shared" ca="1" si="175"/>
        <v>#N/A</v>
      </c>
      <c r="O482" s="406" t="e">
        <f t="shared" ca="1" si="175"/>
        <v>#N/A</v>
      </c>
      <c r="P482" s="406" t="e">
        <f t="shared" ca="1" si="175"/>
        <v>#N/A</v>
      </c>
      <c r="Q482" s="406" t="e">
        <f t="shared" ca="1" si="175"/>
        <v>#N/A</v>
      </c>
      <c r="R482" s="406" t="e">
        <f t="shared" ca="1" si="175"/>
        <v>#N/A</v>
      </c>
      <c r="S482" s="406" t="e">
        <f t="shared" ca="1" si="175"/>
        <v>#N/A</v>
      </c>
      <c r="T482" s="406" t="e">
        <f t="shared" ca="1" si="175"/>
        <v>#N/A</v>
      </c>
      <c r="U482" s="406" t="e">
        <f t="shared" ca="1" si="175"/>
        <v>#N/A</v>
      </c>
      <c r="V482" s="406" t="e">
        <f t="shared" ca="1" si="175"/>
        <v>#N/A</v>
      </c>
      <c r="W482" s="406" t="e">
        <f t="shared" ca="1" si="175"/>
        <v>#N/A</v>
      </c>
      <c r="X482" s="406" t="e">
        <f t="shared" ca="1" si="174"/>
        <v>#N/A</v>
      </c>
      <c r="Y482" s="406" t="e">
        <f t="shared" ca="1" si="174"/>
        <v>#N/A</v>
      </c>
      <c r="Z482" s="406" t="e">
        <f t="shared" ca="1" si="174"/>
        <v>#N/A</v>
      </c>
      <c r="AA482" s="406" t="e">
        <f t="shared" ca="1" si="174"/>
        <v>#N/A</v>
      </c>
      <c r="AB482" s="406" t="e">
        <f t="shared" ca="1" si="174"/>
        <v>#N/A</v>
      </c>
      <c r="AC482" s="406" t="e">
        <f t="shared" ca="1" si="174"/>
        <v>#N/A</v>
      </c>
      <c r="AD482" s="406" t="e">
        <f t="shared" ca="1" si="174"/>
        <v>#N/A</v>
      </c>
      <c r="AE482" s="406" t="e">
        <f t="shared" ca="1" si="174"/>
        <v>#N/A</v>
      </c>
      <c r="AF482" s="406" t="e">
        <f t="shared" ca="1" si="174"/>
        <v>#N/A</v>
      </c>
      <c r="AG482" s="406" t="e">
        <f t="shared" ca="1" si="174"/>
        <v>#N/A</v>
      </c>
      <c r="AH482" s="406" t="e">
        <f t="shared" ca="1" si="176"/>
        <v>#N/A</v>
      </c>
      <c r="AI482" s="406" t="e">
        <f t="shared" ca="1" si="176"/>
        <v>#N/A</v>
      </c>
      <c r="AJ482" s="406" t="e">
        <f t="shared" ca="1" si="176"/>
        <v>#N/A</v>
      </c>
      <c r="AK482" s="406" t="e">
        <f t="shared" ca="1" si="176"/>
        <v>#N/A</v>
      </c>
      <c r="AL482" s="406" t="e">
        <f t="shared" ca="1" si="176"/>
        <v>#N/A</v>
      </c>
      <c r="AM482" s="406" t="e">
        <f t="shared" ca="1" si="176"/>
        <v>#N/A</v>
      </c>
      <c r="AN482" s="406" t="e">
        <f t="shared" ca="1" si="176"/>
        <v>#N/A</v>
      </c>
      <c r="AO482" s="406" t="e">
        <f t="shared" ca="1" si="176"/>
        <v>#N/A</v>
      </c>
      <c r="AP482" s="406" t="e">
        <f t="shared" ca="1" si="176"/>
        <v>#N/A</v>
      </c>
      <c r="AQ482" s="406" t="e">
        <f t="shared" ca="1" si="176"/>
        <v>#N/A</v>
      </c>
      <c r="AR482" s="406" t="e">
        <f t="shared" ca="1" si="173"/>
        <v>#N/A</v>
      </c>
      <c r="AS482" s="406" t="e">
        <f t="shared" ca="1" si="173"/>
        <v>#N/A</v>
      </c>
      <c r="AT482" s="406" t="e">
        <f t="shared" ca="1" si="173"/>
        <v>#N/A</v>
      </c>
      <c r="AU482" s="406" t="e">
        <f t="shared" ca="1" si="173"/>
        <v>#N/A</v>
      </c>
      <c r="AV482" s="406" t="e">
        <f t="shared" ca="1" si="173"/>
        <v>#N/A</v>
      </c>
      <c r="AW482" s="406" t="e">
        <f t="shared" ca="1" si="173"/>
        <v>#N/A</v>
      </c>
      <c r="AX482" s="406" t="e">
        <f t="shared" ca="1" si="173"/>
        <v>#N/A</v>
      </c>
      <c r="AY482" s="406" t="e">
        <f t="shared" ca="1" si="173"/>
        <v>#N/A</v>
      </c>
      <c r="AZ482" s="406" t="e">
        <f t="shared" ca="1" si="173"/>
        <v>#N/A</v>
      </c>
      <c r="BA482" s="406" t="e">
        <f t="shared" ca="1" si="173"/>
        <v>#N/A</v>
      </c>
      <c r="BB482" s="408"/>
      <c r="BC482" s="408" t="str">
        <f t="shared" ca="1" si="171"/>
        <v/>
      </c>
      <c r="BD482" s="408" t="s">
        <v>1278</v>
      </c>
      <c r="BE482" s="408" t="s">
        <v>1278</v>
      </c>
    </row>
    <row r="483" spans="3:57" ht="15" customHeight="1" x14ac:dyDescent="0.25">
      <c r="C483" s="406">
        <f t="shared" si="172"/>
        <v>481</v>
      </c>
      <c r="D483" s="406" t="e">
        <f t="shared" ca="1" si="177"/>
        <v>#N/A</v>
      </c>
      <c r="E483" s="406" t="e">
        <f t="shared" ca="1" si="177"/>
        <v>#N/A</v>
      </c>
      <c r="F483" s="406" t="e">
        <f t="shared" ca="1" si="177"/>
        <v>#N/A</v>
      </c>
      <c r="G483" s="406" t="e">
        <f t="shared" ca="1" si="177"/>
        <v>#N/A</v>
      </c>
      <c r="H483" s="406" t="e">
        <f t="shared" ca="1" si="177"/>
        <v>#N/A</v>
      </c>
      <c r="I483" s="406" t="e">
        <f t="shared" ca="1" si="177"/>
        <v>#N/A</v>
      </c>
      <c r="J483" s="406" t="e">
        <f t="shared" ca="1" si="177"/>
        <v>#N/A</v>
      </c>
      <c r="K483" s="406" t="e">
        <f t="shared" ca="1" si="177"/>
        <v>#N/A</v>
      </c>
      <c r="L483" s="406" t="e">
        <f t="shared" ca="1" si="177"/>
        <v>#N/A</v>
      </c>
      <c r="M483" s="406" t="e">
        <f t="shared" ca="1" si="177"/>
        <v>#N/A</v>
      </c>
      <c r="N483" s="406" t="e">
        <f t="shared" ca="1" si="175"/>
        <v>#N/A</v>
      </c>
      <c r="O483" s="406" t="e">
        <f t="shared" ca="1" si="175"/>
        <v>#N/A</v>
      </c>
      <c r="P483" s="406" t="e">
        <f t="shared" ca="1" si="175"/>
        <v>#N/A</v>
      </c>
      <c r="Q483" s="406" t="e">
        <f t="shared" ca="1" si="175"/>
        <v>#N/A</v>
      </c>
      <c r="R483" s="406" t="e">
        <f t="shared" ca="1" si="175"/>
        <v>#N/A</v>
      </c>
      <c r="S483" s="406" t="e">
        <f t="shared" ca="1" si="175"/>
        <v>#N/A</v>
      </c>
      <c r="T483" s="406" t="e">
        <f t="shared" ca="1" si="175"/>
        <v>#N/A</v>
      </c>
      <c r="U483" s="406" t="e">
        <f t="shared" ca="1" si="175"/>
        <v>#N/A</v>
      </c>
      <c r="V483" s="406" t="e">
        <f t="shared" ca="1" si="175"/>
        <v>#N/A</v>
      </c>
      <c r="W483" s="406" t="e">
        <f t="shared" ca="1" si="175"/>
        <v>#N/A</v>
      </c>
      <c r="X483" s="406" t="e">
        <f t="shared" ca="1" si="174"/>
        <v>#N/A</v>
      </c>
      <c r="Y483" s="406" t="e">
        <f t="shared" ca="1" si="174"/>
        <v>#N/A</v>
      </c>
      <c r="Z483" s="406" t="e">
        <f t="shared" ca="1" si="174"/>
        <v>#N/A</v>
      </c>
      <c r="AA483" s="406" t="e">
        <f t="shared" ca="1" si="174"/>
        <v>#N/A</v>
      </c>
      <c r="AB483" s="406" t="e">
        <f t="shared" ca="1" si="174"/>
        <v>#N/A</v>
      </c>
      <c r="AC483" s="406" t="e">
        <f t="shared" ca="1" si="174"/>
        <v>#N/A</v>
      </c>
      <c r="AD483" s="406" t="e">
        <f t="shared" ca="1" si="174"/>
        <v>#N/A</v>
      </c>
      <c r="AE483" s="406" t="e">
        <f t="shared" ca="1" si="174"/>
        <v>#N/A</v>
      </c>
      <c r="AF483" s="406" t="e">
        <f t="shared" ca="1" si="174"/>
        <v>#N/A</v>
      </c>
      <c r="AG483" s="406" t="e">
        <f t="shared" ca="1" si="174"/>
        <v>#N/A</v>
      </c>
      <c r="AH483" s="406" t="e">
        <f t="shared" ca="1" si="176"/>
        <v>#N/A</v>
      </c>
      <c r="AI483" s="406" t="e">
        <f t="shared" ca="1" si="176"/>
        <v>#N/A</v>
      </c>
      <c r="AJ483" s="406" t="e">
        <f t="shared" ca="1" si="176"/>
        <v>#N/A</v>
      </c>
      <c r="AK483" s="406" t="e">
        <f t="shared" ca="1" si="176"/>
        <v>#N/A</v>
      </c>
      <c r="AL483" s="406" t="e">
        <f t="shared" ca="1" si="176"/>
        <v>#N/A</v>
      </c>
      <c r="AM483" s="406" t="e">
        <f t="shared" ca="1" si="176"/>
        <v>#N/A</v>
      </c>
      <c r="AN483" s="406" t="e">
        <f t="shared" ca="1" si="176"/>
        <v>#N/A</v>
      </c>
      <c r="AO483" s="406" t="e">
        <f t="shared" ca="1" si="176"/>
        <v>#N/A</v>
      </c>
      <c r="AP483" s="406" t="e">
        <f t="shared" ca="1" si="176"/>
        <v>#N/A</v>
      </c>
      <c r="AQ483" s="406" t="e">
        <f t="shared" ca="1" si="176"/>
        <v>#N/A</v>
      </c>
      <c r="AR483" s="406" t="e">
        <f t="shared" ca="1" si="173"/>
        <v>#N/A</v>
      </c>
      <c r="AS483" s="406" t="e">
        <f t="shared" ca="1" si="173"/>
        <v>#N/A</v>
      </c>
      <c r="AT483" s="406" t="e">
        <f t="shared" ca="1" si="173"/>
        <v>#N/A</v>
      </c>
      <c r="AU483" s="406" t="e">
        <f t="shared" ca="1" si="173"/>
        <v>#N/A</v>
      </c>
      <c r="AV483" s="406" t="e">
        <f t="shared" ca="1" si="173"/>
        <v>#N/A</v>
      </c>
      <c r="AW483" s="406" t="e">
        <f t="shared" ca="1" si="173"/>
        <v>#N/A</v>
      </c>
      <c r="AX483" s="406" t="e">
        <f t="shared" ca="1" si="173"/>
        <v>#N/A</v>
      </c>
      <c r="AY483" s="406" t="e">
        <f t="shared" ca="1" si="173"/>
        <v>#N/A</v>
      </c>
      <c r="AZ483" s="406" t="e">
        <f t="shared" ca="1" si="173"/>
        <v>#N/A</v>
      </c>
      <c r="BA483" s="406" t="e">
        <f t="shared" ca="1" si="173"/>
        <v>#N/A</v>
      </c>
      <c r="BB483" s="408"/>
      <c r="BC483" s="408" t="str">
        <f t="shared" ca="1" si="171"/>
        <v/>
      </c>
      <c r="BD483" s="408" t="s">
        <v>1278</v>
      </c>
      <c r="BE483" s="408" t="s">
        <v>1278</v>
      </c>
    </row>
    <row r="484" spans="3:57" x14ac:dyDescent="0.25">
      <c r="C484" s="406">
        <f t="shared" si="172"/>
        <v>482</v>
      </c>
      <c r="D484" s="406" t="e">
        <f t="shared" ca="1" si="177"/>
        <v>#N/A</v>
      </c>
      <c r="E484" s="406" t="e">
        <f t="shared" ca="1" si="177"/>
        <v>#N/A</v>
      </c>
      <c r="F484" s="406" t="e">
        <f t="shared" ca="1" si="177"/>
        <v>#N/A</v>
      </c>
      <c r="G484" s="406" t="e">
        <f t="shared" ca="1" si="177"/>
        <v>#N/A</v>
      </c>
      <c r="H484" s="406" t="e">
        <f t="shared" ca="1" si="177"/>
        <v>#N/A</v>
      </c>
      <c r="I484" s="406" t="e">
        <f t="shared" ca="1" si="177"/>
        <v>#N/A</v>
      </c>
      <c r="J484" s="406" t="e">
        <f t="shared" ca="1" si="177"/>
        <v>#N/A</v>
      </c>
      <c r="K484" s="406" t="e">
        <f t="shared" ca="1" si="177"/>
        <v>#N/A</v>
      </c>
      <c r="L484" s="406" t="e">
        <f t="shared" ca="1" si="177"/>
        <v>#N/A</v>
      </c>
      <c r="M484" s="406" t="e">
        <f t="shared" ca="1" si="177"/>
        <v>#N/A</v>
      </c>
      <c r="N484" s="406" t="e">
        <f t="shared" ca="1" si="175"/>
        <v>#N/A</v>
      </c>
      <c r="O484" s="406" t="e">
        <f t="shared" ca="1" si="175"/>
        <v>#N/A</v>
      </c>
      <c r="P484" s="406" t="e">
        <f t="shared" ca="1" si="175"/>
        <v>#N/A</v>
      </c>
      <c r="Q484" s="406" t="e">
        <f t="shared" ca="1" si="175"/>
        <v>#N/A</v>
      </c>
      <c r="R484" s="406" t="e">
        <f t="shared" ca="1" si="175"/>
        <v>#N/A</v>
      </c>
      <c r="S484" s="406" t="e">
        <f t="shared" ca="1" si="175"/>
        <v>#N/A</v>
      </c>
      <c r="T484" s="406" t="e">
        <f t="shared" ca="1" si="175"/>
        <v>#N/A</v>
      </c>
      <c r="U484" s="406" t="e">
        <f t="shared" ca="1" si="175"/>
        <v>#N/A</v>
      </c>
      <c r="V484" s="406" t="e">
        <f t="shared" ca="1" si="175"/>
        <v>#N/A</v>
      </c>
      <c r="W484" s="406" t="e">
        <f t="shared" ca="1" si="175"/>
        <v>#N/A</v>
      </c>
      <c r="X484" s="406" t="e">
        <f t="shared" ca="1" si="174"/>
        <v>#N/A</v>
      </c>
      <c r="Y484" s="406" t="e">
        <f t="shared" ca="1" si="174"/>
        <v>#N/A</v>
      </c>
      <c r="Z484" s="406" t="e">
        <f t="shared" ca="1" si="174"/>
        <v>#N/A</v>
      </c>
      <c r="AA484" s="406" t="e">
        <f t="shared" ca="1" si="174"/>
        <v>#N/A</v>
      </c>
      <c r="AB484" s="406" t="e">
        <f t="shared" ca="1" si="174"/>
        <v>#N/A</v>
      </c>
      <c r="AC484" s="406" t="e">
        <f t="shared" ca="1" si="174"/>
        <v>#N/A</v>
      </c>
      <c r="AD484" s="406" t="e">
        <f t="shared" ca="1" si="174"/>
        <v>#N/A</v>
      </c>
      <c r="AE484" s="406" t="e">
        <f t="shared" ca="1" si="174"/>
        <v>#N/A</v>
      </c>
      <c r="AF484" s="406" t="e">
        <f t="shared" ca="1" si="174"/>
        <v>#N/A</v>
      </c>
      <c r="AG484" s="406" t="e">
        <f t="shared" ca="1" si="174"/>
        <v>#N/A</v>
      </c>
      <c r="AH484" s="406" t="e">
        <f t="shared" ca="1" si="176"/>
        <v>#N/A</v>
      </c>
      <c r="AI484" s="406" t="e">
        <f t="shared" ca="1" si="176"/>
        <v>#N/A</v>
      </c>
      <c r="AJ484" s="406" t="e">
        <f t="shared" ca="1" si="176"/>
        <v>#N/A</v>
      </c>
      <c r="AK484" s="406" t="e">
        <f t="shared" ca="1" si="176"/>
        <v>#N/A</v>
      </c>
      <c r="AL484" s="406" t="e">
        <f t="shared" ca="1" si="176"/>
        <v>#N/A</v>
      </c>
      <c r="AM484" s="406" t="e">
        <f t="shared" ca="1" si="176"/>
        <v>#N/A</v>
      </c>
      <c r="AN484" s="406" t="e">
        <f t="shared" ca="1" si="176"/>
        <v>#N/A</v>
      </c>
      <c r="AO484" s="406" t="e">
        <f t="shared" ca="1" si="176"/>
        <v>#N/A</v>
      </c>
      <c r="AP484" s="406" t="e">
        <f t="shared" ca="1" si="176"/>
        <v>#N/A</v>
      </c>
      <c r="AQ484" s="406" t="e">
        <f t="shared" ca="1" si="176"/>
        <v>#N/A</v>
      </c>
      <c r="AR484" s="406" t="e">
        <f t="shared" ca="1" si="173"/>
        <v>#N/A</v>
      </c>
      <c r="AS484" s="406" t="e">
        <f t="shared" ca="1" si="173"/>
        <v>#N/A</v>
      </c>
      <c r="AT484" s="406" t="e">
        <f t="shared" ca="1" si="173"/>
        <v>#N/A</v>
      </c>
      <c r="AU484" s="406" t="e">
        <f t="shared" ca="1" si="173"/>
        <v>#N/A</v>
      </c>
      <c r="AV484" s="406" t="e">
        <f t="shared" ca="1" si="173"/>
        <v>#N/A</v>
      </c>
      <c r="AW484" s="406" t="e">
        <f t="shared" ca="1" si="173"/>
        <v>#N/A</v>
      </c>
      <c r="AX484" s="406" t="e">
        <f t="shared" ca="1" si="173"/>
        <v>#N/A</v>
      </c>
      <c r="AY484" s="406" t="e">
        <f t="shared" ca="1" si="173"/>
        <v>#N/A</v>
      </c>
      <c r="AZ484" s="406" t="e">
        <f t="shared" ca="1" si="173"/>
        <v>#N/A</v>
      </c>
      <c r="BA484" s="406" t="e">
        <f t="shared" ca="1" si="173"/>
        <v>#N/A</v>
      </c>
      <c r="BB484" s="408"/>
      <c r="BC484" s="408" t="str">
        <f t="shared" ca="1" si="171"/>
        <v/>
      </c>
      <c r="BD484" s="408" t="s">
        <v>1278</v>
      </c>
      <c r="BE484" s="408" t="s">
        <v>1278</v>
      </c>
    </row>
    <row r="485" spans="3:57" x14ac:dyDescent="0.25">
      <c r="C485" s="406">
        <f t="shared" si="172"/>
        <v>483</v>
      </c>
      <c r="D485" s="406" t="e">
        <f t="shared" ca="1" si="177"/>
        <v>#N/A</v>
      </c>
      <c r="E485" s="406" t="e">
        <f t="shared" ca="1" si="177"/>
        <v>#N/A</v>
      </c>
      <c r="F485" s="406" t="e">
        <f t="shared" ca="1" si="177"/>
        <v>#N/A</v>
      </c>
      <c r="G485" s="406" t="e">
        <f t="shared" ca="1" si="177"/>
        <v>#N/A</v>
      </c>
      <c r="H485" s="406" t="e">
        <f t="shared" ca="1" si="177"/>
        <v>#N/A</v>
      </c>
      <c r="I485" s="406" t="e">
        <f t="shared" ca="1" si="177"/>
        <v>#N/A</v>
      </c>
      <c r="J485" s="406" t="e">
        <f t="shared" ca="1" si="177"/>
        <v>#N/A</v>
      </c>
      <c r="K485" s="406" t="e">
        <f t="shared" ca="1" si="177"/>
        <v>#N/A</v>
      </c>
      <c r="L485" s="406" t="e">
        <f t="shared" ca="1" si="177"/>
        <v>#N/A</v>
      </c>
      <c r="M485" s="406" t="e">
        <f t="shared" ca="1" si="177"/>
        <v>#N/A</v>
      </c>
      <c r="N485" s="406" t="e">
        <f t="shared" ca="1" si="175"/>
        <v>#N/A</v>
      </c>
      <c r="O485" s="406" t="e">
        <f t="shared" ca="1" si="175"/>
        <v>#N/A</v>
      </c>
      <c r="P485" s="406" t="e">
        <f t="shared" ca="1" si="175"/>
        <v>#N/A</v>
      </c>
      <c r="Q485" s="406" t="e">
        <f t="shared" ca="1" si="175"/>
        <v>#N/A</v>
      </c>
      <c r="R485" s="406" t="e">
        <f t="shared" ca="1" si="175"/>
        <v>#N/A</v>
      </c>
      <c r="S485" s="406" t="e">
        <f t="shared" ca="1" si="175"/>
        <v>#N/A</v>
      </c>
      <c r="T485" s="406" t="e">
        <f t="shared" ca="1" si="175"/>
        <v>#N/A</v>
      </c>
      <c r="U485" s="406" t="e">
        <f t="shared" ca="1" si="175"/>
        <v>#N/A</v>
      </c>
      <c r="V485" s="406" t="e">
        <f t="shared" ca="1" si="175"/>
        <v>#N/A</v>
      </c>
      <c r="W485" s="406" t="e">
        <f t="shared" ca="1" si="175"/>
        <v>#N/A</v>
      </c>
      <c r="X485" s="406" t="e">
        <f t="shared" ca="1" si="174"/>
        <v>#N/A</v>
      </c>
      <c r="Y485" s="406" t="e">
        <f t="shared" ca="1" si="174"/>
        <v>#N/A</v>
      </c>
      <c r="Z485" s="406" t="e">
        <f t="shared" ca="1" si="174"/>
        <v>#N/A</v>
      </c>
      <c r="AA485" s="406" t="e">
        <f t="shared" ca="1" si="174"/>
        <v>#N/A</v>
      </c>
      <c r="AB485" s="406" t="e">
        <f t="shared" ca="1" si="174"/>
        <v>#N/A</v>
      </c>
      <c r="AC485" s="406" t="e">
        <f t="shared" ca="1" si="174"/>
        <v>#N/A</v>
      </c>
      <c r="AD485" s="406" t="e">
        <f t="shared" ca="1" si="174"/>
        <v>#N/A</v>
      </c>
      <c r="AE485" s="406" t="e">
        <f t="shared" ca="1" si="174"/>
        <v>#N/A</v>
      </c>
      <c r="AF485" s="406" t="e">
        <f t="shared" ca="1" si="174"/>
        <v>#N/A</v>
      </c>
      <c r="AG485" s="406" t="e">
        <f t="shared" ca="1" si="174"/>
        <v>#N/A</v>
      </c>
      <c r="AH485" s="406" t="e">
        <f t="shared" ca="1" si="176"/>
        <v>#N/A</v>
      </c>
      <c r="AI485" s="406" t="e">
        <f t="shared" ca="1" si="176"/>
        <v>#N/A</v>
      </c>
      <c r="AJ485" s="406" t="e">
        <f t="shared" ca="1" si="176"/>
        <v>#N/A</v>
      </c>
      <c r="AK485" s="406" t="e">
        <f t="shared" ca="1" si="176"/>
        <v>#N/A</v>
      </c>
      <c r="AL485" s="406" t="e">
        <f t="shared" ca="1" si="176"/>
        <v>#N/A</v>
      </c>
      <c r="AM485" s="406" t="e">
        <f t="shared" ca="1" si="176"/>
        <v>#N/A</v>
      </c>
      <c r="AN485" s="406" t="e">
        <f t="shared" ca="1" si="176"/>
        <v>#N/A</v>
      </c>
      <c r="AO485" s="406" t="e">
        <f t="shared" ca="1" si="176"/>
        <v>#N/A</v>
      </c>
      <c r="AP485" s="406" t="e">
        <f t="shared" ca="1" si="176"/>
        <v>#N/A</v>
      </c>
      <c r="AQ485" s="406" t="e">
        <f t="shared" ca="1" si="176"/>
        <v>#N/A</v>
      </c>
      <c r="AR485" s="406" t="e">
        <f t="shared" ca="1" si="173"/>
        <v>#N/A</v>
      </c>
      <c r="AS485" s="406" t="e">
        <f t="shared" ca="1" si="173"/>
        <v>#N/A</v>
      </c>
      <c r="AT485" s="406" t="e">
        <f t="shared" ca="1" si="173"/>
        <v>#N/A</v>
      </c>
      <c r="AU485" s="406" t="e">
        <f t="shared" ca="1" si="173"/>
        <v>#N/A</v>
      </c>
      <c r="AV485" s="406" t="e">
        <f t="shared" ca="1" si="173"/>
        <v>#N/A</v>
      </c>
      <c r="AW485" s="406" t="e">
        <f t="shared" ca="1" si="173"/>
        <v>#N/A</v>
      </c>
      <c r="AX485" s="406" t="e">
        <f t="shared" ca="1" si="173"/>
        <v>#N/A</v>
      </c>
      <c r="AY485" s="406" t="e">
        <f t="shared" ca="1" si="173"/>
        <v>#N/A</v>
      </c>
      <c r="AZ485" s="406" t="e">
        <f t="shared" ca="1" si="173"/>
        <v>#N/A</v>
      </c>
      <c r="BA485" s="406" t="e">
        <f t="shared" ca="1" si="173"/>
        <v>#N/A</v>
      </c>
      <c r="BB485" s="408"/>
      <c r="BC485" s="408" t="str">
        <f t="shared" ca="1" si="171"/>
        <v/>
      </c>
      <c r="BD485" s="408" t="s">
        <v>1278</v>
      </c>
      <c r="BE485" s="408" t="s">
        <v>1278</v>
      </c>
    </row>
    <row r="486" spans="3:57" ht="15" customHeight="1" x14ac:dyDescent="0.25">
      <c r="C486" s="406">
        <f t="shared" si="172"/>
        <v>484</v>
      </c>
      <c r="D486" s="406" t="e">
        <f t="shared" ca="1" si="177"/>
        <v>#N/A</v>
      </c>
      <c r="E486" s="406" t="e">
        <f t="shared" ca="1" si="177"/>
        <v>#N/A</v>
      </c>
      <c r="F486" s="406" t="e">
        <f t="shared" ca="1" si="177"/>
        <v>#N/A</v>
      </c>
      <c r="G486" s="406" t="e">
        <f t="shared" ca="1" si="177"/>
        <v>#N/A</v>
      </c>
      <c r="H486" s="406" t="e">
        <f t="shared" ca="1" si="177"/>
        <v>#N/A</v>
      </c>
      <c r="I486" s="406" t="e">
        <f t="shared" ca="1" si="177"/>
        <v>#N/A</v>
      </c>
      <c r="J486" s="406" t="e">
        <f t="shared" ca="1" si="177"/>
        <v>#N/A</v>
      </c>
      <c r="K486" s="406" t="e">
        <f t="shared" ca="1" si="177"/>
        <v>#N/A</v>
      </c>
      <c r="L486" s="406" t="e">
        <f t="shared" ca="1" si="177"/>
        <v>#N/A</v>
      </c>
      <c r="M486" s="406" t="e">
        <f t="shared" ca="1" si="177"/>
        <v>#N/A</v>
      </c>
      <c r="N486" s="406" t="e">
        <f t="shared" ca="1" si="175"/>
        <v>#N/A</v>
      </c>
      <c r="O486" s="406" t="e">
        <f t="shared" ca="1" si="175"/>
        <v>#N/A</v>
      </c>
      <c r="P486" s="406" t="e">
        <f t="shared" ca="1" si="175"/>
        <v>#N/A</v>
      </c>
      <c r="Q486" s="406" t="e">
        <f t="shared" ca="1" si="175"/>
        <v>#N/A</v>
      </c>
      <c r="R486" s="406" t="e">
        <f t="shared" ca="1" si="175"/>
        <v>#N/A</v>
      </c>
      <c r="S486" s="406" t="e">
        <f t="shared" ca="1" si="175"/>
        <v>#N/A</v>
      </c>
      <c r="T486" s="406" t="e">
        <f t="shared" ca="1" si="175"/>
        <v>#N/A</v>
      </c>
      <c r="U486" s="406" t="e">
        <f t="shared" ca="1" si="175"/>
        <v>#N/A</v>
      </c>
      <c r="V486" s="406" t="e">
        <f t="shared" ca="1" si="175"/>
        <v>#N/A</v>
      </c>
      <c r="W486" s="406" t="e">
        <f t="shared" ca="1" si="175"/>
        <v>#N/A</v>
      </c>
      <c r="X486" s="406" t="e">
        <f t="shared" ca="1" si="174"/>
        <v>#N/A</v>
      </c>
      <c r="Y486" s="406" t="e">
        <f t="shared" ca="1" si="174"/>
        <v>#N/A</v>
      </c>
      <c r="Z486" s="406" t="e">
        <f t="shared" ca="1" si="174"/>
        <v>#N/A</v>
      </c>
      <c r="AA486" s="406" t="e">
        <f t="shared" ca="1" si="174"/>
        <v>#N/A</v>
      </c>
      <c r="AB486" s="406" t="e">
        <f t="shared" ca="1" si="174"/>
        <v>#N/A</v>
      </c>
      <c r="AC486" s="406" t="e">
        <f t="shared" ca="1" si="174"/>
        <v>#N/A</v>
      </c>
      <c r="AD486" s="406" t="e">
        <f t="shared" ca="1" si="174"/>
        <v>#N/A</v>
      </c>
      <c r="AE486" s="406" t="e">
        <f t="shared" ca="1" si="174"/>
        <v>#N/A</v>
      </c>
      <c r="AF486" s="406" t="e">
        <f t="shared" ca="1" si="174"/>
        <v>#N/A</v>
      </c>
      <c r="AG486" s="406" t="e">
        <f t="shared" ca="1" si="174"/>
        <v>#N/A</v>
      </c>
      <c r="AH486" s="406" t="e">
        <f t="shared" ca="1" si="176"/>
        <v>#N/A</v>
      </c>
      <c r="AI486" s="406" t="e">
        <f t="shared" ca="1" si="176"/>
        <v>#N/A</v>
      </c>
      <c r="AJ486" s="406" t="e">
        <f t="shared" ca="1" si="176"/>
        <v>#N/A</v>
      </c>
      <c r="AK486" s="406" t="e">
        <f t="shared" ca="1" si="176"/>
        <v>#N/A</v>
      </c>
      <c r="AL486" s="406" t="e">
        <f t="shared" ca="1" si="176"/>
        <v>#N/A</v>
      </c>
      <c r="AM486" s="406" t="e">
        <f t="shared" ca="1" si="176"/>
        <v>#N/A</v>
      </c>
      <c r="AN486" s="406" t="e">
        <f t="shared" ca="1" si="176"/>
        <v>#N/A</v>
      </c>
      <c r="AO486" s="406" t="e">
        <f t="shared" ca="1" si="176"/>
        <v>#N/A</v>
      </c>
      <c r="AP486" s="406" t="e">
        <f t="shared" ca="1" si="176"/>
        <v>#N/A</v>
      </c>
      <c r="AQ486" s="406" t="e">
        <f t="shared" ca="1" si="176"/>
        <v>#N/A</v>
      </c>
      <c r="AR486" s="406" t="e">
        <f t="shared" ca="1" si="173"/>
        <v>#N/A</v>
      </c>
      <c r="AS486" s="406" t="e">
        <f t="shared" ca="1" si="173"/>
        <v>#N/A</v>
      </c>
      <c r="AT486" s="406" t="e">
        <f t="shared" ca="1" si="173"/>
        <v>#N/A</v>
      </c>
      <c r="AU486" s="406" t="e">
        <f t="shared" ca="1" si="173"/>
        <v>#N/A</v>
      </c>
      <c r="AV486" s="406" t="e">
        <f t="shared" ca="1" si="173"/>
        <v>#N/A</v>
      </c>
      <c r="AW486" s="406" t="e">
        <f t="shared" ca="1" si="173"/>
        <v>#N/A</v>
      </c>
      <c r="AX486" s="406" t="e">
        <f t="shared" ca="1" si="173"/>
        <v>#N/A</v>
      </c>
      <c r="AY486" s="406" t="e">
        <f t="shared" ca="1" si="173"/>
        <v>#N/A</v>
      </c>
      <c r="AZ486" s="406" t="e">
        <f t="shared" ca="1" si="173"/>
        <v>#N/A</v>
      </c>
      <c r="BA486" s="406" t="e">
        <f t="shared" ca="1" si="173"/>
        <v>#N/A</v>
      </c>
      <c r="BB486" s="408"/>
      <c r="BC486" s="408" t="str">
        <f t="shared" ca="1" si="171"/>
        <v/>
      </c>
      <c r="BD486" s="408" t="s">
        <v>1278</v>
      </c>
      <c r="BE486" s="408" t="s">
        <v>1278</v>
      </c>
    </row>
    <row r="487" spans="3:57" x14ac:dyDescent="0.25">
      <c r="C487" s="406">
        <f t="shared" si="172"/>
        <v>485</v>
      </c>
      <c r="D487" s="406" t="e">
        <f t="shared" ca="1" si="177"/>
        <v>#N/A</v>
      </c>
      <c r="E487" s="406" t="e">
        <f t="shared" ca="1" si="177"/>
        <v>#N/A</v>
      </c>
      <c r="F487" s="406" t="e">
        <f t="shared" ca="1" si="177"/>
        <v>#N/A</v>
      </c>
      <c r="G487" s="406" t="e">
        <f t="shared" ca="1" si="177"/>
        <v>#N/A</v>
      </c>
      <c r="H487" s="406" t="e">
        <f t="shared" ca="1" si="177"/>
        <v>#N/A</v>
      </c>
      <c r="I487" s="406" t="e">
        <f t="shared" ca="1" si="177"/>
        <v>#N/A</v>
      </c>
      <c r="J487" s="406" t="e">
        <f t="shared" ca="1" si="177"/>
        <v>#N/A</v>
      </c>
      <c r="K487" s="406" t="e">
        <f t="shared" ca="1" si="177"/>
        <v>#N/A</v>
      </c>
      <c r="L487" s="406" t="e">
        <f t="shared" ca="1" si="177"/>
        <v>#N/A</v>
      </c>
      <c r="M487" s="406" t="e">
        <f t="shared" ca="1" si="177"/>
        <v>#N/A</v>
      </c>
      <c r="N487" s="406" t="e">
        <f t="shared" ca="1" si="175"/>
        <v>#N/A</v>
      </c>
      <c r="O487" s="406" t="e">
        <f t="shared" ca="1" si="175"/>
        <v>#N/A</v>
      </c>
      <c r="P487" s="406" t="e">
        <f t="shared" ca="1" si="175"/>
        <v>#N/A</v>
      </c>
      <c r="Q487" s="406" t="e">
        <f t="shared" ca="1" si="175"/>
        <v>#N/A</v>
      </c>
      <c r="R487" s="406" t="e">
        <f t="shared" ca="1" si="175"/>
        <v>#N/A</v>
      </c>
      <c r="S487" s="406" t="e">
        <f t="shared" ca="1" si="175"/>
        <v>#N/A</v>
      </c>
      <c r="T487" s="406" t="e">
        <f t="shared" ca="1" si="175"/>
        <v>#N/A</v>
      </c>
      <c r="U487" s="406" t="e">
        <f t="shared" ca="1" si="175"/>
        <v>#N/A</v>
      </c>
      <c r="V487" s="406" t="e">
        <f t="shared" ca="1" si="175"/>
        <v>#N/A</v>
      </c>
      <c r="W487" s="406" t="e">
        <f t="shared" ca="1" si="175"/>
        <v>#N/A</v>
      </c>
      <c r="X487" s="406" t="e">
        <f t="shared" ca="1" si="174"/>
        <v>#N/A</v>
      </c>
      <c r="Y487" s="406" t="e">
        <f t="shared" ca="1" si="174"/>
        <v>#N/A</v>
      </c>
      <c r="Z487" s="406" t="e">
        <f t="shared" ca="1" si="174"/>
        <v>#N/A</v>
      </c>
      <c r="AA487" s="406" t="e">
        <f t="shared" ca="1" si="174"/>
        <v>#N/A</v>
      </c>
      <c r="AB487" s="406" t="e">
        <f t="shared" ca="1" si="174"/>
        <v>#N/A</v>
      </c>
      <c r="AC487" s="406" t="e">
        <f t="shared" ca="1" si="174"/>
        <v>#N/A</v>
      </c>
      <c r="AD487" s="406" t="e">
        <f t="shared" ca="1" si="174"/>
        <v>#N/A</v>
      </c>
      <c r="AE487" s="406" t="e">
        <f t="shared" ca="1" si="174"/>
        <v>#N/A</v>
      </c>
      <c r="AF487" s="406" t="e">
        <f t="shared" ca="1" si="174"/>
        <v>#N/A</v>
      </c>
      <c r="AG487" s="406" t="e">
        <f t="shared" ca="1" si="174"/>
        <v>#N/A</v>
      </c>
      <c r="AH487" s="406" t="e">
        <f t="shared" ca="1" si="176"/>
        <v>#N/A</v>
      </c>
      <c r="AI487" s="406" t="e">
        <f t="shared" ca="1" si="176"/>
        <v>#N/A</v>
      </c>
      <c r="AJ487" s="406" t="e">
        <f t="shared" ca="1" si="176"/>
        <v>#N/A</v>
      </c>
      <c r="AK487" s="406" t="e">
        <f t="shared" ca="1" si="176"/>
        <v>#N/A</v>
      </c>
      <c r="AL487" s="406" t="e">
        <f t="shared" ca="1" si="176"/>
        <v>#N/A</v>
      </c>
      <c r="AM487" s="406" t="e">
        <f t="shared" ca="1" si="176"/>
        <v>#N/A</v>
      </c>
      <c r="AN487" s="406" t="e">
        <f t="shared" ca="1" si="176"/>
        <v>#N/A</v>
      </c>
      <c r="AO487" s="406" t="e">
        <f t="shared" ca="1" si="176"/>
        <v>#N/A</v>
      </c>
      <c r="AP487" s="406" t="e">
        <f t="shared" ca="1" si="176"/>
        <v>#N/A</v>
      </c>
      <c r="AQ487" s="406" t="e">
        <f t="shared" ca="1" si="176"/>
        <v>#N/A</v>
      </c>
      <c r="AR487" s="406" t="e">
        <f t="shared" ca="1" si="173"/>
        <v>#N/A</v>
      </c>
      <c r="AS487" s="406" t="e">
        <f t="shared" ca="1" si="173"/>
        <v>#N/A</v>
      </c>
      <c r="AT487" s="406" t="e">
        <f t="shared" ca="1" si="173"/>
        <v>#N/A</v>
      </c>
      <c r="AU487" s="406" t="e">
        <f t="shared" ca="1" si="173"/>
        <v>#N/A</v>
      </c>
      <c r="AV487" s="406" t="e">
        <f t="shared" ca="1" si="173"/>
        <v>#N/A</v>
      </c>
      <c r="AW487" s="406" t="e">
        <f t="shared" ca="1" si="173"/>
        <v>#N/A</v>
      </c>
      <c r="AX487" s="406" t="e">
        <f t="shared" ca="1" si="173"/>
        <v>#N/A</v>
      </c>
      <c r="AY487" s="406" t="e">
        <f t="shared" ca="1" si="173"/>
        <v>#N/A</v>
      </c>
      <c r="AZ487" s="406" t="e">
        <f t="shared" ca="1" si="173"/>
        <v>#N/A</v>
      </c>
      <c r="BA487" s="406" t="e">
        <f t="shared" ca="1" si="173"/>
        <v>#N/A</v>
      </c>
      <c r="BB487" s="408"/>
      <c r="BC487" s="408" t="str">
        <f t="shared" ca="1" si="171"/>
        <v/>
      </c>
      <c r="BD487" s="408" t="s">
        <v>1278</v>
      </c>
      <c r="BE487" s="408" t="s">
        <v>1278</v>
      </c>
    </row>
    <row r="488" spans="3:57" x14ac:dyDescent="0.25">
      <c r="C488" s="406">
        <f t="shared" si="172"/>
        <v>486</v>
      </c>
      <c r="D488" s="406" t="e">
        <f t="shared" ca="1" si="177"/>
        <v>#N/A</v>
      </c>
      <c r="E488" s="406" t="e">
        <f t="shared" ca="1" si="177"/>
        <v>#N/A</v>
      </c>
      <c r="F488" s="406" t="e">
        <f t="shared" ca="1" si="177"/>
        <v>#N/A</v>
      </c>
      <c r="G488" s="406" t="e">
        <f t="shared" ca="1" si="177"/>
        <v>#N/A</v>
      </c>
      <c r="H488" s="406" t="e">
        <f t="shared" ca="1" si="177"/>
        <v>#N/A</v>
      </c>
      <c r="I488" s="406" t="e">
        <f t="shared" ca="1" si="177"/>
        <v>#N/A</v>
      </c>
      <c r="J488" s="406" t="e">
        <f t="shared" ca="1" si="177"/>
        <v>#N/A</v>
      </c>
      <c r="K488" s="406" t="e">
        <f t="shared" ca="1" si="177"/>
        <v>#N/A</v>
      </c>
      <c r="L488" s="406" t="e">
        <f t="shared" ca="1" si="177"/>
        <v>#N/A</v>
      </c>
      <c r="M488" s="406" t="e">
        <f t="shared" ca="1" si="177"/>
        <v>#N/A</v>
      </c>
      <c r="N488" s="406" t="e">
        <f t="shared" ca="1" si="175"/>
        <v>#N/A</v>
      </c>
      <c r="O488" s="406" t="e">
        <f t="shared" ca="1" si="175"/>
        <v>#N/A</v>
      </c>
      <c r="P488" s="406" t="e">
        <f t="shared" ca="1" si="175"/>
        <v>#N/A</v>
      </c>
      <c r="Q488" s="406" t="e">
        <f t="shared" ca="1" si="175"/>
        <v>#N/A</v>
      </c>
      <c r="R488" s="406" t="e">
        <f t="shared" ca="1" si="175"/>
        <v>#N/A</v>
      </c>
      <c r="S488" s="406" t="e">
        <f t="shared" ca="1" si="175"/>
        <v>#N/A</v>
      </c>
      <c r="T488" s="406" t="e">
        <f t="shared" ca="1" si="175"/>
        <v>#N/A</v>
      </c>
      <c r="U488" s="406" t="e">
        <f t="shared" ca="1" si="175"/>
        <v>#N/A</v>
      </c>
      <c r="V488" s="406" t="e">
        <f t="shared" ca="1" si="175"/>
        <v>#N/A</v>
      </c>
      <c r="W488" s="406" t="e">
        <f t="shared" ca="1" si="175"/>
        <v>#N/A</v>
      </c>
      <c r="X488" s="406" t="e">
        <f t="shared" ca="1" si="174"/>
        <v>#N/A</v>
      </c>
      <c r="Y488" s="406" t="e">
        <f t="shared" ca="1" si="174"/>
        <v>#N/A</v>
      </c>
      <c r="Z488" s="406" t="e">
        <f t="shared" ca="1" si="174"/>
        <v>#N/A</v>
      </c>
      <c r="AA488" s="406" t="e">
        <f t="shared" ca="1" si="174"/>
        <v>#N/A</v>
      </c>
      <c r="AB488" s="406" t="e">
        <f t="shared" ca="1" si="174"/>
        <v>#N/A</v>
      </c>
      <c r="AC488" s="406" t="e">
        <f t="shared" ca="1" si="174"/>
        <v>#N/A</v>
      </c>
      <c r="AD488" s="406" t="e">
        <f t="shared" ca="1" si="174"/>
        <v>#N/A</v>
      </c>
      <c r="AE488" s="406" t="e">
        <f t="shared" ca="1" si="174"/>
        <v>#N/A</v>
      </c>
      <c r="AF488" s="406" t="e">
        <f t="shared" ca="1" si="174"/>
        <v>#N/A</v>
      </c>
      <c r="AG488" s="406" t="e">
        <f t="shared" ca="1" si="174"/>
        <v>#N/A</v>
      </c>
      <c r="AH488" s="406" t="e">
        <f t="shared" ca="1" si="176"/>
        <v>#N/A</v>
      </c>
      <c r="AI488" s="406" t="e">
        <f t="shared" ca="1" si="176"/>
        <v>#N/A</v>
      </c>
      <c r="AJ488" s="406" t="e">
        <f t="shared" ca="1" si="176"/>
        <v>#N/A</v>
      </c>
      <c r="AK488" s="406" t="e">
        <f t="shared" ca="1" si="176"/>
        <v>#N/A</v>
      </c>
      <c r="AL488" s="406" t="e">
        <f t="shared" ca="1" si="176"/>
        <v>#N/A</v>
      </c>
      <c r="AM488" s="406" t="e">
        <f t="shared" ca="1" si="176"/>
        <v>#N/A</v>
      </c>
      <c r="AN488" s="406" t="e">
        <f t="shared" ca="1" si="176"/>
        <v>#N/A</v>
      </c>
      <c r="AO488" s="406" t="e">
        <f t="shared" ca="1" si="176"/>
        <v>#N/A</v>
      </c>
      <c r="AP488" s="406" t="e">
        <f t="shared" ca="1" si="176"/>
        <v>#N/A</v>
      </c>
      <c r="AQ488" s="406" t="e">
        <f t="shared" ca="1" si="176"/>
        <v>#N/A</v>
      </c>
      <c r="AR488" s="406" t="e">
        <f t="shared" ca="1" si="173"/>
        <v>#N/A</v>
      </c>
      <c r="AS488" s="406" t="e">
        <f t="shared" ca="1" si="173"/>
        <v>#N/A</v>
      </c>
      <c r="AT488" s="406" t="e">
        <f t="shared" ca="1" si="173"/>
        <v>#N/A</v>
      </c>
      <c r="AU488" s="406" t="e">
        <f t="shared" ca="1" si="173"/>
        <v>#N/A</v>
      </c>
      <c r="AV488" s="406" t="e">
        <f t="shared" ca="1" si="173"/>
        <v>#N/A</v>
      </c>
      <c r="AW488" s="406" t="e">
        <f t="shared" ca="1" si="173"/>
        <v>#N/A</v>
      </c>
      <c r="AX488" s="406" t="e">
        <f t="shared" ca="1" si="173"/>
        <v>#N/A</v>
      </c>
      <c r="AY488" s="406" t="e">
        <f t="shared" ca="1" si="173"/>
        <v>#N/A</v>
      </c>
      <c r="AZ488" s="406" t="e">
        <f t="shared" ca="1" si="173"/>
        <v>#N/A</v>
      </c>
      <c r="BA488" s="406" t="e">
        <f t="shared" ca="1" si="173"/>
        <v>#N/A</v>
      </c>
      <c r="BB488" s="408"/>
      <c r="BC488" s="408" t="str">
        <f t="shared" ca="1" si="171"/>
        <v/>
      </c>
      <c r="BD488" s="408" t="s">
        <v>1278</v>
      </c>
      <c r="BE488" s="408" t="s">
        <v>1278</v>
      </c>
    </row>
    <row r="489" spans="3:57" ht="15" customHeight="1" x14ac:dyDescent="0.25">
      <c r="C489" s="406">
        <f t="shared" si="172"/>
        <v>487</v>
      </c>
      <c r="D489" s="406" t="e">
        <f t="shared" ca="1" si="177"/>
        <v>#N/A</v>
      </c>
      <c r="E489" s="406" t="e">
        <f t="shared" ca="1" si="177"/>
        <v>#N/A</v>
      </c>
      <c r="F489" s="406" t="e">
        <f t="shared" ca="1" si="177"/>
        <v>#N/A</v>
      </c>
      <c r="G489" s="406" t="e">
        <f t="shared" ca="1" si="177"/>
        <v>#N/A</v>
      </c>
      <c r="H489" s="406" t="e">
        <f t="shared" ca="1" si="177"/>
        <v>#N/A</v>
      </c>
      <c r="I489" s="406" t="e">
        <f t="shared" ca="1" si="177"/>
        <v>#N/A</v>
      </c>
      <c r="J489" s="406" t="e">
        <f t="shared" ca="1" si="177"/>
        <v>#N/A</v>
      </c>
      <c r="K489" s="406" t="e">
        <f t="shared" ca="1" si="177"/>
        <v>#N/A</v>
      </c>
      <c r="L489" s="406" t="e">
        <f t="shared" ca="1" si="177"/>
        <v>#N/A</v>
      </c>
      <c r="M489" s="406" t="e">
        <f t="shared" ca="1" si="177"/>
        <v>#N/A</v>
      </c>
      <c r="N489" s="406" t="e">
        <f t="shared" ca="1" si="175"/>
        <v>#N/A</v>
      </c>
      <c r="O489" s="406" t="e">
        <f t="shared" ca="1" si="175"/>
        <v>#N/A</v>
      </c>
      <c r="P489" s="406" t="e">
        <f t="shared" ca="1" si="175"/>
        <v>#N/A</v>
      </c>
      <c r="Q489" s="406" t="e">
        <f t="shared" ca="1" si="175"/>
        <v>#N/A</v>
      </c>
      <c r="R489" s="406" t="e">
        <f t="shared" ca="1" si="175"/>
        <v>#N/A</v>
      </c>
      <c r="S489" s="406" t="e">
        <f t="shared" ca="1" si="175"/>
        <v>#N/A</v>
      </c>
      <c r="T489" s="406" t="e">
        <f t="shared" ca="1" si="175"/>
        <v>#N/A</v>
      </c>
      <c r="U489" s="406" t="e">
        <f t="shared" ca="1" si="175"/>
        <v>#N/A</v>
      </c>
      <c r="V489" s="406" t="e">
        <f t="shared" ca="1" si="175"/>
        <v>#N/A</v>
      </c>
      <c r="W489" s="406" t="e">
        <f t="shared" ca="1" si="175"/>
        <v>#N/A</v>
      </c>
      <c r="X489" s="406" t="e">
        <f t="shared" ca="1" si="174"/>
        <v>#N/A</v>
      </c>
      <c r="Y489" s="406" t="e">
        <f t="shared" ca="1" si="174"/>
        <v>#N/A</v>
      </c>
      <c r="Z489" s="406" t="e">
        <f t="shared" ca="1" si="174"/>
        <v>#N/A</v>
      </c>
      <c r="AA489" s="406" t="e">
        <f t="shared" ca="1" si="174"/>
        <v>#N/A</v>
      </c>
      <c r="AB489" s="406" t="e">
        <f t="shared" ca="1" si="174"/>
        <v>#N/A</v>
      </c>
      <c r="AC489" s="406" t="e">
        <f t="shared" ca="1" si="174"/>
        <v>#N/A</v>
      </c>
      <c r="AD489" s="406" t="e">
        <f t="shared" ca="1" si="174"/>
        <v>#N/A</v>
      </c>
      <c r="AE489" s="406" t="e">
        <f t="shared" ca="1" si="174"/>
        <v>#N/A</v>
      </c>
      <c r="AF489" s="406" t="e">
        <f t="shared" ca="1" si="174"/>
        <v>#N/A</v>
      </c>
      <c r="AG489" s="406" t="e">
        <f t="shared" ca="1" si="174"/>
        <v>#N/A</v>
      </c>
      <c r="AH489" s="406" t="e">
        <f t="shared" ca="1" si="176"/>
        <v>#N/A</v>
      </c>
      <c r="AI489" s="406" t="e">
        <f t="shared" ca="1" si="176"/>
        <v>#N/A</v>
      </c>
      <c r="AJ489" s="406" t="e">
        <f t="shared" ca="1" si="176"/>
        <v>#N/A</v>
      </c>
      <c r="AK489" s="406" t="e">
        <f t="shared" ca="1" si="176"/>
        <v>#N/A</v>
      </c>
      <c r="AL489" s="406" t="e">
        <f t="shared" ca="1" si="176"/>
        <v>#N/A</v>
      </c>
      <c r="AM489" s="406" t="e">
        <f t="shared" ca="1" si="176"/>
        <v>#N/A</v>
      </c>
      <c r="AN489" s="406" t="e">
        <f t="shared" ca="1" si="176"/>
        <v>#N/A</v>
      </c>
      <c r="AO489" s="406" t="e">
        <f t="shared" ca="1" si="176"/>
        <v>#N/A</v>
      </c>
      <c r="AP489" s="406" t="e">
        <f t="shared" ca="1" si="176"/>
        <v>#N/A</v>
      </c>
      <c r="AQ489" s="406" t="e">
        <f t="shared" ca="1" si="176"/>
        <v>#N/A</v>
      </c>
      <c r="AR489" s="406" t="e">
        <f t="shared" ca="1" si="173"/>
        <v>#N/A</v>
      </c>
      <c r="AS489" s="406" t="e">
        <f t="shared" ca="1" si="173"/>
        <v>#N/A</v>
      </c>
      <c r="AT489" s="406" t="e">
        <f t="shared" ca="1" si="173"/>
        <v>#N/A</v>
      </c>
      <c r="AU489" s="406" t="e">
        <f t="shared" ref="AR489:BA502" ca="1" si="178">TRIM(INDIRECT("'" &amp; "TNX RTF" &amp; "'!" &amp; ADDRESS($A$3+$C489,AU$1)))</f>
        <v>#N/A</v>
      </c>
      <c r="AV489" s="406" t="e">
        <f t="shared" ca="1" si="178"/>
        <v>#N/A</v>
      </c>
      <c r="AW489" s="406" t="e">
        <f t="shared" ca="1" si="178"/>
        <v>#N/A</v>
      </c>
      <c r="AX489" s="406" t="e">
        <f t="shared" ca="1" si="178"/>
        <v>#N/A</v>
      </c>
      <c r="AY489" s="406" t="e">
        <f t="shared" ca="1" si="178"/>
        <v>#N/A</v>
      </c>
      <c r="AZ489" s="406" t="e">
        <f t="shared" ca="1" si="178"/>
        <v>#N/A</v>
      </c>
      <c r="BA489" s="406" t="e">
        <f t="shared" ca="1" si="178"/>
        <v>#N/A</v>
      </c>
      <c r="BB489" s="408"/>
      <c r="BC489" s="408" t="str">
        <f t="shared" ca="1" si="171"/>
        <v/>
      </c>
      <c r="BD489" s="408" t="s">
        <v>1278</v>
      </c>
      <c r="BE489" s="408" t="s">
        <v>1278</v>
      </c>
    </row>
    <row r="490" spans="3:57" x14ac:dyDescent="0.25">
      <c r="C490" s="406">
        <f t="shared" si="172"/>
        <v>488</v>
      </c>
      <c r="D490" s="406" t="e">
        <f t="shared" ca="1" si="177"/>
        <v>#N/A</v>
      </c>
      <c r="E490" s="406" t="e">
        <f t="shared" ca="1" si="177"/>
        <v>#N/A</v>
      </c>
      <c r="F490" s="406" t="e">
        <f t="shared" ca="1" si="177"/>
        <v>#N/A</v>
      </c>
      <c r="G490" s="406" t="e">
        <f t="shared" ca="1" si="177"/>
        <v>#N/A</v>
      </c>
      <c r="H490" s="406" t="e">
        <f t="shared" ca="1" si="177"/>
        <v>#N/A</v>
      </c>
      <c r="I490" s="406" t="e">
        <f t="shared" ca="1" si="177"/>
        <v>#N/A</v>
      </c>
      <c r="J490" s="406" t="e">
        <f t="shared" ca="1" si="177"/>
        <v>#N/A</v>
      </c>
      <c r="K490" s="406" t="e">
        <f t="shared" ca="1" si="177"/>
        <v>#N/A</v>
      </c>
      <c r="L490" s="406" t="e">
        <f t="shared" ca="1" si="177"/>
        <v>#N/A</v>
      </c>
      <c r="M490" s="406" t="e">
        <f t="shared" ca="1" si="177"/>
        <v>#N/A</v>
      </c>
      <c r="N490" s="406" t="e">
        <f t="shared" ca="1" si="175"/>
        <v>#N/A</v>
      </c>
      <c r="O490" s="406" t="e">
        <f t="shared" ca="1" si="175"/>
        <v>#N/A</v>
      </c>
      <c r="P490" s="406" t="e">
        <f t="shared" ca="1" si="175"/>
        <v>#N/A</v>
      </c>
      <c r="Q490" s="406" t="e">
        <f t="shared" ca="1" si="175"/>
        <v>#N/A</v>
      </c>
      <c r="R490" s="406" t="e">
        <f t="shared" ca="1" si="175"/>
        <v>#N/A</v>
      </c>
      <c r="S490" s="406" t="e">
        <f t="shared" ca="1" si="175"/>
        <v>#N/A</v>
      </c>
      <c r="T490" s="406" t="e">
        <f t="shared" ca="1" si="175"/>
        <v>#N/A</v>
      </c>
      <c r="U490" s="406" t="e">
        <f t="shared" ca="1" si="175"/>
        <v>#N/A</v>
      </c>
      <c r="V490" s="406" t="e">
        <f t="shared" ca="1" si="175"/>
        <v>#N/A</v>
      </c>
      <c r="W490" s="406" t="e">
        <f t="shared" ca="1" si="175"/>
        <v>#N/A</v>
      </c>
      <c r="X490" s="406" t="e">
        <f t="shared" ca="1" si="174"/>
        <v>#N/A</v>
      </c>
      <c r="Y490" s="406" t="e">
        <f t="shared" ca="1" si="174"/>
        <v>#N/A</v>
      </c>
      <c r="Z490" s="406" t="e">
        <f t="shared" ca="1" si="174"/>
        <v>#N/A</v>
      </c>
      <c r="AA490" s="406" t="e">
        <f t="shared" ca="1" si="174"/>
        <v>#N/A</v>
      </c>
      <c r="AB490" s="406" t="e">
        <f t="shared" ca="1" si="174"/>
        <v>#N/A</v>
      </c>
      <c r="AC490" s="406" t="e">
        <f t="shared" ca="1" si="174"/>
        <v>#N/A</v>
      </c>
      <c r="AD490" s="406" t="e">
        <f t="shared" ca="1" si="174"/>
        <v>#N/A</v>
      </c>
      <c r="AE490" s="406" t="e">
        <f t="shared" ca="1" si="174"/>
        <v>#N/A</v>
      </c>
      <c r="AF490" s="406" t="e">
        <f t="shared" ca="1" si="174"/>
        <v>#N/A</v>
      </c>
      <c r="AG490" s="406" t="e">
        <f t="shared" ca="1" si="174"/>
        <v>#N/A</v>
      </c>
      <c r="AH490" s="406" t="e">
        <f t="shared" ca="1" si="176"/>
        <v>#N/A</v>
      </c>
      <c r="AI490" s="406" t="e">
        <f t="shared" ca="1" si="176"/>
        <v>#N/A</v>
      </c>
      <c r="AJ490" s="406" t="e">
        <f t="shared" ca="1" si="176"/>
        <v>#N/A</v>
      </c>
      <c r="AK490" s="406" t="e">
        <f t="shared" ca="1" si="176"/>
        <v>#N/A</v>
      </c>
      <c r="AL490" s="406" t="e">
        <f t="shared" ca="1" si="176"/>
        <v>#N/A</v>
      </c>
      <c r="AM490" s="406" t="e">
        <f t="shared" ca="1" si="176"/>
        <v>#N/A</v>
      </c>
      <c r="AN490" s="406" t="e">
        <f t="shared" ca="1" si="176"/>
        <v>#N/A</v>
      </c>
      <c r="AO490" s="406" t="e">
        <f t="shared" ca="1" si="176"/>
        <v>#N/A</v>
      </c>
      <c r="AP490" s="406" t="e">
        <f t="shared" ca="1" si="176"/>
        <v>#N/A</v>
      </c>
      <c r="AQ490" s="406" t="e">
        <f t="shared" ca="1" si="176"/>
        <v>#N/A</v>
      </c>
      <c r="AR490" s="406" t="e">
        <f t="shared" ca="1" si="178"/>
        <v>#N/A</v>
      </c>
      <c r="AS490" s="406" t="e">
        <f t="shared" ca="1" si="178"/>
        <v>#N/A</v>
      </c>
      <c r="AT490" s="406" t="e">
        <f t="shared" ca="1" si="178"/>
        <v>#N/A</v>
      </c>
      <c r="AU490" s="406" t="e">
        <f t="shared" ca="1" si="178"/>
        <v>#N/A</v>
      </c>
      <c r="AV490" s="406" t="e">
        <f t="shared" ca="1" si="178"/>
        <v>#N/A</v>
      </c>
      <c r="AW490" s="406" t="e">
        <f t="shared" ca="1" si="178"/>
        <v>#N/A</v>
      </c>
      <c r="AX490" s="406" t="e">
        <f t="shared" ca="1" si="178"/>
        <v>#N/A</v>
      </c>
      <c r="AY490" s="406" t="e">
        <f t="shared" ca="1" si="178"/>
        <v>#N/A</v>
      </c>
      <c r="AZ490" s="406" t="e">
        <f t="shared" ca="1" si="178"/>
        <v>#N/A</v>
      </c>
      <c r="BA490" s="406" t="e">
        <f t="shared" ca="1" si="178"/>
        <v>#N/A</v>
      </c>
      <c r="BB490" s="408"/>
      <c r="BC490" s="408" t="str">
        <f t="shared" ca="1" si="171"/>
        <v/>
      </c>
      <c r="BD490" s="408" t="s">
        <v>1278</v>
      </c>
      <c r="BE490" s="408" t="s">
        <v>1278</v>
      </c>
    </row>
    <row r="491" spans="3:57" x14ac:dyDescent="0.25">
      <c r="C491" s="406">
        <f t="shared" si="172"/>
        <v>489</v>
      </c>
      <c r="D491" s="406" t="e">
        <f t="shared" ca="1" si="177"/>
        <v>#N/A</v>
      </c>
      <c r="E491" s="406" t="e">
        <f t="shared" ca="1" si="177"/>
        <v>#N/A</v>
      </c>
      <c r="F491" s="406" t="e">
        <f t="shared" ca="1" si="177"/>
        <v>#N/A</v>
      </c>
      <c r="G491" s="406" t="e">
        <f t="shared" ca="1" si="177"/>
        <v>#N/A</v>
      </c>
      <c r="H491" s="406" t="e">
        <f t="shared" ca="1" si="177"/>
        <v>#N/A</v>
      </c>
      <c r="I491" s="406" t="e">
        <f t="shared" ca="1" si="177"/>
        <v>#N/A</v>
      </c>
      <c r="J491" s="406" t="e">
        <f t="shared" ca="1" si="177"/>
        <v>#N/A</v>
      </c>
      <c r="K491" s="406" t="e">
        <f t="shared" ca="1" si="177"/>
        <v>#N/A</v>
      </c>
      <c r="L491" s="406" t="e">
        <f t="shared" ca="1" si="177"/>
        <v>#N/A</v>
      </c>
      <c r="M491" s="406" t="e">
        <f t="shared" ca="1" si="177"/>
        <v>#N/A</v>
      </c>
      <c r="N491" s="406" t="e">
        <f t="shared" ca="1" si="175"/>
        <v>#N/A</v>
      </c>
      <c r="O491" s="406" t="e">
        <f t="shared" ca="1" si="175"/>
        <v>#N/A</v>
      </c>
      <c r="P491" s="406" t="e">
        <f t="shared" ca="1" si="175"/>
        <v>#N/A</v>
      </c>
      <c r="Q491" s="406" t="e">
        <f t="shared" ca="1" si="175"/>
        <v>#N/A</v>
      </c>
      <c r="R491" s="406" t="e">
        <f t="shared" ca="1" si="175"/>
        <v>#N/A</v>
      </c>
      <c r="S491" s="406" t="e">
        <f t="shared" ca="1" si="175"/>
        <v>#N/A</v>
      </c>
      <c r="T491" s="406" t="e">
        <f t="shared" ca="1" si="175"/>
        <v>#N/A</v>
      </c>
      <c r="U491" s="406" t="e">
        <f t="shared" ca="1" si="175"/>
        <v>#N/A</v>
      </c>
      <c r="V491" s="406" t="e">
        <f t="shared" ca="1" si="175"/>
        <v>#N/A</v>
      </c>
      <c r="W491" s="406" t="e">
        <f t="shared" ca="1" si="175"/>
        <v>#N/A</v>
      </c>
      <c r="X491" s="406" t="e">
        <f t="shared" ca="1" si="174"/>
        <v>#N/A</v>
      </c>
      <c r="Y491" s="406" t="e">
        <f t="shared" ca="1" si="174"/>
        <v>#N/A</v>
      </c>
      <c r="Z491" s="406" t="e">
        <f t="shared" ca="1" si="174"/>
        <v>#N/A</v>
      </c>
      <c r="AA491" s="406" t="e">
        <f t="shared" ca="1" si="174"/>
        <v>#N/A</v>
      </c>
      <c r="AB491" s="406" t="e">
        <f t="shared" ca="1" si="174"/>
        <v>#N/A</v>
      </c>
      <c r="AC491" s="406" t="e">
        <f t="shared" ca="1" si="174"/>
        <v>#N/A</v>
      </c>
      <c r="AD491" s="406" t="e">
        <f t="shared" ca="1" si="174"/>
        <v>#N/A</v>
      </c>
      <c r="AE491" s="406" t="e">
        <f t="shared" ca="1" si="174"/>
        <v>#N/A</v>
      </c>
      <c r="AF491" s="406" t="e">
        <f t="shared" ca="1" si="174"/>
        <v>#N/A</v>
      </c>
      <c r="AG491" s="406" t="e">
        <f t="shared" ca="1" si="174"/>
        <v>#N/A</v>
      </c>
      <c r="AH491" s="406" t="e">
        <f t="shared" ca="1" si="176"/>
        <v>#N/A</v>
      </c>
      <c r="AI491" s="406" t="e">
        <f t="shared" ca="1" si="176"/>
        <v>#N/A</v>
      </c>
      <c r="AJ491" s="406" t="e">
        <f t="shared" ca="1" si="176"/>
        <v>#N/A</v>
      </c>
      <c r="AK491" s="406" t="e">
        <f t="shared" ca="1" si="176"/>
        <v>#N/A</v>
      </c>
      <c r="AL491" s="406" t="e">
        <f t="shared" ca="1" si="176"/>
        <v>#N/A</v>
      </c>
      <c r="AM491" s="406" t="e">
        <f t="shared" ca="1" si="176"/>
        <v>#N/A</v>
      </c>
      <c r="AN491" s="406" t="e">
        <f t="shared" ca="1" si="176"/>
        <v>#N/A</v>
      </c>
      <c r="AO491" s="406" t="e">
        <f t="shared" ca="1" si="176"/>
        <v>#N/A</v>
      </c>
      <c r="AP491" s="406" t="e">
        <f t="shared" ca="1" si="176"/>
        <v>#N/A</v>
      </c>
      <c r="AQ491" s="406" t="e">
        <f t="shared" ca="1" si="176"/>
        <v>#N/A</v>
      </c>
      <c r="AR491" s="406" t="e">
        <f t="shared" ca="1" si="178"/>
        <v>#N/A</v>
      </c>
      <c r="AS491" s="406" t="e">
        <f t="shared" ca="1" si="178"/>
        <v>#N/A</v>
      </c>
      <c r="AT491" s="406" t="e">
        <f t="shared" ca="1" si="178"/>
        <v>#N/A</v>
      </c>
      <c r="AU491" s="406" t="e">
        <f t="shared" ca="1" si="178"/>
        <v>#N/A</v>
      </c>
      <c r="AV491" s="406" t="e">
        <f t="shared" ca="1" si="178"/>
        <v>#N/A</v>
      </c>
      <c r="AW491" s="406" t="e">
        <f t="shared" ca="1" si="178"/>
        <v>#N/A</v>
      </c>
      <c r="AX491" s="406" t="e">
        <f t="shared" ca="1" si="178"/>
        <v>#N/A</v>
      </c>
      <c r="AY491" s="406" t="e">
        <f t="shared" ca="1" si="178"/>
        <v>#N/A</v>
      </c>
      <c r="AZ491" s="406" t="e">
        <f t="shared" ca="1" si="178"/>
        <v>#N/A</v>
      </c>
      <c r="BA491" s="406" t="e">
        <f t="shared" ca="1" si="178"/>
        <v>#N/A</v>
      </c>
      <c r="BB491" s="408"/>
      <c r="BC491" s="408" t="str">
        <f t="shared" ca="1" si="171"/>
        <v/>
      </c>
      <c r="BD491" s="408" t="s">
        <v>1278</v>
      </c>
      <c r="BE491" s="408" t="s">
        <v>1278</v>
      </c>
    </row>
    <row r="492" spans="3:57" x14ac:dyDescent="0.25">
      <c r="C492" s="406">
        <f t="shared" si="172"/>
        <v>490</v>
      </c>
      <c r="D492" s="406" t="e">
        <f t="shared" ca="1" si="177"/>
        <v>#N/A</v>
      </c>
      <c r="E492" s="406" t="e">
        <f t="shared" ca="1" si="177"/>
        <v>#N/A</v>
      </c>
      <c r="F492" s="406" t="e">
        <f t="shared" ca="1" si="177"/>
        <v>#N/A</v>
      </c>
      <c r="G492" s="406" t="e">
        <f t="shared" ca="1" si="177"/>
        <v>#N/A</v>
      </c>
      <c r="H492" s="406" t="e">
        <f t="shared" ca="1" si="177"/>
        <v>#N/A</v>
      </c>
      <c r="I492" s="406" t="e">
        <f t="shared" ca="1" si="177"/>
        <v>#N/A</v>
      </c>
      <c r="J492" s="406" t="e">
        <f t="shared" ca="1" si="177"/>
        <v>#N/A</v>
      </c>
      <c r="K492" s="406" t="e">
        <f t="shared" ca="1" si="177"/>
        <v>#N/A</v>
      </c>
      <c r="L492" s="406" t="e">
        <f t="shared" ca="1" si="177"/>
        <v>#N/A</v>
      </c>
      <c r="M492" s="406" t="e">
        <f t="shared" ca="1" si="177"/>
        <v>#N/A</v>
      </c>
      <c r="N492" s="406" t="e">
        <f t="shared" ca="1" si="175"/>
        <v>#N/A</v>
      </c>
      <c r="O492" s="406" t="e">
        <f t="shared" ca="1" si="175"/>
        <v>#N/A</v>
      </c>
      <c r="P492" s="406" t="e">
        <f t="shared" ca="1" si="175"/>
        <v>#N/A</v>
      </c>
      <c r="Q492" s="406" t="e">
        <f t="shared" ca="1" si="175"/>
        <v>#N/A</v>
      </c>
      <c r="R492" s="406" t="e">
        <f t="shared" ca="1" si="175"/>
        <v>#N/A</v>
      </c>
      <c r="S492" s="406" t="e">
        <f t="shared" ca="1" si="175"/>
        <v>#N/A</v>
      </c>
      <c r="T492" s="406" t="e">
        <f t="shared" ca="1" si="175"/>
        <v>#N/A</v>
      </c>
      <c r="U492" s="406" t="e">
        <f t="shared" ca="1" si="175"/>
        <v>#N/A</v>
      </c>
      <c r="V492" s="406" t="e">
        <f t="shared" ca="1" si="175"/>
        <v>#N/A</v>
      </c>
      <c r="W492" s="406" t="e">
        <f t="shared" ca="1" si="175"/>
        <v>#N/A</v>
      </c>
      <c r="X492" s="406" t="e">
        <f t="shared" ca="1" si="174"/>
        <v>#N/A</v>
      </c>
      <c r="Y492" s="406" t="e">
        <f t="shared" ca="1" si="174"/>
        <v>#N/A</v>
      </c>
      <c r="Z492" s="406" t="e">
        <f t="shared" ca="1" si="174"/>
        <v>#N/A</v>
      </c>
      <c r="AA492" s="406" t="e">
        <f t="shared" ca="1" si="174"/>
        <v>#N/A</v>
      </c>
      <c r="AB492" s="406" t="e">
        <f t="shared" ca="1" si="174"/>
        <v>#N/A</v>
      </c>
      <c r="AC492" s="406" t="e">
        <f t="shared" ca="1" si="174"/>
        <v>#N/A</v>
      </c>
      <c r="AD492" s="406" t="e">
        <f t="shared" ca="1" si="174"/>
        <v>#N/A</v>
      </c>
      <c r="AE492" s="406" t="e">
        <f t="shared" ca="1" si="174"/>
        <v>#N/A</v>
      </c>
      <c r="AF492" s="406" t="e">
        <f t="shared" ca="1" si="174"/>
        <v>#N/A</v>
      </c>
      <c r="AG492" s="406" t="e">
        <f t="shared" ca="1" si="174"/>
        <v>#N/A</v>
      </c>
      <c r="AH492" s="406" t="e">
        <f t="shared" ca="1" si="176"/>
        <v>#N/A</v>
      </c>
      <c r="AI492" s="406" t="e">
        <f t="shared" ca="1" si="176"/>
        <v>#N/A</v>
      </c>
      <c r="AJ492" s="406" t="e">
        <f t="shared" ca="1" si="176"/>
        <v>#N/A</v>
      </c>
      <c r="AK492" s="406" t="e">
        <f t="shared" ca="1" si="176"/>
        <v>#N/A</v>
      </c>
      <c r="AL492" s="406" t="e">
        <f t="shared" ca="1" si="176"/>
        <v>#N/A</v>
      </c>
      <c r="AM492" s="406" t="e">
        <f t="shared" ca="1" si="176"/>
        <v>#N/A</v>
      </c>
      <c r="AN492" s="406" t="e">
        <f t="shared" ca="1" si="176"/>
        <v>#N/A</v>
      </c>
      <c r="AO492" s="406" t="e">
        <f t="shared" ca="1" si="176"/>
        <v>#N/A</v>
      </c>
      <c r="AP492" s="406" t="e">
        <f t="shared" ca="1" si="176"/>
        <v>#N/A</v>
      </c>
      <c r="AQ492" s="406" t="e">
        <f t="shared" ca="1" si="176"/>
        <v>#N/A</v>
      </c>
      <c r="AR492" s="406" t="e">
        <f t="shared" ca="1" si="178"/>
        <v>#N/A</v>
      </c>
      <c r="AS492" s="406" t="e">
        <f t="shared" ca="1" si="178"/>
        <v>#N/A</v>
      </c>
      <c r="AT492" s="406" t="e">
        <f t="shared" ca="1" si="178"/>
        <v>#N/A</v>
      </c>
      <c r="AU492" s="406" t="e">
        <f t="shared" ca="1" si="178"/>
        <v>#N/A</v>
      </c>
      <c r="AV492" s="406" t="e">
        <f t="shared" ca="1" si="178"/>
        <v>#N/A</v>
      </c>
      <c r="AW492" s="406" t="e">
        <f t="shared" ca="1" si="178"/>
        <v>#N/A</v>
      </c>
      <c r="AX492" s="406" t="e">
        <f t="shared" ca="1" si="178"/>
        <v>#N/A</v>
      </c>
      <c r="AY492" s="406" t="e">
        <f t="shared" ca="1" si="178"/>
        <v>#N/A</v>
      </c>
      <c r="AZ492" s="406" t="e">
        <f t="shared" ca="1" si="178"/>
        <v>#N/A</v>
      </c>
      <c r="BA492" s="406" t="e">
        <f t="shared" ca="1" si="178"/>
        <v>#N/A</v>
      </c>
      <c r="BB492" s="408"/>
      <c r="BC492" s="408" t="str">
        <f t="shared" ca="1" si="171"/>
        <v/>
      </c>
      <c r="BD492" s="408" t="s">
        <v>1278</v>
      </c>
      <c r="BE492" s="408" t="s">
        <v>1278</v>
      </c>
    </row>
    <row r="493" spans="3:57" x14ac:dyDescent="0.25">
      <c r="C493" s="406">
        <f t="shared" si="172"/>
        <v>491</v>
      </c>
      <c r="D493" s="406" t="e">
        <f t="shared" ca="1" si="177"/>
        <v>#N/A</v>
      </c>
      <c r="E493" s="406" t="e">
        <f t="shared" ca="1" si="177"/>
        <v>#N/A</v>
      </c>
      <c r="F493" s="406" t="e">
        <f t="shared" ca="1" si="177"/>
        <v>#N/A</v>
      </c>
      <c r="G493" s="406" t="e">
        <f t="shared" ca="1" si="177"/>
        <v>#N/A</v>
      </c>
      <c r="H493" s="406" t="e">
        <f t="shared" ca="1" si="177"/>
        <v>#N/A</v>
      </c>
      <c r="I493" s="406" t="e">
        <f t="shared" ca="1" si="177"/>
        <v>#N/A</v>
      </c>
      <c r="J493" s="406" t="e">
        <f t="shared" ca="1" si="177"/>
        <v>#N/A</v>
      </c>
      <c r="K493" s="406" t="e">
        <f t="shared" ca="1" si="177"/>
        <v>#N/A</v>
      </c>
      <c r="L493" s="406" t="e">
        <f t="shared" ca="1" si="177"/>
        <v>#N/A</v>
      </c>
      <c r="M493" s="406" t="e">
        <f t="shared" ca="1" si="177"/>
        <v>#N/A</v>
      </c>
      <c r="N493" s="406" t="e">
        <f t="shared" ca="1" si="175"/>
        <v>#N/A</v>
      </c>
      <c r="O493" s="406" t="e">
        <f t="shared" ca="1" si="175"/>
        <v>#N/A</v>
      </c>
      <c r="P493" s="406" t="e">
        <f t="shared" ca="1" si="175"/>
        <v>#N/A</v>
      </c>
      <c r="Q493" s="406" t="e">
        <f t="shared" ca="1" si="175"/>
        <v>#N/A</v>
      </c>
      <c r="R493" s="406" t="e">
        <f t="shared" ca="1" si="175"/>
        <v>#N/A</v>
      </c>
      <c r="S493" s="406" t="e">
        <f t="shared" ca="1" si="175"/>
        <v>#N/A</v>
      </c>
      <c r="T493" s="406" t="e">
        <f t="shared" ca="1" si="175"/>
        <v>#N/A</v>
      </c>
      <c r="U493" s="406" t="e">
        <f t="shared" ca="1" si="175"/>
        <v>#N/A</v>
      </c>
      <c r="V493" s="406" t="e">
        <f t="shared" ca="1" si="175"/>
        <v>#N/A</v>
      </c>
      <c r="W493" s="406" t="e">
        <f t="shared" ca="1" si="175"/>
        <v>#N/A</v>
      </c>
      <c r="X493" s="406" t="e">
        <f t="shared" ca="1" si="174"/>
        <v>#N/A</v>
      </c>
      <c r="Y493" s="406" t="e">
        <f t="shared" ref="X493:AG502" ca="1" si="179">TRIM(INDIRECT("'" &amp; "TNX RTF" &amp; "'!" &amp; ADDRESS($A$3+$C493,Y$1)))</f>
        <v>#N/A</v>
      </c>
      <c r="Z493" s="406" t="e">
        <f t="shared" ca="1" si="179"/>
        <v>#N/A</v>
      </c>
      <c r="AA493" s="406" t="e">
        <f t="shared" ca="1" si="179"/>
        <v>#N/A</v>
      </c>
      <c r="AB493" s="406" t="e">
        <f t="shared" ca="1" si="179"/>
        <v>#N/A</v>
      </c>
      <c r="AC493" s="406" t="e">
        <f t="shared" ca="1" si="179"/>
        <v>#N/A</v>
      </c>
      <c r="AD493" s="406" t="e">
        <f t="shared" ca="1" si="179"/>
        <v>#N/A</v>
      </c>
      <c r="AE493" s="406" t="e">
        <f t="shared" ca="1" si="179"/>
        <v>#N/A</v>
      </c>
      <c r="AF493" s="406" t="e">
        <f t="shared" ca="1" si="179"/>
        <v>#N/A</v>
      </c>
      <c r="AG493" s="406" t="e">
        <f t="shared" ca="1" si="179"/>
        <v>#N/A</v>
      </c>
      <c r="AH493" s="406" t="e">
        <f t="shared" ca="1" si="176"/>
        <v>#N/A</v>
      </c>
      <c r="AI493" s="406" t="e">
        <f t="shared" ca="1" si="176"/>
        <v>#N/A</v>
      </c>
      <c r="AJ493" s="406" t="e">
        <f t="shared" ca="1" si="176"/>
        <v>#N/A</v>
      </c>
      <c r="AK493" s="406" t="e">
        <f t="shared" ca="1" si="176"/>
        <v>#N/A</v>
      </c>
      <c r="AL493" s="406" t="e">
        <f t="shared" ca="1" si="176"/>
        <v>#N/A</v>
      </c>
      <c r="AM493" s="406" t="e">
        <f t="shared" ca="1" si="176"/>
        <v>#N/A</v>
      </c>
      <c r="AN493" s="406" t="e">
        <f t="shared" ca="1" si="176"/>
        <v>#N/A</v>
      </c>
      <c r="AO493" s="406" t="e">
        <f t="shared" ca="1" si="176"/>
        <v>#N/A</v>
      </c>
      <c r="AP493" s="406" t="e">
        <f t="shared" ca="1" si="176"/>
        <v>#N/A</v>
      </c>
      <c r="AQ493" s="406" t="e">
        <f t="shared" ca="1" si="176"/>
        <v>#N/A</v>
      </c>
      <c r="AR493" s="406" t="e">
        <f t="shared" ca="1" si="178"/>
        <v>#N/A</v>
      </c>
      <c r="AS493" s="406" t="e">
        <f t="shared" ca="1" si="178"/>
        <v>#N/A</v>
      </c>
      <c r="AT493" s="406" t="e">
        <f t="shared" ca="1" si="178"/>
        <v>#N/A</v>
      </c>
      <c r="AU493" s="406" t="e">
        <f t="shared" ca="1" si="178"/>
        <v>#N/A</v>
      </c>
      <c r="AV493" s="406" t="e">
        <f t="shared" ca="1" si="178"/>
        <v>#N/A</v>
      </c>
      <c r="AW493" s="406" t="e">
        <f t="shared" ca="1" si="178"/>
        <v>#N/A</v>
      </c>
      <c r="AX493" s="406" t="e">
        <f t="shared" ca="1" si="178"/>
        <v>#N/A</v>
      </c>
      <c r="AY493" s="406" t="e">
        <f t="shared" ca="1" si="178"/>
        <v>#N/A</v>
      </c>
      <c r="AZ493" s="406" t="e">
        <f t="shared" ca="1" si="178"/>
        <v>#N/A</v>
      </c>
      <c r="BA493" s="406" t="e">
        <f t="shared" ca="1" si="178"/>
        <v>#N/A</v>
      </c>
      <c r="BB493" s="408"/>
      <c r="BC493" s="408" t="str">
        <f t="shared" ca="1" si="171"/>
        <v/>
      </c>
      <c r="BD493" s="408" t="s">
        <v>1278</v>
      </c>
      <c r="BE493" s="408" t="s">
        <v>1278</v>
      </c>
    </row>
    <row r="494" spans="3:57" x14ac:dyDescent="0.25">
      <c r="C494" s="406">
        <f t="shared" si="172"/>
        <v>492</v>
      </c>
      <c r="D494" s="406" t="e">
        <f t="shared" ca="1" si="177"/>
        <v>#N/A</v>
      </c>
      <c r="E494" s="406" t="e">
        <f t="shared" ca="1" si="177"/>
        <v>#N/A</v>
      </c>
      <c r="F494" s="406" t="e">
        <f t="shared" ca="1" si="177"/>
        <v>#N/A</v>
      </c>
      <c r="G494" s="406" t="e">
        <f t="shared" ca="1" si="177"/>
        <v>#N/A</v>
      </c>
      <c r="H494" s="406" t="e">
        <f t="shared" ca="1" si="177"/>
        <v>#N/A</v>
      </c>
      <c r="I494" s="406" t="e">
        <f t="shared" ca="1" si="177"/>
        <v>#N/A</v>
      </c>
      <c r="J494" s="406" t="e">
        <f t="shared" ca="1" si="177"/>
        <v>#N/A</v>
      </c>
      <c r="K494" s="406" t="e">
        <f t="shared" ca="1" si="177"/>
        <v>#N/A</v>
      </c>
      <c r="L494" s="406" t="e">
        <f t="shared" ca="1" si="177"/>
        <v>#N/A</v>
      </c>
      <c r="M494" s="406" t="e">
        <f t="shared" ca="1" si="177"/>
        <v>#N/A</v>
      </c>
      <c r="N494" s="406" t="e">
        <f t="shared" ca="1" si="175"/>
        <v>#N/A</v>
      </c>
      <c r="O494" s="406" t="e">
        <f t="shared" ca="1" si="175"/>
        <v>#N/A</v>
      </c>
      <c r="P494" s="406" t="e">
        <f t="shared" ca="1" si="175"/>
        <v>#N/A</v>
      </c>
      <c r="Q494" s="406" t="e">
        <f t="shared" ca="1" si="175"/>
        <v>#N/A</v>
      </c>
      <c r="R494" s="406" t="e">
        <f t="shared" ca="1" si="175"/>
        <v>#N/A</v>
      </c>
      <c r="S494" s="406" t="e">
        <f t="shared" ca="1" si="175"/>
        <v>#N/A</v>
      </c>
      <c r="T494" s="406" t="e">
        <f t="shared" ca="1" si="175"/>
        <v>#N/A</v>
      </c>
      <c r="U494" s="406" t="e">
        <f t="shared" ca="1" si="175"/>
        <v>#N/A</v>
      </c>
      <c r="V494" s="406" t="e">
        <f t="shared" ca="1" si="175"/>
        <v>#N/A</v>
      </c>
      <c r="W494" s="406" t="e">
        <f t="shared" ca="1" si="175"/>
        <v>#N/A</v>
      </c>
      <c r="X494" s="406" t="e">
        <f t="shared" ca="1" si="179"/>
        <v>#N/A</v>
      </c>
      <c r="Y494" s="406" t="e">
        <f t="shared" ca="1" si="179"/>
        <v>#N/A</v>
      </c>
      <c r="Z494" s="406" t="e">
        <f t="shared" ca="1" si="179"/>
        <v>#N/A</v>
      </c>
      <c r="AA494" s="406" t="e">
        <f t="shared" ca="1" si="179"/>
        <v>#N/A</v>
      </c>
      <c r="AB494" s="406" t="e">
        <f t="shared" ca="1" si="179"/>
        <v>#N/A</v>
      </c>
      <c r="AC494" s="406" t="e">
        <f t="shared" ca="1" si="179"/>
        <v>#N/A</v>
      </c>
      <c r="AD494" s="406" t="e">
        <f t="shared" ca="1" si="179"/>
        <v>#N/A</v>
      </c>
      <c r="AE494" s="406" t="e">
        <f t="shared" ca="1" si="179"/>
        <v>#N/A</v>
      </c>
      <c r="AF494" s="406" t="e">
        <f t="shared" ca="1" si="179"/>
        <v>#N/A</v>
      </c>
      <c r="AG494" s="406" t="e">
        <f t="shared" ca="1" si="179"/>
        <v>#N/A</v>
      </c>
      <c r="AH494" s="406" t="e">
        <f t="shared" ca="1" si="176"/>
        <v>#N/A</v>
      </c>
      <c r="AI494" s="406" t="e">
        <f t="shared" ca="1" si="176"/>
        <v>#N/A</v>
      </c>
      <c r="AJ494" s="406" t="e">
        <f t="shared" ca="1" si="176"/>
        <v>#N/A</v>
      </c>
      <c r="AK494" s="406" t="e">
        <f t="shared" ca="1" si="176"/>
        <v>#N/A</v>
      </c>
      <c r="AL494" s="406" t="e">
        <f t="shared" ca="1" si="176"/>
        <v>#N/A</v>
      </c>
      <c r="AM494" s="406" t="e">
        <f t="shared" ca="1" si="176"/>
        <v>#N/A</v>
      </c>
      <c r="AN494" s="406" t="e">
        <f t="shared" ca="1" si="176"/>
        <v>#N/A</v>
      </c>
      <c r="AO494" s="406" t="e">
        <f t="shared" ca="1" si="176"/>
        <v>#N/A</v>
      </c>
      <c r="AP494" s="406" t="e">
        <f t="shared" ca="1" si="176"/>
        <v>#N/A</v>
      </c>
      <c r="AQ494" s="406" t="e">
        <f t="shared" ca="1" si="176"/>
        <v>#N/A</v>
      </c>
      <c r="AR494" s="406" t="e">
        <f t="shared" ca="1" si="178"/>
        <v>#N/A</v>
      </c>
      <c r="AS494" s="406" t="e">
        <f t="shared" ca="1" si="178"/>
        <v>#N/A</v>
      </c>
      <c r="AT494" s="406" t="e">
        <f t="shared" ca="1" si="178"/>
        <v>#N/A</v>
      </c>
      <c r="AU494" s="406" t="e">
        <f t="shared" ca="1" si="178"/>
        <v>#N/A</v>
      </c>
      <c r="AV494" s="406" t="e">
        <f t="shared" ca="1" si="178"/>
        <v>#N/A</v>
      </c>
      <c r="AW494" s="406" t="e">
        <f t="shared" ca="1" si="178"/>
        <v>#N/A</v>
      </c>
      <c r="AX494" s="406" t="e">
        <f t="shared" ca="1" si="178"/>
        <v>#N/A</v>
      </c>
      <c r="AY494" s="406" t="e">
        <f t="shared" ca="1" si="178"/>
        <v>#N/A</v>
      </c>
      <c r="AZ494" s="406" t="e">
        <f t="shared" ca="1" si="178"/>
        <v>#N/A</v>
      </c>
      <c r="BA494" s="406" t="e">
        <f t="shared" ca="1" si="178"/>
        <v>#N/A</v>
      </c>
      <c r="BB494" s="408"/>
      <c r="BC494" s="408" t="str">
        <f t="shared" ca="1" si="171"/>
        <v/>
      </c>
      <c r="BD494" s="408" t="s">
        <v>1278</v>
      </c>
      <c r="BE494" s="408" t="s">
        <v>1278</v>
      </c>
    </row>
    <row r="495" spans="3:57" x14ac:dyDescent="0.25">
      <c r="C495" s="406">
        <f t="shared" si="172"/>
        <v>493</v>
      </c>
      <c r="D495" s="406" t="e">
        <f t="shared" ca="1" si="177"/>
        <v>#N/A</v>
      </c>
      <c r="E495" s="406" t="e">
        <f t="shared" ca="1" si="177"/>
        <v>#N/A</v>
      </c>
      <c r="F495" s="406" t="e">
        <f t="shared" ca="1" si="177"/>
        <v>#N/A</v>
      </c>
      <c r="G495" s="406" t="e">
        <f t="shared" ca="1" si="177"/>
        <v>#N/A</v>
      </c>
      <c r="H495" s="406" t="e">
        <f t="shared" ca="1" si="177"/>
        <v>#N/A</v>
      </c>
      <c r="I495" s="406" t="e">
        <f t="shared" ca="1" si="177"/>
        <v>#N/A</v>
      </c>
      <c r="J495" s="406" t="e">
        <f t="shared" ca="1" si="177"/>
        <v>#N/A</v>
      </c>
      <c r="K495" s="406" t="e">
        <f t="shared" ca="1" si="177"/>
        <v>#N/A</v>
      </c>
      <c r="L495" s="406" t="e">
        <f t="shared" ca="1" si="177"/>
        <v>#N/A</v>
      </c>
      <c r="M495" s="406" t="e">
        <f t="shared" ca="1" si="177"/>
        <v>#N/A</v>
      </c>
      <c r="N495" s="406" t="e">
        <f t="shared" ca="1" si="175"/>
        <v>#N/A</v>
      </c>
      <c r="O495" s="406" t="e">
        <f t="shared" ca="1" si="175"/>
        <v>#N/A</v>
      </c>
      <c r="P495" s="406" t="e">
        <f t="shared" ca="1" si="175"/>
        <v>#N/A</v>
      </c>
      <c r="Q495" s="406" t="e">
        <f t="shared" ca="1" si="175"/>
        <v>#N/A</v>
      </c>
      <c r="R495" s="406" t="e">
        <f t="shared" ca="1" si="175"/>
        <v>#N/A</v>
      </c>
      <c r="S495" s="406" t="e">
        <f t="shared" ca="1" si="175"/>
        <v>#N/A</v>
      </c>
      <c r="T495" s="406" t="e">
        <f t="shared" ca="1" si="175"/>
        <v>#N/A</v>
      </c>
      <c r="U495" s="406" t="e">
        <f t="shared" ca="1" si="175"/>
        <v>#N/A</v>
      </c>
      <c r="V495" s="406" t="e">
        <f t="shared" ca="1" si="175"/>
        <v>#N/A</v>
      </c>
      <c r="W495" s="406" t="e">
        <f t="shared" ca="1" si="175"/>
        <v>#N/A</v>
      </c>
      <c r="X495" s="406" t="e">
        <f t="shared" ca="1" si="179"/>
        <v>#N/A</v>
      </c>
      <c r="Y495" s="406" t="e">
        <f t="shared" ca="1" si="179"/>
        <v>#N/A</v>
      </c>
      <c r="Z495" s="406" t="e">
        <f t="shared" ca="1" si="179"/>
        <v>#N/A</v>
      </c>
      <c r="AA495" s="406" t="e">
        <f t="shared" ca="1" si="179"/>
        <v>#N/A</v>
      </c>
      <c r="AB495" s="406" t="e">
        <f t="shared" ca="1" si="179"/>
        <v>#N/A</v>
      </c>
      <c r="AC495" s="406" t="e">
        <f t="shared" ca="1" si="179"/>
        <v>#N/A</v>
      </c>
      <c r="AD495" s="406" t="e">
        <f t="shared" ca="1" si="179"/>
        <v>#N/A</v>
      </c>
      <c r="AE495" s="406" t="e">
        <f t="shared" ca="1" si="179"/>
        <v>#N/A</v>
      </c>
      <c r="AF495" s="406" t="e">
        <f t="shared" ca="1" si="179"/>
        <v>#N/A</v>
      </c>
      <c r="AG495" s="406" t="e">
        <f t="shared" ca="1" si="179"/>
        <v>#N/A</v>
      </c>
      <c r="AH495" s="406" t="e">
        <f t="shared" ca="1" si="176"/>
        <v>#N/A</v>
      </c>
      <c r="AI495" s="406" t="e">
        <f t="shared" ca="1" si="176"/>
        <v>#N/A</v>
      </c>
      <c r="AJ495" s="406" t="e">
        <f t="shared" ca="1" si="176"/>
        <v>#N/A</v>
      </c>
      <c r="AK495" s="406" t="e">
        <f t="shared" ca="1" si="176"/>
        <v>#N/A</v>
      </c>
      <c r="AL495" s="406" t="e">
        <f t="shared" ca="1" si="176"/>
        <v>#N/A</v>
      </c>
      <c r="AM495" s="406" t="e">
        <f t="shared" ca="1" si="176"/>
        <v>#N/A</v>
      </c>
      <c r="AN495" s="406" t="e">
        <f t="shared" ca="1" si="176"/>
        <v>#N/A</v>
      </c>
      <c r="AO495" s="406" t="e">
        <f t="shared" ca="1" si="176"/>
        <v>#N/A</v>
      </c>
      <c r="AP495" s="406" t="e">
        <f t="shared" ca="1" si="176"/>
        <v>#N/A</v>
      </c>
      <c r="AQ495" s="406" t="e">
        <f t="shared" ca="1" si="176"/>
        <v>#N/A</v>
      </c>
      <c r="AR495" s="406" t="e">
        <f t="shared" ca="1" si="178"/>
        <v>#N/A</v>
      </c>
      <c r="AS495" s="406" t="e">
        <f t="shared" ca="1" si="178"/>
        <v>#N/A</v>
      </c>
      <c r="AT495" s="406" t="e">
        <f t="shared" ca="1" si="178"/>
        <v>#N/A</v>
      </c>
      <c r="AU495" s="406" t="e">
        <f t="shared" ca="1" si="178"/>
        <v>#N/A</v>
      </c>
      <c r="AV495" s="406" t="e">
        <f t="shared" ca="1" si="178"/>
        <v>#N/A</v>
      </c>
      <c r="AW495" s="406" t="e">
        <f t="shared" ca="1" si="178"/>
        <v>#N/A</v>
      </c>
      <c r="AX495" s="406" t="e">
        <f t="shared" ca="1" si="178"/>
        <v>#N/A</v>
      </c>
      <c r="AY495" s="406" t="e">
        <f t="shared" ca="1" si="178"/>
        <v>#N/A</v>
      </c>
      <c r="AZ495" s="406" t="e">
        <f t="shared" ca="1" si="178"/>
        <v>#N/A</v>
      </c>
      <c r="BA495" s="406" t="e">
        <f t="shared" ca="1" si="178"/>
        <v>#N/A</v>
      </c>
      <c r="BB495" s="408"/>
      <c r="BC495" s="408" t="str">
        <f t="shared" ca="1" si="171"/>
        <v/>
      </c>
      <c r="BD495" s="408" t="s">
        <v>1278</v>
      </c>
      <c r="BE495" s="408" t="s">
        <v>1278</v>
      </c>
    </row>
    <row r="496" spans="3:57" x14ac:dyDescent="0.25">
      <c r="C496" s="406">
        <f t="shared" si="172"/>
        <v>494</v>
      </c>
      <c r="D496" s="406" t="e">
        <f t="shared" ca="1" si="177"/>
        <v>#N/A</v>
      </c>
      <c r="E496" s="406" t="e">
        <f t="shared" ca="1" si="177"/>
        <v>#N/A</v>
      </c>
      <c r="F496" s="406" t="e">
        <f t="shared" ca="1" si="177"/>
        <v>#N/A</v>
      </c>
      <c r="G496" s="406" t="e">
        <f t="shared" ca="1" si="177"/>
        <v>#N/A</v>
      </c>
      <c r="H496" s="406" t="e">
        <f t="shared" ca="1" si="177"/>
        <v>#N/A</v>
      </c>
      <c r="I496" s="406" t="e">
        <f t="shared" ca="1" si="177"/>
        <v>#N/A</v>
      </c>
      <c r="J496" s="406" t="e">
        <f t="shared" ca="1" si="177"/>
        <v>#N/A</v>
      </c>
      <c r="K496" s="406" t="e">
        <f t="shared" ca="1" si="177"/>
        <v>#N/A</v>
      </c>
      <c r="L496" s="406" t="e">
        <f t="shared" ca="1" si="177"/>
        <v>#N/A</v>
      </c>
      <c r="M496" s="406" t="e">
        <f t="shared" ca="1" si="177"/>
        <v>#N/A</v>
      </c>
      <c r="N496" s="406" t="e">
        <f t="shared" ca="1" si="175"/>
        <v>#N/A</v>
      </c>
      <c r="O496" s="406" t="e">
        <f t="shared" ca="1" si="175"/>
        <v>#N/A</v>
      </c>
      <c r="P496" s="406" t="e">
        <f t="shared" ca="1" si="175"/>
        <v>#N/A</v>
      </c>
      <c r="Q496" s="406" t="e">
        <f t="shared" ca="1" si="175"/>
        <v>#N/A</v>
      </c>
      <c r="R496" s="406" t="e">
        <f t="shared" ca="1" si="175"/>
        <v>#N/A</v>
      </c>
      <c r="S496" s="406" t="e">
        <f t="shared" ca="1" si="175"/>
        <v>#N/A</v>
      </c>
      <c r="T496" s="406" t="e">
        <f t="shared" ca="1" si="175"/>
        <v>#N/A</v>
      </c>
      <c r="U496" s="406" t="e">
        <f t="shared" ca="1" si="175"/>
        <v>#N/A</v>
      </c>
      <c r="V496" s="406" t="e">
        <f t="shared" ca="1" si="175"/>
        <v>#N/A</v>
      </c>
      <c r="W496" s="406" t="e">
        <f t="shared" ca="1" si="175"/>
        <v>#N/A</v>
      </c>
      <c r="X496" s="406" t="e">
        <f t="shared" ca="1" si="179"/>
        <v>#N/A</v>
      </c>
      <c r="Y496" s="406" t="e">
        <f t="shared" ca="1" si="179"/>
        <v>#N/A</v>
      </c>
      <c r="Z496" s="406" t="e">
        <f t="shared" ca="1" si="179"/>
        <v>#N/A</v>
      </c>
      <c r="AA496" s="406" t="e">
        <f t="shared" ca="1" si="179"/>
        <v>#N/A</v>
      </c>
      <c r="AB496" s="406" t="e">
        <f t="shared" ca="1" si="179"/>
        <v>#N/A</v>
      </c>
      <c r="AC496" s="406" t="e">
        <f t="shared" ca="1" si="179"/>
        <v>#N/A</v>
      </c>
      <c r="AD496" s="406" t="e">
        <f t="shared" ca="1" si="179"/>
        <v>#N/A</v>
      </c>
      <c r="AE496" s="406" t="e">
        <f t="shared" ca="1" si="179"/>
        <v>#N/A</v>
      </c>
      <c r="AF496" s="406" t="e">
        <f t="shared" ca="1" si="179"/>
        <v>#N/A</v>
      </c>
      <c r="AG496" s="406" t="e">
        <f t="shared" ca="1" si="179"/>
        <v>#N/A</v>
      </c>
      <c r="AH496" s="406" t="e">
        <f t="shared" ca="1" si="176"/>
        <v>#N/A</v>
      </c>
      <c r="AI496" s="406" t="e">
        <f t="shared" ca="1" si="176"/>
        <v>#N/A</v>
      </c>
      <c r="AJ496" s="406" t="e">
        <f t="shared" ca="1" si="176"/>
        <v>#N/A</v>
      </c>
      <c r="AK496" s="406" t="e">
        <f t="shared" ca="1" si="176"/>
        <v>#N/A</v>
      </c>
      <c r="AL496" s="406" t="e">
        <f t="shared" ca="1" si="176"/>
        <v>#N/A</v>
      </c>
      <c r="AM496" s="406" t="e">
        <f t="shared" ca="1" si="176"/>
        <v>#N/A</v>
      </c>
      <c r="AN496" s="406" t="e">
        <f t="shared" ca="1" si="176"/>
        <v>#N/A</v>
      </c>
      <c r="AO496" s="406" t="e">
        <f t="shared" ca="1" si="176"/>
        <v>#N/A</v>
      </c>
      <c r="AP496" s="406" t="e">
        <f t="shared" ca="1" si="176"/>
        <v>#N/A</v>
      </c>
      <c r="AQ496" s="406" t="e">
        <f t="shared" ca="1" si="176"/>
        <v>#N/A</v>
      </c>
      <c r="AR496" s="406" t="e">
        <f t="shared" ca="1" si="178"/>
        <v>#N/A</v>
      </c>
      <c r="AS496" s="406" t="e">
        <f t="shared" ca="1" si="178"/>
        <v>#N/A</v>
      </c>
      <c r="AT496" s="406" t="e">
        <f t="shared" ca="1" si="178"/>
        <v>#N/A</v>
      </c>
      <c r="AU496" s="406" t="e">
        <f t="shared" ca="1" si="178"/>
        <v>#N/A</v>
      </c>
      <c r="AV496" s="406" t="e">
        <f t="shared" ca="1" si="178"/>
        <v>#N/A</v>
      </c>
      <c r="AW496" s="406" t="e">
        <f t="shared" ca="1" si="178"/>
        <v>#N/A</v>
      </c>
      <c r="AX496" s="406" t="e">
        <f t="shared" ca="1" si="178"/>
        <v>#N/A</v>
      </c>
      <c r="AY496" s="406" t="e">
        <f t="shared" ca="1" si="178"/>
        <v>#N/A</v>
      </c>
      <c r="AZ496" s="406" t="e">
        <f t="shared" ca="1" si="178"/>
        <v>#N/A</v>
      </c>
      <c r="BA496" s="406" t="e">
        <f t="shared" ca="1" si="178"/>
        <v>#N/A</v>
      </c>
      <c r="BB496" s="408"/>
      <c r="BC496" s="408" t="str">
        <f t="shared" ca="1" si="171"/>
        <v/>
      </c>
      <c r="BD496" s="408" t="s">
        <v>1278</v>
      </c>
      <c r="BE496" s="408" t="s">
        <v>1278</v>
      </c>
    </row>
    <row r="497" spans="3:57" x14ac:dyDescent="0.25">
      <c r="C497" s="406">
        <f t="shared" si="172"/>
        <v>495</v>
      </c>
      <c r="D497" s="406" t="e">
        <f t="shared" ca="1" si="177"/>
        <v>#N/A</v>
      </c>
      <c r="E497" s="406" t="e">
        <f t="shared" ca="1" si="177"/>
        <v>#N/A</v>
      </c>
      <c r="F497" s="406" t="e">
        <f t="shared" ca="1" si="177"/>
        <v>#N/A</v>
      </c>
      <c r="G497" s="406" t="e">
        <f t="shared" ca="1" si="177"/>
        <v>#N/A</v>
      </c>
      <c r="H497" s="406" t="e">
        <f t="shared" ca="1" si="177"/>
        <v>#N/A</v>
      </c>
      <c r="I497" s="406" t="e">
        <f t="shared" ca="1" si="177"/>
        <v>#N/A</v>
      </c>
      <c r="J497" s="406" t="e">
        <f t="shared" ca="1" si="177"/>
        <v>#N/A</v>
      </c>
      <c r="K497" s="406" t="e">
        <f t="shared" ca="1" si="177"/>
        <v>#N/A</v>
      </c>
      <c r="L497" s="406" t="e">
        <f t="shared" ca="1" si="177"/>
        <v>#N/A</v>
      </c>
      <c r="M497" s="406" t="e">
        <f t="shared" ca="1" si="177"/>
        <v>#N/A</v>
      </c>
      <c r="N497" s="406" t="e">
        <f t="shared" ca="1" si="175"/>
        <v>#N/A</v>
      </c>
      <c r="O497" s="406" t="e">
        <f t="shared" ca="1" si="175"/>
        <v>#N/A</v>
      </c>
      <c r="P497" s="406" t="e">
        <f t="shared" ca="1" si="175"/>
        <v>#N/A</v>
      </c>
      <c r="Q497" s="406" t="e">
        <f t="shared" ca="1" si="175"/>
        <v>#N/A</v>
      </c>
      <c r="R497" s="406" t="e">
        <f t="shared" ca="1" si="175"/>
        <v>#N/A</v>
      </c>
      <c r="S497" s="406" t="e">
        <f t="shared" ca="1" si="175"/>
        <v>#N/A</v>
      </c>
      <c r="T497" s="406" t="e">
        <f t="shared" ca="1" si="175"/>
        <v>#N/A</v>
      </c>
      <c r="U497" s="406" t="e">
        <f t="shared" ca="1" si="175"/>
        <v>#N/A</v>
      </c>
      <c r="V497" s="406" t="e">
        <f t="shared" ca="1" si="175"/>
        <v>#N/A</v>
      </c>
      <c r="W497" s="406" t="e">
        <f t="shared" ca="1" si="175"/>
        <v>#N/A</v>
      </c>
      <c r="X497" s="406" t="e">
        <f t="shared" ca="1" si="179"/>
        <v>#N/A</v>
      </c>
      <c r="Y497" s="406" t="e">
        <f t="shared" ca="1" si="179"/>
        <v>#N/A</v>
      </c>
      <c r="Z497" s="406" t="e">
        <f t="shared" ca="1" si="179"/>
        <v>#N/A</v>
      </c>
      <c r="AA497" s="406" t="e">
        <f t="shared" ca="1" si="179"/>
        <v>#N/A</v>
      </c>
      <c r="AB497" s="406" t="e">
        <f t="shared" ca="1" si="179"/>
        <v>#N/A</v>
      </c>
      <c r="AC497" s="406" t="e">
        <f t="shared" ca="1" si="179"/>
        <v>#N/A</v>
      </c>
      <c r="AD497" s="406" t="e">
        <f t="shared" ca="1" si="179"/>
        <v>#N/A</v>
      </c>
      <c r="AE497" s="406" t="e">
        <f t="shared" ca="1" si="179"/>
        <v>#N/A</v>
      </c>
      <c r="AF497" s="406" t="e">
        <f t="shared" ca="1" si="179"/>
        <v>#N/A</v>
      </c>
      <c r="AG497" s="406" t="e">
        <f t="shared" ca="1" si="179"/>
        <v>#N/A</v>
      </c>
      <c r="AH497" s="406" t="e">
        <f t="shared" ca="1" si="176"/>
        <v>#N/A</v>
      </c>
      <c r="AI497" s="406" t="e">
        <f t="shared" ca="1" si="176"/>
        <v>#N/A</v>
      </c>
      <c r="AJ497" s="406" t="e">
        <f t="shared" ca="1" si="176"/>
        <v>#N/A</v>
      </c>
      <c r="AK497" s="406" t="e">
        <f t="shared" ca="1" si="176"/>
        <v>#N/A</v>
      </c>
      <c r="AL497" s="406" t="e">
        <f t="shared" ca="1" si="176"/>
        <v>#N/A</v>
      </c>
      <c r="AM497" s="406" t="e">
        <f t="shared" ca="1" si="176"/>
        <v>#N/A</v>
      </c>
      <c r="AN497" s="406" t="e">
        <f t="shared" ca="1" si="176"/>
        <v>#N/A</v>
      </c>
      <c r="AO497" s="406" t="e">
        <f t="shared" ca="1" si="176"/>
        <v>#N/A</v>
      </c>
      <c r="AP497" s="406" t="e">
        <f t="shared" ca="1" si="176"/>
        <v>#N/A</v>
      </c>
      <c r="AQ497" s="406" t="e">
        <f t="shared" ca="1" si="176"/>
        <v>#N/A</v>
      </c>
      <c r="AR497" s="406" t="e">
        <f t="shared" ca="1" si="178"/>
        <v>#N/A</v>
      </c>
      <c r="AS497" s="406" t="e">
        <f t="shared" ca="1" si="178"/>
        <v>#N/A</v>
      </c>
      <c r="AT497" s="406" t="e">
        <f t="shared" ca="1" si="178"/>
        <v>#N/A</v>
      </c>
      <c r="AU497" s="406" t="e">
        <f t="shared" ca="1" si="178"/>
        <v>#N/A</v>
      </c>
      <c r="AV497" s="406" t="e">
        <f t="shared" ca="1" si="178"/>
        <v>#N/A</v>
      </c>
      <c r="AW497" s="406" t="e">
        <f t="shared" ca="1" si="178"/>
        <v>#N/A</v>
      </c>
      <c r="AX497" s="406" t="e">
        <f t="shared" ca="1" si="178"/>
        <v>#N/A</v>
      </c>
      <c r="AY497" s="406" t="e">
        <f t="shared" ca="1" si="178"/>
        <v>#N/A</v>
      </c>
      <c r="AZ497" s="406" t="e">
        <f t="shared" ca="1" si="178"/>
        <v>#N/A</v>
      </c>
      <c r="BA497" s="406" t="e">
        <f t="shared" ca="1" si="178"/>
        <v>#N/A</v>
      </c>
      <c r="BB497" s="408"/>
      <c r="BC497" s="408" t="str">
        <f t="shared" ca="1" si="171"/>
        <v/>
      </c>
      <c r="BD497" s="408" t="s">
        <v>1278</v>
      </c>
      <c r="BE497" s="408" t="s">
        <v>1278</v>
      </c>
    </row>
    <row r="498" spans="3:57" x14ac:dyDescent="0.25">
      <c r="C498" s="406">
        <f t="shared" si="172"/>
        <v>496</v>
      </c>
      <c r="D498" s="406" t="e">
        <f t="shared" ca="1" si="177"/>
        <v>#N/A</v>
      </c>
      <c r="E498" s="406" t="e">
        <f t="shared" ca="1" si="177"/>
        <v>#N/A</v>
      </c>
      <c r="F498" s="406" t="e">
        <f t="shared" ca="1" si="177"/>
        <v>#N/A</v>
      </c>
      <c r="G498" s="406" t="e">
        <f t="shared" ca="1" si="177"/>
        <v>#N/A</v>
      </c>
      <c r="H498" s="406" t="e">
        <f t="shared" ca="1" si="177"/>
        <v>#N/A</v>
      </c>
      <c r="I498" s="406" t="e">
        <f t="shared" ca="1" si="177"/>
        <v>#N/A</v>
      </c>
      <c r="J498" s="406" t="e">
        <f t="shared" ca="1" si="177"/>
        <v>#N/A</v>
      </c>
      <c r="K498" s="406" t="e">
        <f t="shared" ca="1" si="177"/>
        <v>#N/A</v>
      </c>
      <c r="L498" s="406" t="e">
        <f t="shared" ca="1" si="177"/>
        <v>#N/A</v>
      </c>
      <c r="M498" s="406" t="e">
        <f t="shared" ca="1" si="177"/>
        <v>#N/A</v>
      </c>
      <c r="N498" s="406" t="e">
        <f t="shared" ca="1" si="175"/>
        <v>#N/A</v>
      </c>
      <c r="O498" s="406" t="e">
        <f t="shared" ca="1" si="175"/>
        <v>#N/A</v>
      </c>
      <c r="P498" s="406" t="e">
        <f t="shared" ca="1" si="175"/>
        <v>#N/A</v>
      </c>
      <c r="Q498" s="406" t="e">
        <f t="shared" ca="1" si="175"/>
        <v>#N/A</v>
      </c>
      <c r="R498" s="406" t="e">
        <f t="shared" ca="1" si="175"/>
        <v>#N/A</v>
      </c>
      <c r="S498" s="406" t="e">
        <f t="shared" ca="1" si="175"/>
        <v>#N/A</v>
      </c>
      <c r="T498" s="406" t="e">
        <f t="shared" ca="1" si="175"/>
        <v>#N/A</v>
      </c>
      <c r="U498" s="406" t="e">
        <f t="shared" ca="1" si="175"/>
        <v>#N/A</v>
      </c>
      <c r="V498" s="406" t="e">
        <f t="shared" ca="1" si="175"/>
        <v>#N/A</v>
      </c>
      <c r="W498" s="406" t="e">
        <f t="shared" ca="1" si="175"/>
        <v>#N/A</v>
      </c>
      <c r="X498" s="406" t="e">
        <f t="shared" ca="1" si="179"/>
        <v>#N/A</v>
      </c>
      <c r="Y498" s="406" t="e">
        <f t="shared" ca="1" si="179"/>
        <v>#N/A</v>
      </c>
      <c r="Z498" s="406" t="e">
        <f t="shared" ca="1" si="179"/>
        <v>#N/A</v>
      </c>
      <c r="AA498" s="406" t="e">
        <f t="shared" ca="1" si="179"/>
        <v>#N/A</v>
      </c>
      <c r="AB498" s="406" t="e">
        <f t="shared" ca="1" si="179"/>
        <v>#N/A</v>
      </c>
      <c r="AC498" s="406" t="e">
        <f t="shared" ca="1" si="179"/>
        <v>#N/A</v>
      </c>
      <c r="AD498" s="406" t="e">
        <f t="shared" ca="1" si="179"/>
        <v>#N/A</v>
      </c>
      <c r="AE498" s="406" t="e">
        <f t="shared" ca="1" si="179"/>
        <v>#N/A</v>
      </c>
      <c r="AF498" s="406" t="e">
        <f t="shared" ca="1" si="179"/>
        <v>#N/A</v>
      </c>
      <c r="AG498" s="406" t="e">
        <f t="shared" ca="1" si="179"/>
        <v>#N/A</v>
      </c>
      <c r="AH498" s="406" t="e">
        <f t="shared" ca="1" si="176"/>
        <v>#N/A</v>
      </c>
      <c r="AI498" s="406" t="e">
        <f t="shared" ca="1" si="176"/>
        <v>#N/A</v>
      </c>
      <c r="AJ498" s="406" t="e">
        <f t="shared" ca="1" si="176"/>
        <v>#N/A</v>
      </c>
      <c r="AK498" s="406" t="e">
        <f t="shared" ca="1" si="176"/>
        <v>#N/A</v>
      </c>
      <c r="AL498" s="406" t="e">
        <f t="shared" ca="1" si="176"/>
        <v>#N/A</v>
      </c>
      <c r="AM498" s="406" t="e">
        <f t="shared" ca="1" si="176"/>
        <v>#N/A</v>
      </c>
      <c r="AN498" s="406" t="e">
        <f t="shared" ca="1" si="176"/>
        <v>#N/A</v>
      </c>
      <c r="AO498" s="406" t="e">
        <f t="shared" ca="1" si="176"/>
        <v>#N/A</v>
      </c>
      <c r="AP498" s="406" t="e">
        <f t="shared" ca="1" si="176"/>
        <v>#N/A</v>
      </c>
      <c r="AQ498" s="406" t="e">
        <f t="shared" ca="1" si="176"/>
        <v>#N/A</v>
      </c>
      <c r="AR498" s="406" t="e">
        <f t="shared" ca="1" si="178"/>
        <v>#N/A</v>
      </c>
      <c r="AS498" s="406" t="e">
        <f t="shared" ca="1" si="178"/>
        <v>#N/A</v>
      </c>
      <c r="AT498" s="406" t="e">
        <f t="shared" ca="1" si="178"/>
        <v>#N/A</v>
      </c>
      <c r="AU498" s="406" t="e">
        <f t="shared" ca="1" si="178"/>
        <v>#N/A</v>
      </c>
      <c r="AV498" s="406" t="e">
        <f t="shared" ca="1" si="178"/>
        <v>#N/A</v>
      </c>
      <c r="AW498" s="406" t="e">
        <f t="shared" ca="1" si="178"/>
        <v>#N/A</v>
      </c>
      <c r="AX498" s="406" t="e">
        <f t="shared" ca="1" si="178"/>
        <v>#N/A</v>
      </c>
      <c r="AY498" s="406" t="e">
        <f t="shared" ca="1" si="178"/>
        <v>#N/A</v>
      </c>
      <c r="AZ498" s="406" t="e">
        <f t="shared" ca="1" si="178"/>
        <v>#N/A</v>
      </c>
      <c r="BA498" s="406" t="e">
        <f t="shared" ca="1" si="178"/>
        <v>#N/A</v>
      </c>
      <c r="BB498" s="408"/>
      <c r="BC498" s="408" t="str">
        <f t="shared" ca="1" si="171"/>
        <v/>
      </c>
      <c r="BD498" s="408" t="s">
        <v>1278</v>
      </c>
      <c r="BE498" s="408" t="s">
        <v>1278</v>
      </c>
    </row>
    <row r="499" spans="3:57" x14ac:dyDescent="0.25">
      <c r="C499" s="406">
        <f t="shared" si="172"/>
        <v>497</v>
      </c>
      <c r="D499" s="406" t="e">
        <f t="shared" ca="1" si="177"/>
        <v>#N/A</v>
      </c>
      <c r="E499" s="406" t="e">
        <f t="shared" ca="1" si="177"/>
        <v>#N/A</v>
      </c>
      <c r="F499" s="406" t="e">
        <f t="shared" ca="1" si="177"/>
        <v>#N/A</v>
      </c>
      <c r="G499" s="406" t="e">
        <f t="shared" ca="1" si="177"/>
        <v>#N/A</v>
      </c>
      <c r="H499" s="406" t="e">
        <f t="shared" ca="1" si="177"/>
        <v>#N/A</v>
      </c>
      <c r="I499" s="406" t="e">
        <f t="shared" ca="1" si="177"/>
        <v>#N/A</v>
      </c>
      <c r="J499" s="406" t="e">
        <f t="shared" ca="1" si="177"/>
        <v>#N/A</v>
      </c>
      <c r="K499" s="406" t="e">
        <f t="shared" ca="1" si="177"/>
        <v>#N/A</v>
      </c>
      <c r="L499" s="406" t="e">
        <f t="shared" ca="1" si="177"/>
        <v>#N/A</v>
      </c>
      <c r="M499" s="406" t="e">
        <f t="shared" ca="1" si="177"/>
        <v>#N/A</v>
      </c>
      <c r="N499" s="406" t="e">
        <f t="shared" ca="1" si="175"/>
        <v>#N/A</v>
      </c>
      <c r="O499" s="406" t="e">
        <f t="shared" ca="1" si="175"/>
        <v>#N/A</v>
      </c>
      <c r="P499" s="406" t="e">
        <f t="shared" ca="1" si="175"/>
        <v>#N/A</v>
      </c>
      <c r="Q499" s="406" t="e">
        <f t="shared" ca="1" si="175"/>
        <v>#N/A</v>
      </c>
      <c r="R499" s="406" t="e">
        <f t="shared" ca="1" si="175"/>
        <v>#N/A</v>
      </c>
      <c r="S499" s="406" t="e">
        <f t="shared" ca="1" si="175"/>
        <v>#N/A</v>
      </c>
      <c r="T499" s="406" t="e">
        <f t="shared" ca="1" si="175"/>
        <v>#N/A</v>
      </c>
      <c r="U499" s="406" t="e">
        <f t="shared" ca="1" si="175"/>
        <v>#N/A</v>
      </c>
      <c r="V499" s="406" t="e">
        <f t="shared" ca="1" si="175"/>
        <v>#N/A</v>
      </c>
      <c r="W499" s="406" t="e">
        <f t="shared" ref="N499:W502" ca="1" si="180">TRIM(INDIRECT("'" &amp; "TNX RTF" &amp; "'!" &amp; ADDRESS($A$3+$C499,W$1)))</f>
        <v>#N/A</v>
      </c>
      <c r="X499" s="406" t="e">
        <f t="shared" ca="1" si="179"/>
        <v>#N/A</v>
      </c>
      <c r="Y499" s="406" t="e">
        <f t="shared" ca="1" si="179"/>
        <v>#N/A</v>
      </c>
      <c r="Z499" s="406" t="e">
        <f t="shared" ca="1" si="179"/>
        <v>#N/A</v>
      </c>
      <c r="AA499" s="406" t="e">
        <f t="shared" ca="1" si="179"/>
        <v>#N/A</v>
      </c>
      <c r="AB499" s="406" t="e">
        <f t="shared" ca="1" si="179"/>
        <v>#N/A</v>
      </c>
      <c r="AC499" s="406" t="e">
        <f t="shared" ca="1" si="179"/>
        <v>#N/A</v>
      </c>
      <c r="AD499" s="406" t="e">
        <f t="shared" ca="1" si="179"/>
        <v>#N/A</v>
      </c>
      <c r="AE499" s="406" t="e">
        <f t="shared" ca="1" si="179"/>
        <v>#N/A</v>
      </c>
      <c r="AF499" s="406" t="e">
        <f t="shared" ca="1" si="179"/>
        <v>#N/A</v>
      </c>
      <c r="AG499" s="406" t="e">
        <f t="shared" ca="1" si="179"/>
        <v>#N/A</v>
      </c>
      <c r="AH499" s="406" t="e">
        <f t="shared" ca="1" si="176"/>
        <v>#N/A</v>
      </c>
      <c r="AI499" s="406" t="e">
        <f t="shared" ca="1" si="176"/>
        <v>#N/A</v>
      </c>
      <c r="AJ499" s="406" t="e">
        <f t="shared" ca="1" si="176"/>
        <v>#N/A</v>
      </c>
      <c r="AK499" s="406" t="e">
        <f t="shared" ca="1" si="176"/>
        <v>#N/A</v>
      </c>
      <c r="AL499" s="406" t="e">
        <f t="shared" ca="1" si="176"/>
        <v>#N/A</v>
      </c>
      <c r="AM499" s="406" t="e">
        <f t="shared" ca="1" si="176"/>
        <v>#N/A</v>
      </c>
      <c r="AN499" s="406" t="e">
        <f t="shared" ca="1" si="176"/>
        <v>#N/A</v>
      </c>
      <c r="AO499" s="406" t="e">
        <f t="shared" ca="1" si="176"/>
        <v>#N/A</v>
      </c>
      <c r="AP499" s="406" t="e">
        <f t="shared" ref="AH499:AQ502" ca="1" si="181">TRIM(INDIRECT("'" &amp; "TNX RTF" &amp; "'!" &amp; ADDRESS($A$3+$C499,AP$1)))</f>
        <v>#N/A</v>
      </c>
      <c r="AQ499" s="406" t="e">
        <f t="shared" ca="1" si="181"/>
        <v>#N/A</v>
      </c>
      <c r="AR499" s="406" t="e">
        <f t="shared" ca="1" si="178"/>
        <v>#N/A</v>
      </c>
      <c r="AS499" s="406" t="e">
        <f t="shared" ca="1" si="178"/>
        <v>#N/A</v>
      </c>
      <c r="AT499" s="406" t="e">
        <f t="shared" ca="1" si="178"/>
        <v>#N/A</v>
      </c>
      <c r="AU499" s="406" t="e">
        <f t="shared" ca="1" si="178"/>
        <v>#N/A</v>
      </c>
      <c r="AV499" s="406" t="e">
        <f t="shared" ca="1" si="178"/>
        <v>#N/A</v>
      </c>
      <c r="AW499" s="406" t="e">
        <f t="shared" ca="1" si="178"/>
        <v>#N/A</v>
      </c>
      <c r="AX499" s="406" t="e">
        <f t="shared" ca="1" si="178"/>
        <v>#N/A</v>
      </c>
      <c r="AY499" s="406" t="e">
        <f t="shared" ca="1" si="178"/>
        <v>#N/A</v>
      </c>
      <c r="AZ499" s="406" t="e">
        <f t="shared" ca="1" si="178"/>
        <v>#N/A</v>
      </c>
      <c r="BA499" s="406" t="e">
        <f t="shared" ca="1" si="178"/>
        <v>#N/A</v>
      </c>
      <c r="BB499" s="408"/>
      <c r="BC499" s="408" t="str">
        <f t="shared" ca="1" si="171"/>
        <v/>
      </c>
      <c r="BD499" s="408" t="s">
        <v>1278</v>
      </c>
      <c r="BE499" s="408" t="s">
        <v>1278</v>
      </c>
    </row>
    <row r="500" spans="3:57" x14ac:dyDescent="0.25">
      <c r="C500" s="406">
        <f t="shared" si="172"/>
        <v>498</v>
      </c>
      <c r="D500" s="406" t="e">
        <f t="shared" ca="1" si="177"/>
        <v>#N/A</v>
      </c>
      <c r="E500" s="406" t="e">
        <f t="shared" ca="1" si="177"/>
        <v>#N/A</v>
      </c>
      <c r="F500" s="406" t="e">
        <f t="shared" ca="1" si="177"/>
        <v>#N/A</v>
      </c>
      <c r="G500" s="406" t="e">
        <f t="shared" ca="1" si="177"/>
        <v>#N/A</v>
      </c>
      <c r="H500" s="406" t="e">
        <f t="shared" ca="1" si="177"/>
        <v>#N/A</v>
      </c>
      <c r="I500" s="406" t="e">
        <f t="shared" ca="1" si="177"/>
        <v>#N/A</v>
      </c>
      <c r="J500" s="406" t="e">
        <f t="shared" ca="1" si="177"/>
        <v>#N/A</v>
      </c>
      <c r="K500" s="406" t="e">
        <f t="shared" ca="1" si="177"/>
        <v>#N/A</v>
      </c>
      <c r="L500" s="406" t="e">
        <f t="shared" ca="1" si="177"/>
        <v>#N/A</v>
      </c>
      <c r="M500" s="406" t="e">
        <f t="shared" ca="1" si="177"/>
        <v>#N/A</v>
      </c>
      <c r="N500" s="406" t="e">
        <f t="shared" ca="1" si="180"/>
        <v>#N/A</v>
      </c>
      <c r="O500" s="406" t="e">
        <f t="shared" ca="1" si="180"/>
        <v>#N/A</v>
      </c>
      <c r="P500" s="406" t="e">
        <f t="shared" ca="1" si="180"/>
        <v>#N/A</v>
      </c>
      <c r="Q500" s="406" t="e">
        <f t="shared" ca="1" si="180"/>
        <v>#N/A</v>
      </c>
      <c r="R500" s="406" t="e">
        <f t="shared" ca="1" si="180"/>
        <v>#N/A</v>
      </c>
      <c r="S500" s="406" t="e">
        <f t="shared" ca="1" si="180"/>
        <v>#N/A</v>
      </c>
      <c r="T500" s="406" t="e">
        <f t="shared" ca="1" si="180"/>
        <v>#N/A</v>
      </c>
      <c r="U500" s="406" t="e">
        <f t="shared" ca="1" si="180"/>
        <v>#N/A</v>
      </c>
      <c r="V500" s="406" t="e">
        <f t="shared" ca="1" si="180"/>
        <v>#N/A</v>
      </c>
      <c r="W500" s="406" t="e">
        <f t="shared" ca="1" si="180"/>
        <v>#N/A</v>
      </c>
      <c r="X500" s="406" t="e">
        <f t="shared" ca="1" si="179"/>
        <v>#N/A</v>
      </c>
      <c r="Y500" s="406" t="e">
        <f t="shared" ca="1" si="179"/>
        <v>#N/A</v>
      </c>
      <c r="Z500" s="406" t="e">
        <f t="shared" ca="1" si="179"/>
        <v>#N/A</v>
      </c>
      <c r="AA500" s="406" t="e">
        <f t="shared" ca="1" si="179"/>
        <v>#N/A</v>
      </c>
      <c r="AB500" s="406" t="e">
        <f t="shared" ca="1" si="179"/>
        <v>#N/A</v>
      </c>
      <c r="AC500" s="406" t="e">
        <f t="shared" ca="1" si="179"/>
        <v>#N/A</v>
      </c>
      <c r="AD500" s="406" t="e">
        <f t="shared" ca="1" si="179"/>
        <v>#N/A</v>
      </c>
      <c r="AE500" s="406" t="e">
        <f t="shared" ca="1" si="179"/>
        <v>#N/A</v>
      </c>
      <c r="AF500" s="406" t="e">
        <f t="shared" ca="1" si="179"/>
        <v>#N/A</v>
      </c>
      <c r="AG500" s="406" t="e">
        <f t="shared" ca="1" si="179"/>
        <v>#N/A</v>
      </c>
      <c r="AH500" s="406" t="e">
        <f t="shared" ca="1" si="181"/>
        <v>#N/A</v>
      </c>
      <c r="AI500" s="406" t="e">
        <f t="shared" ca="1" si="181"/>
        <v>#N/A</v>
      </c>
      <c r="AJ500" s="406" t="e">
        <f t="shared" ca="1" si="181"/>
        <v>#N/A</v>
      </c>
      <c r="AK500" s="406" t="e">
        <f t="shared" ca="1" si="181"/>
        <v>#N/A</v>
      </c>
      <c r="AL500" s="406" t="e">
        <f t="shared" ca="1" si="181"/>
        <v>#N/A</v>
      </c>
      <c r="AM500" s="406" t="e">
        <f t="shared" ca="1" si="181"/>
        <v>#N/A</v>
      </c>
      <c r="AN500" s="406" t="e">
        <f t="shared" ca="1" si="181"/>
        <v>#N/A</v>
      </c>
      <c r="AO500" s="406" t="e">
        <f t="shared" ca="1" si="181"/>
        <v>#N/A</v>
      </c>
      <c r="AP500" s="406" t="e">
        <f t="shared" ca="1" si="181"/>
        <v>#N/A</v>
      </c>
      <c r="AQ500" s="406" t="e">
        <f t="shared" ca="1" si="181"/>
        <v>#N/A</v>
      </c>
      <c r="AR500" s="406" t="e">
        <f t="shared" ca="1" si="178"/>
        <v>#N/A</v>
      </c>
      <c r="AS500" s="406" t="e">
        <f t="shared" ca="1" si="178"/>
        <v>#N/A</v>
      </c>
      <c r="AT500" s="406" t="e">
        <f t="shared" ca="1" si="178"/>
        <v>#N/A</v>
      </c>
      <c r="AU500" s="406" t="e">
        <f t="shared" ca="1" si="178"/>
        <v>#N/A</v>
      </c>
      <c r="AV500" s="406" t="e">
        <f t="shared" ca="1" si="178"/>
        <v>#N/A</v>
      </c>
      <c r="AW500" s="406" t="e">
        <f t="shared" ca="1" si="178"/>
        <v>#N/A</v>
      </c>
      <c r="AX500" s="406" t="e">
        <f t="shared" ca="1" si="178"/>
        <v>#N/A</v>
      </c>
      <c r="AY500" s="406" t="e">
        <f t="shared" ca="1" si="178"/>
        <v>#N/A</v>
      </c>
      <c r="AZ500" s="406" t="e">
        <f t="shared" ca="1" si="178"/>
        <v>#N/A</v>
      </c>
      <c r="BA500" s="406" t="e">
        <f t="shared" ca="1" si="178"/>
        <v>#N/A</v>
      </c>
      <c r="BB500" s="408"/>
      <c r="BC500" s="408" t="str">
        <f t="shared" ca="1" si="171"/>
        <v/>
      </c>
      <c r="BD500" s="408" t="s">
        <v>1278</v>
      </c>
      <c r="BE500" s="408" t="s">
        <v>1278</v>
      </c>
    </row>
    <row r="501" spans="3:57" x14ac:dyDescent="0.25">
      <c r="C501" s="406">
        <f t="shared" si="172"/>
        <v>499</v>
      </c>
      <c r="D501" s="406" t="e">
        <f t="shared" ca="1" si="177"/>
        <v>#N/A</v>
      </c>
      <c r="E501" s="406" t="e">
        <f t="shared" ca="1" si="177"/>
        <v>#N/A</v>
      </c>
      <c r="F501" s="406" t="e">
        <f t="shared" ca="1" si="177"/>
        <v>#N/A</v>
      </c>
      <c r="G501" s="406" t="e">
        <f t="shared" ca="1" si="177"/>
        <v>#N/A</v>
      </c>
      <c r="H501" s="406" t="e">
        <f t="shared" ca="1" si="177"/>
        <v>#N/A</v>
      </c>
      <c r="I501" s="406" t="e">
        <f t="shared" ref="D501:M502" ca="1" si="182">TRIM(INDIRECT("'" &amp; "TNX RTF" &amp; "'!" &amp; ADDRESS($A$3+$C501,I$1)))</f>
        <v>#N/A</v>
      </c>
      <c r="J501" s="406" t="e">
        <f t="shared" ca="1" si="182"/>
        <v>#N/A</v>
      </c>
      <c r="K501" s="406" t="e">
        <f t="shared" ca="1" si="182"/>
        <v>#N/A</v>
      </c>
      <c r="L501" s="406" t="e">
        <f t="shared" ca="1" si="182"/>
        <v>#N/A</v>
      </c>
      <c r="M501" s="406" t="e">
        <f t="shared" ca="1" si="182"/>
        <v>#N/A</v>
      </c>
      <c r="N501" s="406" t="e">
        <f t="shared" ca="1" si="180"/>
        <v>#N/A</v>
      </c>
      <c r="O501" s="406" t="e">
        <f t="shared" ca="1" si="180"/>
        <v>#N/A</v>
      </c>
      <c r="P501" s="406" t="e">
        <f t="shared" ca="1" si="180"/>
        <v>#N/A</v>
      </c>
      <c r="Q501" s="406" t="e">
        <f t="shared" ca="1" si="180"/>
        <v>#N/A</v>
      </c>
      <c r="R501" s="406" t="e">
        <f t="shared" ca="1" si="180"/>
        <v>#N/A</v>
      </c>
      <c r="S501" s="406" t="e">
        <f t="shared" ca="1" si="180"/>
        <v>#N/A</v>
      </c>
      <c r="T501" s="406" t="e">
        <f t="shared" ca="1" si="180"/>
        <v>#N/A</v>
      </c>
      <c r="U501" s="406" t="e">
        <f t="shared" ca="1" si="180"/>
        <v>#N/A</v>
      </c>
      <c r="V501" s="406" t="e">
        <f t="shared" ca="1" si="180"/>
        <v>#N/A</v>
      </c>
      <c r="W501" s="406" t="e">
        <f t="shared" ca="1" si="180"/>
        <v>#N/A</v>
      </c>
      <c r="X501" s="406" t="e">
        <f t="shared" ca="1" si="179"/>
        <v>#N/A</v>
      </c>
      <c r="Y501" s="406" t="e">
        <f t="shared" ca="1" si="179"/>
        <v>#N/A</v>
      </c>
      <c r="Z501" s="406" t="e">
        <f t="shared" ca="1" si="179"/>
        <v>#N/A</v>
      </c>
      <c r="AA501" s="406" t="e">
        <f t="shared" ca="1" si="179"/>
        <v>#N/A</v>
      </c>
      <c r="AB501" s="406" t="e">
        <f t="shared" ca="1" si="179"/>
        <v>#N/A</v>
      </c>
      <c r="AC501" s="406" t="e">
        <f t="shared" ca="1" si="179"/>
        <v>#N/A</v>
      </c>
      <c r="AD501" s="406" t="e">
        <f t="shared" ca="1" si="179"/>
        <v>#N/A</v>
      </c>
      <c r="AE501" s="406" t="e">
        <f t="shared" ca="1" si="179"/>
        <v>#N/A</v>
      </c>
      <c r="AF501" s="406" t="e">
        <f t="shared" ca="1" si="179"/>
        <v>#N/A</v>
      </c>
      <c r="AG501" s="406" t="e">
        <f t="shared" ca="1" si="179"/>
        <v>#N/A</v>
      </c>
      <c r="AH501" s="406" t="e">
        <f t="shared" ca="1" si="181"/>
        <v>#N/A</v>
      </c>
      <c r="AI501" s="406" t="e">
        <f t="shared" ca="1" si="181"/>
        <v>#N/A</v>
      </c>
      <c r="AJ501" s="406" t="e">
        <f t="shared" ca="1" si="181"/>
        <v>#N/A</v>
      </c>
      <c r="AK501" s="406" t="e">
        <f t="shared" ca="1" si="181"/>
        <v>#N/A</v>
      </c>
      <c r="AL501" s="406" t="e">
        <f t="shared" ca="1" si="181"/>
        <v>#N/A</v>
      </c>
      <c r="AM501" s="406" t="e">
        <f t="shared" ca="1" si="181"/>
        <v>#N/A</v>
      </c>
      <c r="AN501" s="406" t="e">
        <f t="shared" ca="1" si="181"/>
        <v>#N/A</v>
      </c>
      <c r="AO501" s="406" t="e">
        <f t="shared" ca="1" si="181"/>
        <v>#N/A</v>
      </c>
      <c r="AP501" s="406" t="e">
        <f t="shared" ca="1" si="181"/>
        <v>#N/A</v>
      </c>
      <c r="AQ501" s="406" t="e">
        <f t="shared" ca="1" si="181"/>
        <v>#N/A</v>
      </c>
      <c r="AR501" s="406" t="e">
        <f t="shared" ca="1" si="178"/>
        <v>#N/A</v>
      </c>
      <c r="AS501" s="406" t="e">
        <f t="shared" ca="1" si="178"/>
        <v>#N/A</v>
      </c>
      <c r="AT501" s="406" t="e">
        <f t="shared" ca="1" si="178"/>
        <v>#N/A</v>
      </c>
      <c r="AU501" s="406" t="e">
        <f t="shared" ca="1" si="178"/>
        <v>#N/A</v>
      </c>
      <c r="AV501" s="406" t="e">
        <f t="shared" ca="1" si="178"/>
        <v>#N/A</v>
      </c>
      <c r="AW501" s="406" t="e">
        <f t="shared" ca="1" si="178"/>
        <v>#N/A</v>
      </c>
      <c r="AX501" s="406" t="e">
        <f t="shared" ca="1" si="178"/>
        <v>#N/A</v>
      </c>
      <c r="AY501" s="406" t="e">
        <f t="shared" ca="1" si="178"/>
        <v>#N/A</v>
      </c>
      <c r="AZ501" s="406" t="e">
        <f t="shared" ca="1" si="178"/>
        <v>#N/A</v>
      </c>
      <c r="BA501" s="406" t="e">
        <f t="shared" ca="1" si="178"/>
        <v>#N/A</v>
      </c>
      <c r="BB501" s="408"/>
      <c r="BC501" s="408" t="str">
        <f t="shared" ca="1" si="171"/>
        <v/>
      </c>
      <c r="BD501" s="408" t="s">
        <v>1278</v>
      </c>
      <c r="BE501" s="408" t="s">
        <v>1278</v>
      </c>
    </row>
    <row r="502" spans="3:57" x14ac:dyDescent="0.25">
      <c r="C502" s="406">
        <f t="shared" si="172"/>
        <v>500</v>
      </c>
      <c r="D502" s="406" t="e">
        <f t="shared" ca="1" si="182"/>
        <v>#N/A</v>
      </c>
      <c r="E502" s="406" t="e">
        <f t="shared" ca="1" si="182"/>
        <v>#N/A</v>
      </c>
      <c r="F502" s="406" t="e">
        <f t="shared" ca="1" si="182"/>
        <v>#N/A</v>
      </c>
      <c r="G502" s="406" t="e">
        <f t="shared" ca="1" si="182"/>
        <v>#N/A</v>
      </c>
      <c r="H502" s="406" t="e">
        <f t="shared" ca="1" si="182"/>
        <v>#N/A</v>
      </c>
      <c r="I502" s="406" t="e">
        <f t="shared" ca="1" si="182"/>
        <v>#N/A</v>
      </c>
      <c r="J502" s="406" t="e">
        <f t="shared" ca="1" si="182"/>
        <v>#N/A</v>
      </c>
      <c r="K502" s="406" t="e">
        <f t="shared" ca="1" si="182"/>
        <v>#N/A</v>
      </c>
      <c r="L502" s="406" t="e">
        <f t="shared" ca="1" si="182"/>
        <v>#N/A</v>
      </c>
      <c r="M502" s="406" t="e">
        <f t="shared" ca="1" si="182"/>
        <v>#N/A</v>
      </c>
      <c r="N502" s="406" t="e">
        <f t="shared" ca="1" si="180"/>
        <v>#N/A</v>
      </c>
      <c r="O502" s="406" t="e">
        <f t="shared" ca="1" si="180"/>
        <v>#N/A</v>
      </c>
      <c r="P502" s="406" t="e">
        <f t="shared" ca="1" si="180"/>
        <v>#N/A</v>
      </c>
      <c r="Q502" s="406" t="e">
        <f t="shared" ca="1" si="180"/>
        <v>#N/A</v>
      </c>
      <c r="R502" s="406" t="e">
        <f t="shared" ca="1" si="180"/>
        <v>#N/A</v>
      </c>
      <c r="S502" s="406" t="e">
        <f t="shared" ca="1" si="180"/>
        <v>#N/A</v>
      </c>
      <c r="T502" s="406" t="e">
        <f t="shared" ca="1" si="180"/>
        <v>#N/A</v>
      </c>
      <c r="U502" s="406" t="e">
        <f t="shared" ca="1" si="180"/>
        <v>#N/A</v>
      </c>
      <c r="V502" s="406" t="e">
        <f t="shared" ca="1" si="180"/>
        <v>#N/A</v>
      </c>
      <c r="W502" s="406" t="e">
        <f t="shared" ca="1" si="180"/>
        <v>#N/A</v>
      </c>
      <c r="X502" s="406" t="e">
        <f t="shared" ca="1" si="179"/>
        <v>#N/A</v>
      </c>
      <c r="Y502" s="406" t="e">
        <f t="shared" ca="1" si="179"/>
        <v>#N/A</v>
      </c>
      <c r="Z502" s="406" t="e">
        <f t="shared" ca="1" si="179"/>
        <v>#N/A</v>
      </c>
      <c r="AA502" s="406" t="e">
        <f t="shared" ca="1" si="179"/>
        <v>#N/A</v>
      </c>
      <c r="AB502" s="406" t="e">
        <f t="shared" ca="1" si="179"/>
        <v>#N/A</v>
      </c>
      <c r="AC502" s="406" t="e">
        <f t="shared" ca="1" si="179"/>
        <v>#N/A</v>
      </c>
      <c r="AD502" s="406" t="e">
        <f t="shared" ca="1" si="179"/>
        <v>#N/A</v>
      </c>
      <c r="AE502" s="406" t="e">
        <f t="shared" ca="1" si="179"/>
        <v>#N/A</v>
      </c>
      <c r="AF502" s="406" t="e">
        <f t="shared" ca="1" si="179"/>
        <v>#N/A</v>
      </c>
      <c r="AG502" s="406" t="e">
        <f t="shared" ca="1" si="179"/>
        <v>#N/A</v>
      </c>
      <c r="AH502" s="406" t="e">
        <f t="shared" ca="1" si="181"/>
        <v>#N/A</v>
      </c>
      <c r="AI502" s="406" t="e">
        <f t="shared" ca="1" si="181"/>
        <v>#N/A</v>
      </c>
      <c r="AJ502" s="406" t="e">
        <f t="shared" ca="1" si="181"/>
        <v>#N/A</v>
      </c>
      <c r="AK502" s="406" t="e">
        <f t="shared" ca="1" si="181"/>
        <v>#N/A</v>
      </c>
      <c r="AL502" s="406" t="e">
        <f t="shared" ca="1" si="181"/>
        <v>#N/A</v>
      </c>
      <c r="AM502" s="406" t="e">
        <f t="shared" ca="1" si="181"/>
        <v>#N/A</v>
      </c>
      <c r="AN502" s="406" t="e">
        <f t="shared" ca="1" si="181"/>
        <v>#N/A</v>
      </c>
      <c r="AO502" s="406" t="e">
        <f t="shared" ca="1" si="181"/>
        <v>#N/A</v>
      </c>
      <c r="AP502" s="406" t="e">
        <f t="shared" ca="1" si="181"/>
        <v>#N/A</v>
      </c>
      <c r="AQ502" s="406" t="e">
        <f t="shared" ca="1" si="181"/>
        <v>#N/A</v>
      </c>
      <c r="AR502" s="406" t="e">
        <f t="shared" ca="1" si="178"/>
        <v>#N/A</v>
      </c>
      <c r="AS502" s="406" t="e">
        <f t="shared" ca="1" si="178"/>
        <v>#N/A</v>
      </c>
      <c r="AT502" s="406" t="e">
        <f t="shared" ca="1" si="178"/>
        <v>#N/A</v>
      </c>
      <c r="AU502" s="406" t="e">
        <f t="shared" ca="1" si="178"/>
        <v>#N/A</v>
      </c>
      <c r="AV502" s="406" t="e">
        <f t="shared" ca="1" si="178"/>
        <v>#N/A</v>
      </c>
      <c r="AW502" s="406" t="e">
        <f t="shared" ca="1" si="178"/>
        <v>#N/A</v>
      </c>
      <c r="AX502" s="406" t="e">
        <f t="shared" ca="1" si="178"/>
        <v>#N/A</v>
      </c>
      <c r="AY502" s="406" t="e">
        <f t="shared" ca="1" si="178"/>
        <v>#N/A</v>
      </c>
      <c r="AZ502" s="406" t="e">
        <f t="shared" ca="1" si="178"/>
        <v>#N/A</v>
      </c>
      <c r="BA502" s="406" t="e">
        <f t="shared" ca="1" si="178"/>
        <v>#N/A</v>
      </c>
      <c r="BB502" s="408"/>
      <c r="BC502" s="408" t="str">
        <f t="shared" ca="1" si="171"/>
        <v/>
      </c>
      <c r="BD502" s="408" t="s">
        <v>1278</v>
      </c>
      <c r="BE502" s="408" t="s">
        <v>1278</v>
      </c>
    </row>
    <row r="988" ht="15.75" customHeight="1" x14ac:dyDescent="0.25"/>
    <row r="1088" ht="15" customHeight="1" x14ac:dyDescent="0.25"/>
    <row r="2048" spans="10:13" x14ac:dyDescent="0.25">
      <c r="J2048" s="405"/>
      <c r="K2048" s="405"/>
      <c r="L2048" s="405"/>
      <c r="M2048" s="405"/>
    </row>
  </sheetData>
  <pageMargins left="0.7" right="0.7" top="0.75" bottom="0.75" header="0.3" footer="0.3"/>
  <pageSetup orientation="portrait" horizontalDpi="90" verticalDpi="90"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C344A14-1A25-4649-954A-C0C3F81BE780}">
  <sheetPr codeName="Sheet18"/>
  <dimension ref="A1289:A38044"/>
  <sheetViews>
    <sheetView topLeftCell="A1933" workbookViewId="0">
      <selection activeCell="A285" sqref="A285:A288"/>
    </sheetView>
  </sheetViews>
  <sheetFormatPr defaultRowHeight="15" x14ac:dyDescent="0.25"/>
  <cols>
    <col min="1" max="1" width="81.140625" bestFit="1" customWidth="1"/>
  </cols>
  <sheetData>
    <row r="1289" spans="1:1" x14ac:dyDescent="0.25">
      <c r="A1289" s="477"/>
    </row>
    <row r="1290" spans="1:1" x14ac:dyDescent="0.25">
      <c r="A1290" s="477"/>
    </row>
    <row r="1291" spans="1:1" x14ac:dyDescent="0.25">
      <c r="A1291" s="477"/>
    </row>
    <row r="1292" spans="1:1" x14ac:dyDescent="0.25">
      <c r="A1292" s="477"/>
    </row>
    <row r="1293" spans="1:1" x14ac:dyDescent="0.25">
      <c r="A1293" s="477"/>
    </row>
    <row r="1371" spans="1:1" x14ac:dyDescent="0.25">
      <c r="A1371" s="477"/>
    </row>
    <row r="16992" spans="1:1" x14ac:dyDescent="0.25">
      <c r="A16992" s="389"/>
    </row>
    <row r="16996" spans="1:1" x14ac:dyDescent="0.25">
      <c r="A16996" s="389"/>
    </row>
    <row r="17000" spans="1:1" x14ac:dyDescent="0.25">
      <c r="A17000" s="390"/>
    </row>
    <row r="17004" spans="1:1" x14ac:dyDescent="0.25">
      <c r="A17004" s="389"/>
    </row>
    <row r="17008" spans="1:1" x14ac:dyDescent="0.25">
      <c r="A17008" s="389"/>
    </row>
    <row r="17012" spans="1:1" x14ac:dyDescent="0.25">
      <c r="A17012" s="389"/>
    </row>
    <row r="17016" spans="1:1" x14ac:dyDescent="0.25">
      <c r="A17016" s="389"/>
    </row>
    <row r="17020" spans="1:1" x14ac:dyDescent="0.25">
      <c r="A17020" s="389"/>
    </row>
    <row r="17024" spans="1:1" x14ac:dyDescent="0.25">
      <c r="A17024" s="389"/>
    </row>
    <row r="17028" spans="1:1" x14ac:dyDescent="0.25">
      <c r="A17028" s="389"/>
    </row>
    <row r="17032" spans="1:1" x14ac:dyDescent="0.25">
      <c r="A17032" s="389"/>
    </row>
    <row r="17050" spans="1:1" x14ac:dyDescent="0.25">
      <c r="A17050" s="389"/>
    </row>
    <row r="17060" spans="1:1" x14ac:dyDescent="0.25">
      <c r="A17060" s="389"/>
    </row>
    <row r="17070" spans="1:1" x14ac:dyDescent="0.25">
      <c r="A17070" s="389"/>
    </row>
    <row r="17080" spans="1:1" x14ac:dyDescent="0.25">
      <c r="A17080" s="389"/>
    </row>
    <row r="17090" spans="1:1" x14ac:dyDescent="0.25">
      <c r="A17090" s="389"/>
    </row>
    <row r="17100" spans="1:1" x14ac:dyDescent="0.25">
      <c r="A17100" s="389"/>
    </row>
    <row r="17110" spans="1:1" x14ac:dyDescent="0.25">
      <c r="A17110" s="389"/>
    </row>
    <row r="17120" spans="1:1" x14ac:dyDescent="0.25">
      <c r="A17120" s="389"/>
    </row>
    <row r="17130" spans="1:1" x14ac:dyDescent="0.25">
      <c r="A17130" s="389"/>
    </row>
    <row r="17206" spans="1:1" x14ac:dyDescent="0.25">
      <c r="A17206" s="389"/>
    </row>
    <row r="17281" spans="1:1" x14ac:dyDescent="0.25">
      <c r="A17281" s="391"/>
    </row>
    <row r="17284" spans="1:1" x14ac:dyDescent="0.25">
      <c r="A17284" s="391"/>
    </row>
    <row r="17287" spans="1:1" x14ac:dyDescent="0.25">
      <c r="A17287" s="391"/>
    </row>
    <row r="17290" spans="1:1" x14ac:dyDescent="0.25">
      <c r="A17290" s="391"/>
    </row>
    <row r="17293" spans="1:1" x14ac:dyDescent="0.25">
      <c r="A17293" s="391"/>
    </row>
    <row r="17296" spans="1:1" x14ac:dyDescent="0.25">
      <c r="A17296" s="391"/>
    </row>
    <row r="17299" spans="1:1" x14ac:dyDescent="0.25">
      <c r="A17299" s="391"/>
    </row>
    <row r="17302" spans="1:1" x14ac:dyDescent="0.25">
      <c r="A17302" s="391"/>
    </row>
    <row r="17314" spans="1:1" x14ac:dyDescent="0.25">
      <c r="A17314" s="391"/>
    </row>
    <row r="17317" spans="1:1" x14ac:dyDescent="0.25">
      <c r="A17317" s="391"/>
    </row>
    <row r="17320" spans="1:1" x14ac:dyDescent="0.25">
      <c r="A17320" s="391"/>
    </row>
    <row r="17323" spans="1:1" x14ac:dyDescent="0.25">
      <c r="A17323" s="391"/>
    </row>
    <row r="17326" spans="1:1" x14ac:dyDescent="0.25">
      <c r="A17326" s="391"/>
    </row>
    <row r="17329" spans="1:1" x14ac:dyDescent="0.25">
      <c r="A17329" s="391"/>
    </row>
    <row r="17332" spans="1:1" x14ac:dyDescent="0.25">
      <c r="A17332" s="391"/>
    </row>
    <row r="17335" spans="1:1" x14ac:dyDescent="0.25">
      <c r="A17335" s="391"/>
    </row>
    <row r="17338" spans="1:1" x14ac:dyDescent="0.25">
      <c r="A17338" s="389"/>
    </row>
    <row r="17398" spans="1:1" x14ac:dyDescent="0.25">
      <c r="A17398" s="389"/>
    </row>
    <row r="17473" spans="1:1" x14ac:dyDescent="0.25">
      <c r="A17473" s="391"/>
    </row>
    <row r="17476" spans="1:1" x14ac:dyDescent="0.25">
      <c r="A17476" s="391"/>
    </row>
    <row r="17479" spans="1:1" x14ac:dyDescent="0.25">
      <c r="A17479" s="391"/>
    </row>
    <row r="17482" spans="1:1" x14ac:dyDescent="0.25">
      <c r="A17482" s="391"/>
    </row>
    <row r="17485" spans="1:1" x14ac:dyDescent="0.25">
      <c r="A17485" s="391"/>
    </row>
    <row r="17488" spans="1:1" x14ac:dyDescent="0.25">
      <c r="A17488" s="391"/>
    </row>
    <row r="17491" spans="1:1" x14ac:dyDescent="0.25">
      <c r="A17491" s="391"/>
    </row>
    <row r="17494" spans="1:1" x14ac:dyDescent="0.25">
      <c r="A17494" s="391"/>
    </row>
    <row r="17506" spans="1:1" x14ac:dyDescent="0.25">
      <c r="A17506" s="391"/>
    </row>
    <row r="17509" spans="1:1" x14ac:dyDescent="0.25">
      <c r="A17509" s="391"/>
    </row>
    <row r="17512" spans="1:1" x14ac:dyDescent="0.25">
      <c r="A17512" s="391"/>
    </row>
    <row r="17515" spans="1:1" x14ac:dyDescent="0.25">
      <c r="A17515" s="391"/>
    </row>
    <row r="17518" spans="1:1" x14ac:dyDescent="0.25">
      <c r="A17518" s="391"/>
    </row>
    <row r="17521" spans="1:1" x14ac:dyDescent="0.25">
      <c r="A17521" s="391"/>
    </row>
    <row r="17524" spans="1:1" x14ac:dyDescent="0.25">
      <c r="A17524" s="391"/>
    </row>
    <row r="17527" spans="1:1" x14ac:dyDescent="0.25">
      <c r="A17527" s="391"/>
    </row>
    <row r="17530" spans="1:1" x14ac:dyDescent="0.25">
      <c r="A17530" s="389"/>
    </row>
    <row r="18046" spans="1:1" x14ac:dyDescent="0.25">
      <c r="A18046" s="398"/>
    </row>
    <row r="18270" spans="1:1" x14ac:dyDescent="0.25">
      <c r="A18270" s="389"/>
    </row>
    <row r="18345" spans="1:1" x14ac:dyDescent="0.25">
      <c r="A18345" s="391"/>
    </row>
    <row r="18348" spans="1:1" x14ac:dyDescent="0.25">
      <c r="A18348" s="391"/>
    </row>
    <row r="18351" spans="1:1" x14ac:dyDescent="0.25">
      <c r="A18351" s="391"/>
    </row>
    <row r="18354" spans="1:1" x14ac:dyDescent="0.25">
      <c r="A18354" s="391"/>
    </row>
    <row r="18357" spans="1:1" x14ac:dyDescent="0.25">
      <c r="A18357" s="391"/>
    </row>
    <row r="18360" spans="1:1" x14ac:dyDescent="0.25">
      <c r="A18360" s="391"/>
    </row>
    <row r="18363" spans="1:1" x14ac:dyDescent="0.25">
      <c r="A18363" s="391"/>
    </row>
    <row r="18366" spans="1:1" x14ac:dyDescent="0.25">
      <c r="A18366" s="391"/>
    </row>
    <row r="18378" spans="1:1" x14ac:dyDescent="0.25">
      <c r="A18378" s="391"/>
    </row>
    <row r="18381" spans="1:1" x14ac:dyDescent="0.25">
      <c r="A18381" s="391"/>
    </row>
    <row r="18384" spans="1:1" x14ac:dyDescent="0.25">
      <c r="A18384" s="391"/>
    </row>
    <row r="18387" spans="1:1" x14ac:dyDescent="0.25">
      <c r="A18387" s="391"/>
    </row>
    <row r="18390" spans="1:1" x14ac:dyDescent="0.25">
      <c r="A18390" s="391"/>
    </row>
    <row r="18393" spans="1:1" x14ac:dyDescent="0.25">
      <c r="A18393" s="391"/>
    </row>
    <row r="18396" spans="1:1" x14ac:dyDescent="0.25">
      <c r="A18396" s="391"/>
    </row>
    <row r="18399" spans="1:1" x14ac:dyDescent="0.25">
      <c r="A18399" s="391"/>
    </row>
    <row r="18402" spans="1:1" x14ac:dyDescent="0.25">
      <c r="A18402" s="389"/>
    </row>
    <row r="18462" spans="1:1" x14ac:dyDescent="0.25">
      <c r="A18462" s="389"/>
    </row>
    <row r="18537" spans="1:1" x14ac:dyDescent="0.25">
      <c r="A18537" s="391"/>
    </row>
    <row r="18540" spans="1:1" x14ac:dyDescent="0.25">
      <c r="A18540" s="391"/>
    </row>
    <row r="18543" spans="1:1" x14ac:dyDescent="0.25">
      <c r="A18543" s="391"/>
    </row>
    <row r="18546" spans="1:1" x14ac:dyDescent="0.25">
      <c r="A18546" s="391"/>
    </row>
    <row r="18549" spans="1:1" x14ac:dyDescent="0.25">
      <c r="A18549" s="391"/>
    </row>
    <row r="18552" spans="1:1" x14ac:dyDescent="0.25">
      <c r="A18552" s="391"/>
    </row>
    <row r="18555" spans="1:1" x14ac:dyDescent="0.25">
      <c r="A18555" s="391"/>
    </row>
    <row r="18558" spans="1:1" x14ac:dyDescent="0.25">
      <c r="A18558" s="391"/>
    </row>
    <row r="18570" spans="1:1" x14ac:dyDescent="0.25">
      <c r="A18570" s="391"/>
    </row>
    <row r="18573" spans="1:1" x14ac:dyDescent="0.25">
      <c r="A18573" s="391"/>
    </row>
    <row r="18576" spans="1:1" x14ac:dyDescent="0.25">
      <c r="A18576" s="391"/>
    </row>
    <row r="18579" spans="1:1" x14ac:dyDescent="0.25">
      <c r="A18579" s="391"/>
    </row>
    <row r="18582" spans="1:1" x14ac:dyDescent="0.25">
      <c r="A18582" s="391"/>
    </row>
    <row r="18585" spans="1:1" x14ac:dyDescent="0.25">
      <c r="A18585" s="391"/>
    </row>
    <row r="18588" spans="1:1" x14ac:dyDescent="0.25">
      <c r="A18588" s="391"/>
    </row>
    <row r="18591" spans="1:1" x14ac:dyDescent="0.25">
      <c r="A18591" s="391"/>
    </row>
    <row r="18594" spans="1:1" x14ac:dyDescent="0.25">
      <c r="A18594" s="389"/>
    </row>
    <row r="21387" spans="1:1" x14ac:dyDescent="0.25">
      <c r="A21387" s="389"/>
    </row>
    <row r="21444" spans="1:1" x14ac:dyDescent="0.25">
      <c r="A21444" s="389"/>
    </row>
    <row r="21480" spans="1:1" x14ac:dyDescent="0.25">
      <c r="A21480" s="391"/>
    </row>
    <row r="21486" spans="1:1" x14ac:dyDescent="0.25">
      <c r="A21486" s="391"/>
    </row>
    <row r="21492" spans="1:1" x14ac:dyDescent="0.25">
      <c r="A21492" s="391"/>
    </row>
    <row r="21498" spans="1:1" x14ac:dyDescent="0.25">
      <c r="A21498" s="391"/>
    </row>
    <row r="21501" spans="1:1" x14ac:dyDescent="0.25">
      <c r="A21501" s="391"/>
    </row>
    <row r="21504" spans="1:1" x14ac:dyDescent="0.25">
      <c r="A21504" s="391"/>
    </row>
    <row r="21507" spans="1:1" x14ac:dyDescent="0.25">
      <c r="A21507" s="391"/>
    </row>
    <row r="21510" spans="1:1" x14ac:dyDescent="0.25">
      <c r="A21510" s="391"/>
    </row>
    <row r="21513" spans="1:1" x14ac:dyDescent="0.25">
      <c r="A21513" s="389"/>
    </row>
    <row r="21516" spans="1:1" x14ac:dyDescent="0.25">
      <c r="A21516" s="391"/>
    </row>
    <row r="21519" spans="1:1" x14ac:dyDescent="0.25">
      <c r="A21519" s="391"/>
    </row>
    <row r="21522" spans="1:1" x14ac:dyDescent="0.25">
      <c r="A21522" s="391"/>
    </row>
    <row r="21525" spans="1:1" x14ac:dyDescent="0.25">
      <c r="A21525" s="391"/>
    </row>
    <row r="21528" spans="1:1" x14ac:dyDescent="0.25">
      <c r="A21528" s="391"/>
    </row>
    <row r="21531" spans="1:1" x14ac:dyDescent="0.25">
      <c r="A21531" s="391"/>
    </row>
    <row r="21534" spans="1:1" x14ac:dyDescent="0.25">
      <c r="A21534" s="391"/>
    </row>
    <row r="21537" spans="1:1" x14ac:dyDescent="0.25">
      <c r="A21537" s="391"/>
    </row>
    <row r="21552" spans="1:1" x14ac:dyDescent="0.25">
      <c r="A21552" s="389"/>
    </row>
    <row r="21609" spans="1:1" x14ac:dyDescent="0.25">
      <c r="A21609" s="389"/>
    </row>
    <row r="21645" spans="1:1" x14ac:dyDescent="0.25">
      <c r="A21645" s="391"/>
    </row>
    <row r="21651" spans="1:1" x14ac:dyDescent="0.25">
      <c r="A21651" s="391"/>
    </row>
    <row r="21657" spans="1:1" x14ac:dyDescent="0.25">
      <c r="A21657" s="391"/>
    </row>
    <row r="21663" spans="1:1" x14ac:dyDescent="0.25">
      <c r="A21663" s="391"/>
    </row>
    <row r="21666" spans="1:1" x14ac:dyDescent="0.25">
      <c r="A21666" s="391"/>
    </row>
    <row r="21669" spans="1:1" x14ac:dyDescent="0.25">
      <c r="A21669" s="391"/>
    </row>
    <row r="21672" spans="1:1" x14ac:dyDescent="0.25">
      <c r="A21672" s="391"/>
    </row>
    <row r="21675" spans="1:1" x14ac:dyDescent="0.25">
      <c r="A21675" s="391"/>
    </row>
    <row r="21678" spans="1:1" x14ac:dyDescent="0.25">
      <c r="A21678" s="389"/>
    </row>
    <row r="21681" spans="1:1" x14ac:dyDescent="0.25">
      <c r="A21681" s="391"/>
    </row>
    <row r="21684" spans="1:1" x14ac:dyDescent="0.25">
      <c r="A21684" s="391"/>
    </row>
    <row r="21687" spans="1:1" x14ac:dyDescent="0.25">
      <c r="A21687" s="391"/>
    </row>
    <row r="21690" spans="1:1" x14ac:dyDescent="0.25">
      <c r="A21690" s="391"/>
    </row>
    <row r="21693" spans="1:1" x14ac:dyDescent="0.25">
      <c r="A21693" s="391"/>
    </row>
    <row r="21696" spans="1:1" x14ac:dyDescent="0.25">
      <c r="A21696" s="391"/>
    </row>
    <row r="21699" spans="1:1" x14ac:dyDescent="0.25">
      <c r="A21699" s="391"/>
    </row>
    <row r="21702" spans="1:1" x14ac:dyDescent="0.25">
      <c r="A21702" s="391"/>
    </row>
    <row r="26876" spans="1:1" x14ac:dyDescent="0.25">
      <c r="A26876" s="389"/>
    </row>
    <row r="26886" spans="1:1" x14ac:dyDescent="0.25">
      <c r="A26886" s="389"/>
    </row>
    <row r="26896" spans="1:1" x14ac:dyDescent="0.25">
      <c r="A26896" s="389"/>
    </row>
    <row r="26904" spans="1:1" x14ac:dyDescent="0.25">
      <c r="A26904" s="389"/>
    </row>
    <row r="26906" spans="1:1" x14ac:dyDescent="0.25">
      <c r="A26906" s="389"/>
    </row>
    <row r="26914" spans="1:1" x14ac:dyDescent="0.25">
      <c r="A26914" s="389"/>
    </row>
    <row r="26916" spans="1:1" x14ac:dyDescent="0.25">
      <c r="A26916" s="389"/>
    </row>
    <row r="26924" spans="1:1" x14ac:dyDescent="0.25">
      <c r="A26924" s="389"/>
    </row>
    <row r="26926" spans="1:1" x14ac:dyDescent="0.25">
      <c r="A26926" s="389"/>
    </row>
    <row r="26934" spans="1:1" x14ac:dyDescent="0.25">
      <c r="A26934" s="389"/>
    </row>
    <row r="26936" spans="1:1" x14ac:dyDescent="0.25">
      <c r="A26936" s="389"/>
    </row>
    <row r="26944" spans="1:1" x14ac:dyDescent="0.25">
      <c r="A26944" s="389"/>
    </row>
    <row r="26946" spans="1:1" x14ac:dyDescent="0.25">
      <c r="A26946" s="389"/>
    </row>
    <row r="26954" spans="1:1" x14ac:dyDescent="0.25">
      <c r="A26954" s="389"/>
    </row>
    <row r="26956" spans="1:1" x14ac:dyDescent="0.25">
      <c r="A26956" s="389"/>
    </row>
    <row r="26964" spans="1:1" x14ac:dyDescent="0.25">
      <c r="A26964" s="389"/>
    </row>
    <row r="26965" spans="1:1" x14ac:dyDescent="0.25">
      <c r="A26965" s="389"/>
    </row>
    <row r="26966" spans="1:1" x14ac:dyDescent="0.25">
      <c r="A26966" s="389"/>
    </row>
    <row r="26974" spans="1:1" x14ac:dyDescent="0.25">
      <c r="A26974" s="389"/>
    </row>
    <row r="26976" spans="1:1" x14ac:dyDescent="0.25">
      <c r="A26976" s="389"/>
    </row>
    <row r="26984" spans="1:1" x14ac:dyDescent="0.25">
      <c r="A26984" s="389"/>
    </row>
    <row r="26986" spans="1:1" x14ac:dyDescent="0.25">
      <c r="A26986" s="389"/>
    </row>
    <row r="26994" spans="1:1" x14ac:dyDescent="0.25">
      <c r="A26994" s="389"/>
    </row>
    <row r="26996" spans="1:1" x14ac:dyDescent="0.25">
      <c r="A26996" s="389"/>
    </row>
    <row r="27004" spans="1:1" x14ac:dyDescent="0.25">
      <c r="A27004" s="389"/>
    </row>
    <row r="27006" spans="1:1" x14ac:dyDescent="0.25">
      <c r="A27006" s="389"/>
    </row>
    <row r="27014" spans="1:1" x14ac:dyDescent="0.25">
      <c r="A27014" s="389"/>
    </row>
    <row r="27016" spans="1:1" x14ac:dyDescent="0.25">
      <c r="A27016" s="389"/>
    </row>
    <row r="27024" spans="1:1" x14ac:dyDescent="0.25">
      <c r="A27024" s="389"/>
    </row>
    <row r="27026" spans="1:1" x14ac:dyDescent="0.25">
      <c r="A27026" s="389"/>
    </row>
    <row r="27034" spans="1:1" x14ac:dyDescent="0.25">
      <c r="A27034" s="389"/>
    </row>
    <row r="27036" spans="1:1" x14ac:dyDescent="0.25">
      <c r="A27036" s="389"/>
    </row>
    <row r="27037" spans="1:1" x14ac:dyDescent="0.25">
      <c r="A27037" s="389"/>
    </row>
    <row r="27044" spans="1:1" x14ac:dyDescent="0.25">
      <c r="A27044" s="389"/>
    </row>
    <row r="27046" spans="1:1" x14ac:dyDescent="0.25">
      <c r="A27046" s="389"/>
    </row>
    <row r="27054" spans="1:1" x14ac:dyDescent="0.25">
      <c r="A27054" s="389"/>
    </row>
    <row r="27056" spans="1:1" x14ac:dyDescent="0.25">
      <c r="A27056" s="389"/>
    </row>
    <row r="27064" spans="1:1" x14ac:dyDescent="0.25">
      <c r="A27064" s="389"/>
    </row>
    <row r="27066" spans="1:1" x14ac:dyDescent="0.25">
      <c r="A27066" s="389"/>
    </row>
    <row r="27070" spans="1:1" x14ac:dyDescent="0.25">
      <c r="A27070" s="389"/>
    </row>
    <row r="27074" spans="1:1" x14ac:dyDescent="0.25">
      <c r="A27074" s="389"/>
    </row>
    <row r="27076" spans="1:1" x14ac:dyDescent="0.25">
      <c r="A27076" s="389"/>
    </row>
    <row r="27084" spans="1:1" x14ac:dyDescent="0.25">
      <c r="A27084" s="389"/>
    </row>
    <row r="27086" spans="1:1" x14ac:dyDescent="0.25">
      <c r="A27086" s="389"/>
    </row>
    <row r="27094" spans="1:1" x14ac:dyDescent="0.25">
      <c r="A27094" s="389"/>
    </row>
    <row r="27096" spans="1:1" x14ac:dyDescent="0.25">
      <c r="A27096" s="389"/>
    </row>
    <row r="27097" spans="1:1" x14ac:dyDescent="0.25">
      <c r="A27097" s="391"/>
    </row>
    <row r="27100" spans="1:1" x14ac:dyDescent="0.25">
      <c r="A27100" s="391"/>
    </row>
    <row r="27103" spans="1:1" x14ac:dyDescent="0.25">
      <c r="A27103" s="391"/>
    </row>
    <row r="27104" spans="1:1" x14ac:dyDescent="0.25">
      <c r="A27104" s="389"/>
    </row>
    <row r="27106" spans="1:1" x14ac:dyDescent="0.25">
      <c r="A27106" s="389"/>
    </row>
    <row r="27109" spans="1:1" x14ac:dyDescent="0.25">
      <c r="A27109" s="391"/>
    </row>
    <row r="27112" spans="1:1" x14ac:dyDescent="0.25">
      <c r="A27112" s="391"/>
    </row>
    <row r="27114" spans="1:1" x14ac:dyDescent="0.25">
      <c r="A27114" s="389"/>
    </row>
    <row r="27115" spans="1:1" x14ac:dyDescent="0.25">
      <c r="A27115" s="391"/>
    </row>
    <row r="27116" spans="1:1" x14ac:dyDescent="0.25">
      <c r="A27116" s="389"/>
    </row>
    <row r="27118" spans="1:1" x14ac:dyDescent="0.25">
      <c r="A27118" s="391"/>
    </row>
    <row r="27124" spans="1:1" x14ac:dyDescent="0.25">
      <c r="A27124" s="389"/>
    </row>
    <row r="27126" spans="1:1" x14ac:dyDescent="0.25">
      <c r="A27126" s="389"/>
    </row>
    <row r="27134" spans="1:1" x14ac:dyDescent="0.25">
      <c r="A27134" s="389"/>
    </row>
    <row r="27136" spans="1:1" x14ac:dyDescent="0.25">
      <c r="A27136" s="389"/>
    </row>
    <row r="27144" spans="1:1" x14ac:dyDescent="0.25">
      <c r="A27144" s="389"/>
    </row>
    <row r="27146" spans="1:1" x14ac:dyDescent="0.25">
      <c r="A27146" s="389"/>
    </row>
    <row r="27154" spans="1:1" x14ac:dyDescent="0.25">
      <c r="A27154" s="389"/>
    </row>
    <row r="27156" spans="1:1" x14ac:dyDescent="0.25">
      <c r="A27156" s="389"/>
    </row>
    <row r="27157" spans="1:1" x14ac:dyDescent="0.25">
      <c r="A27157" s="389"/>
    </row>
    <row r="27164" spans="1:1" x14ac:dyDescent="0.25">
      <c r="A27164" s="389"/>
    </row>
    <row r="27166" spans="1:1" x14ac:dyDescent="0.25">
      <c r="A27166" s="389"/>
    </row>
    <row r="27169" spans="1:1" x14ac:dyDescent="0.25">
      <c r="A27169" s="391"/>
    </row>
    <row r="27172" spans="1:1" x14ac:dyDescent="0.25">
      <c r="A27172" s="391"/>
    </row>
    <row r="27174" spans="1:1" x14ac:dyDescent="0.25">
      <c r="A27174" s="389"/>
    </row>
    <row r="27175" spans="1:1" x14ac:dyDescent="0.25">
      <c r="A27175" s="391"/>
    </row>
    <row r="27176" spans="1:1" x14ac:dyDescent="0.25">
      <c r="A27176" s="389"/>
    </row>
    <row r="27178" spans="1:1" x14ac:dyDescent="0.25">
      <c r="A27178" s="391"/>
    </row>
    <row r="27181" spans="1:1" x14ac:dyDescent="0.25">
      <c r="A27181" s="391"/>
    </row>
    <row r="27184" spans="1:1" x14ac:dyDescent="0.25">
      <c r="A27184" s="389"/>
    </row>
    <row r="27186" spans="1:1" x14ac:dyDescent="0.25">
      <c r="A27186" s="389"/>
    </row>
    <row r="27187" spans="1:1" x14ac:dyDescent="0.25">
      <c r="A27187" s="391"/>
    </row>
    <row r="27190" spans="1:1" x14ac:dyDescent="0.25">
      <c r="A27190" s="391"/>
    </row>
    <row r="27194" spans="1:1" x14ac:dyDescent="0.25">
      <c r="A27194" s="389"/>
    </row>
    <row r="27196" spans="1:1" x14ac:dyDescent="0.25">
      <c r="A27196" s="389"/>
    </row>
    <row r="27204" spans="1:1" x14ac:dyDescent="0.25">
      <c r="A27204" s="389"/>
    </row>
    <row r="27205" spans="1:1" x14ac:dyDescent="0.25">
      <c r="A27205" s="389"/>
    </row>
    <row r="27206" spans="1:1" x14ac:dyDescent="0.25">
      <c r="A27206" s="389"/>
    </row>
    <row r="27214" spans="1:1" x14ac:dyDescent="0.25">
      <c r="A27214" s="389"/>
    </row>
    <row r="27216" spans="1:1" x14ac:dyDescent="0.25">
      <c r="A27216" s="389"/>
    </row>
    <row r="27224" spans="1:1" x14ac:dyDescent="0.25">
      <c r="A27224" s="389"/>
    </row>
    <row r="27226" spans="1:1" x14ac:dyDescent="0.25">
      <c r="A27226" s="389"/>
    </row>
    <row r="27234" spans="1:1" x14ac:dyDescent="0.25">
      <c r="A27234" s="389"/>
    </row>
    <row r="27236" spans="1:1" x14ac:dyDescent="0.25">
      <c r="A27236" s="389"/>
    </row>
    <row r="27244" spans="1:1" x14ac:dyDescent="0.25">
      <c r="A27244" s="389"/>
    </row>
    <row r="27246" spans="1:1" x14ac:dyDescent="0.25">
      <c r="A27246" s="389"/>
    </row>
    <row r="27254" spans="1:1" x14ac:dyDescent="0.25">
      <c r="A27254" s="389"/>
    </row>
    <row r="27256" spans="1:1" x14ac:dyDescent="0.25">
      <c r="A27256" s="389"/>
    </row>
    <row r="27259" spans="1:1" x14ac:dyDescent="0.25">
      <c r="A27259" s="389"/>
    </row>
    <row r="27264" spans="1:1" x14ac:dyDescent="0.25">
      <c r="A27264" s="389"/>
    </row>
    <row r="27266" spans="1:1" x14ac:dyDescent="0.25">
      <c r="A27266" s="389"/>
    </row>
    <row r="27274" spans="1:1" x14ac:dyDescent="0.25">
      <c r="A27274" s="389"/>
    </row>
    <row r="27276" spans="1:1" x14ac:dyDescent="0.25">
      <c r="A27276" s="389"/>
    </row>
    <row r="27277" spans="1:1" x14ac:dyDescent="0.25">
      <c r="A27277" s="389"/>
    </row>
    <row r="27284" spans="1:1" x14ac:dyDescent="0.25">
      <c r="A27284" s="389"/>
    </row>
    <row r="27286" spans="1:1" x14ac:dyDescent="0.25">
      <c r="A27286" s="389"/>
    </row>
    <row r="27294" spans="1:1" x14ac:dyDescent="0.25">
      <c r="A27294" s="389"/>
    </row>
    <row r="27296" spans="1:1" x14ac:dyDescent="0.25">
      <c r="A27296" s="389"/>
    </row>
    <row r="27304" spans="1:1" x14ac:dyDescent="0.25">
      <c r="A27304" s="389"/>
    </row>
    <row r="27306" spans="1:1" x14ac:dyDescent="0.25">
      <c r="A27306" s="389"/>
    </row>
    <row r="27314" spans="1:1" x14ac:dyDescent="0.25">
      <c r="A27314" s="389"/>
    </row>
    <row r="27316" spans="1:1" x14ac:dyDescent="0.25">
      <c r="A27316" s="389"/>
    </row>
    <row r="27324" spans="1:1" x14ac:dyDescent="0.25">
      <c r="A27324" s="389"/>
    </row>
    <row r="27326" spans="1:1" x14ac:dyDescent="0.25">
      <c r="A27326" s="389"/>
    </row>
    <row r="27331" spans="1:1" x14ac:dyDescent="0.25">
      <c r="A27331" s="389"/>
    </row>
    <row r="27334" spans="1:1" x14ac:dyDescent="0.25">
      <c r="A27334" s="389"/>
    </row>
    <row r="27336" spans="1:1" x14ac:dyDescent="0.25">
      <c r="A27336" s="389"/>
    </row>
    <row r="27337" spans="1:1" x14ac:dyDescent="0.25">
      <c r="A27337" s="391"/>
    </row>
    <row r="27340" spans="1:1" x14ac:dyDescent="0.25">
      <c r="A27340" s="391"/>
    </row>
    <row r="27343" spans="1:1" x14ac:dyDescent="0.25">
      <c r="A27343" s="391"/>
    </row>
    <row r="27344" spans="1:1" x14ac:dyDescent="0.25">
      <c r="A27344" s="389"/>
    </row>
    <row r="27346" spans="1:1" x14ac:dyDescent="0.25">
      <c r="A27346" s="389"/>
    </row>
    <row r="27349" spans="1:1" x14ac:dyDescent="0.25">
      <c r="A27349" s="391"/>
    </row>
    <row r="27352" spans="1:1" x14ac:dyDescent="0.25">
      <c r="A27352" s="391"/>
    </row>
    <row r="27354" spans="1:1" x14ac:dyDescent="0.25">
      <c r="A27354" s="389"/>
    </row>
    <row r="27355" spans="1:1" x14ac:dyDescent="0.25">
      <c r="A27355" s="391"/>
    </row>
    <row r="27356" spans="1:1" x14ac:dyDescent="0.25">
      <c r="A27356" s="389"/>
    </row>
    <row r="27358" spans="1:1" x14ac:dyDescent="0.25">
      <c r="A27358" s="391"/>
    </row>
    <row r="27364" spans="1:1" x14ac:dyDescent="0.25">
      <c r="A27364" s="389"/>
    </row>
    <row r="27366" spans="1:1" x14ac:dyDescent="0.25">
      <c r="A27366" s="389"/>
    </row>
    <row r="27374" spans="1:1" x14ac:dyDescent="0.25">
      <c r="A27374" s="389"/>
    </row>
    <row r="27376" spans="1:1" x14ac:dyDescent="0.25">
      <c r="A27376" s="389"/>
    </row>
    <row r="27384" spans="1:1" x14ac:dyDescent="0.25">
      <c r="A27384" s="389"/>
    </row>
    <row r="27386" spans="1:1" x14ac:dyDescent="0.25">
      <c r="A27386" s="389"/>
    </row>
    <row r="27391" spans="1:1" x14ac:dyDescent="0.25">
      <c r="A27391" s="391"/>
    </row>
    <row r="27394" spans="1:1" x14ac:dyDescent="0.25">
      <c r="A27394" s="389"/>
    </row>
    <row r="27396" spans="1:1" x14ac:dyDescent="0.25">
      <c r="A27396" s="389"/>
    </row>
    <row r="27397" spans="1:1" x14ac:dyDescent="0.25">
      <c r="A27397" s="391"/>
    </row>
    <row r="27400" spans="1:1" x14ac:dyDescent="0.25">
      <c r="A27400" s="391"/>
    </row>
    <row r="27403" spans="1:1" x14ac:dyDescent="0.25">
      <c r="A27403" s="391"/>
    </row>
    <row r="27404" spans="1:1" x14ac:dyDescent="0.25">
      <c r="A27404" s="389"/>
    </row>
    <row r="27406" spans="1:1" x14ac:dyDescent="0.25">
      <c r="A27406" s="389"/>
    </row>
    <row r="27409" spans="1:1" x14ac:dyDescent="0.25">
      <c r="A27409" s="391"/>
    </row>
    <row r="27412" spans="1:1" x14ac:dyDescent="0.25">
      <c r="A27412" s="391"/>
    </row>
    <row r="27414" spans="1:1" x14ac:dyDescent="0.25">
      <c r="A27414" s="389"/>
    </row>
    <row r="27415" spans="1:1" x14ac:dyDescent="0.25">
      <c r="A27415" s="391"/>
    </row>
    <row r="27416" spans="1:1" x14ac:dyDescent="0.25">
      <c r="A27416" s="389"/>
    </row>
    <row r="27418" spans="1:1" x14ac:dyDescent="0.25">
      <c r="A27418" s="391"/>
    </row>
    <row r="27421" spans="1:1" x14ac:dyDescent="0.25">
      <c r="A27421" s="391"/>
    </row>
    <row r="27424" spans="1:1" x14ac:dyDescent="0.25">
      <c r="A27424" s="389"/>
    </row>
    <row r="27426" spans="1:1" x14ac:dyDescent="0.25">
      <c r="A27426" s="389"/>
    </row>
    <row r="27427" spans="1:1" x14ac:dyDescent="0.25">
      <c r="A27427" s="391"/>
    </row>
    <row r="27430" spans="1:1" x14ac:dyDescent="0.25">
      <c r="A27430" s="391"/>
    </row>
    <row r="27434" spans="1:1" x14ac:dyDescent="0.25">
      <c r="A27434" s="389"/>
    </row>
    <row r="27436" spans="1:1" x14ac:dyDescent="0.25">
      <c r="A27436" s="389"/>
    </row>
    <row r="27444" spans="1:1" x14ac:dyDescent="0.25">
      <c r="A27444" s="389"/>
    </row>
    <row r="27446" spans="1:1" x14ac:dyDescent="0.25">
      <c r="A27446" s="389"/>
    </row>
    <row r="27451" spans="1:1" x14ac:dyDescent="0.25">
      <c r="A27451" s="389"/>
    </row>
    <row r="27454" spans="1:1" x14ac:dyDescent="0.25">
      <c r="A27454" s="389"/>
    </row>
    <row r="27456" spans="1:1" x14ac:dyDescent="0.25">
      <c r="A27456" s="389"/>
    </row>
    <row r="27463" spans="1:1" x14ac:dyDescent="0.25">
      <c r="A27463" s="391"/>
    </row>
    <row r="27464" spans="1:1" x14ac:dyDescent="0.25">
      <c r="A27464" s="389"/>
    </row>
    <row r="27466" spans="1:1" x14ac:dyDescent="0.25">
      <c r="A27466" s="389"/>
    </row>
    <row r="27469" spans="1:1" x14ac:dyDescent="0.25">
      <c r="A27469" s="391"/>
    </row>
    <row r="27472" spans="1:1" x14ac:dyDescent="0.25">
      <c r="A27472" s="391"/>
    </row>
    <row r="27474" spans="1:1" x14ac:dyDescent="0.25">
      <c r="A27474" s="389"/>
    </row>
    <row r="27475" spans="1:1" x14ac:dyDescent="0.25">
      <c r="A27475" s="391"/>
    </row>
    <row r="27476" spans="1:1" x14ac:dyDescent="0.25">
      <c r="A27476" s="389"/>
    </row>
    <row r="27478" spans="1:1" x14ac:dyDescent="0.25">
      <c r="A27478" s="391"/>
    </row>
    <row r="27481" spans="1:1" x14ac:dyDescent="0.25">
      <c r="A27481" s="391"/>
    </row>
    <row r="27484" spans="1:1" x14ac:dyDescent="0.25">
      <c r="A27484" s="389"/>
    </row>
    <row r="27486" spans="1:1" x14ac:dyDescent="0.25">
      <c r="A27486" s="389"/>
    </row>
    <row r="27494" spans="1:1" x14ac:dyDescent="0.25">
      <c r="A27494" s="389"/>
    </row>
    <row r="27499" spans="1:1" x14ac:dyDescent="0.25">
      <c r="A27499" s="389"/>
    </row>
    <row r="27504" spans="1:1" x14ac:dyDescent="0.25">
      <c r="A27504" s="389"/>
    </row>
    <row r="27514" spans="1:1" x14ac:dyDescent="0.25">
      <c r="A27514" s="389"/>
    </row>
    <row r="27525" spans="1:1" x14ac:dyDescent="0.25">
      <c r="A27525" s="389"/>
    </row>
    <row r="27571" spans="1:1" x14ac:dyDescent="0.25">
      <c r="A27571" s="389"/>
    </row>
    <row r="27597" spans="1:1" x14ac:dyDescent="0.25">
      <c r="A27597" s="389"/>
    </row>
    <row r="27631" spans="1:1" x14ac:dyDescent="0.25">
      <c r="A27631" s="391"/>
    </row>
    <row r="27634" spans="1:1" x14ac:dyDescent="0.25">
      <c r="A27634" s="391"/>
    </row>
    <row r="27637" spans="1:1" x14ac:dyDescent="0.25">
      <c r="A27637" s="391"/>
    </row>
    <row r="27640" spans="1:1" x14ac:dyDescent="0.25">
      <c r="A27640" s="391"/>
    </row>
    <row r="27643" spans="1:1" x14ac:dyDescent="0.25">
      <c r="A27643" s="391"/>
    </row>
    <row r="27646" spans="1:1" x14ac:dyDescent="0.25">
      <c r="A27646" s="391"/>
    </row>
    <row r="27649" spans="1:1" x14ac:dyDescent="0.25">
      <c r="A27649" s="391"/>
    </row>
    <row r="27652" spans="1:1" x14ac:dyDescent="0.25">
      <c r="A27652" s="391"/>
    </row>
    <row r="27657" spans="1:1" x14ac:dyDescent="0.25">
      <c r="A27657" s="391"/>
    </row>
    <row r="27660" spans="1:1" x14ac:dyDescent="0.25">
      <c r="A27660" s="391"/>
    </row>
    <row r="27663" spans="1:1" x14ac:dyDescent="0.25">
      <c r="A27663" s="391"/>
    </row>
    <row r="27666" spans="1:1" x14ac:dyDescent="0.25">
      <c r="A27666" s="391"/>
    </row>
    <row r="27669" spans="1:1" x14ac:dyDescent="0.25">
      <c r="A27669" s="391"/>
    </row>
    <row r="27672" spans="1:1" x14ac:dyDescent="0.25">
      <c r="A27672" s="391"/>
    </row>
    <row r="27675" spans="1:1" x14ac:dyDescent="0.25">
      <c r="A27675" s="391"/>
    </row>
    <row r="27678" spans="1:1" x14ac:dyDescent="0.25">
      <c r="A27678" s="391"/>
    </row>
    <row r="27691" spans="1:1" x14ac:dyDescent="0.25">
      <c r="A27691" s="389"/>
    </row>
    <row r="27703" spans="1:1" x14ac:dyDescent="0.25">
      <c r="A27703" s="391"/>
    </row>
    <row r="27706" spans="1:1" x14ac:dyDescent="0.25">
      <c r="A27706" s="391"/>
    </row>
    <row r="27709" spans="1:1" x14ac:dyDescent="0.25">
      <c r="A27709" s="391"/>
    </row>
    <row r="27712" spans="1:1" x14ac:dyDescent="0.25">
      <c r="A27712" s="391"/>
    </row>
    <row r="27715" spans="1:1" x14ac:dyDescent="0.25">
      <c r="A27715" s="391"/>
    </row>
    <row r="27717" spans="1:1" x14ac:dyDescent="0.25">
      <c r="A27717" s="389"/>
    </row>
    <row r="27718" spans="1:1" x14ac:dyDescent="0.25">
      <c r="A27718" s="391"/>
    </row>
    <row r="27721" spans="1:1" x14ac:dyDescent="0.25">
      <c r="A27721" s="391"/>
    </row>
    <row r="27724" spans="1:1" x14ac:dyDescent="0.25">
      <c r="A27724" s="391"/>
    </row>
    <row r="27729" spans="1:1" x14ac:dyDescent="0.25">
      <c r="A27729" s="391"/>
    </row>
    <row r="27732" spans="1:1" x14ac:dyDescent="0.25">
      <c r="A27732" s="391"/>
    </row>
    <row r="27735" spans="1:1" x14ac:dyDescent="0.25">
      <c r="A27735" s="391"/>
    </row>
    <row r="27738" spans="1:1" x14ac:dyDescent="0.25">
      <c r="A27738" s="391"/>
    </row>
    <row r="27741" spans="1:1" x14ac:dyDescent="0.25">
      <c r="A27741" s="391"/>
    </row>
    <row r="27744" spans="1:1" x14ac:dyDescent="0.25">
      <c r="A27744" s="391"/>
    </row>
    <row r="27747" spans="1:1" x14ac:dyDescent="0.25">
      <c r="A27747" s="391"/>
    </row>
    <row r="27750" spans="1:1" x14ac:dyDescent="0.25">
      <c r="A27750" s="391"/>
    </row>
    <row r="27765" spans="1:1" x14ac:dyDescent="0.25">
      <c r="A27765" s="389"/>
    </row>
    <row r="27837" spans="1:1" x14ac:dyDescent="0.25">
      <c r="A27837" s="389"/>
    </row>
    <row r="27897" spans="1:1" x14ac:dyDescent="0.25">
      <c r="A27897" s="391"/>
    </row>
    <row r="27900" spans="1:1" x14ac:dyDescent="0.25">
      <c r="A27900" s="391"/>
    </row>
    <row r="27903" spans="1:1" x14ac:dyDescent="0.25">
      <c r="A27903" s="391"/>
    </row>
    <row r="27906" spans="1:1" x14ac:dyDescent="0.25">
      <c r="A27906" s="391"/>
    </row>
    <row r="27909" spans="1:1" x14ac:dyDescent="0.25">
      <c r="A27909" s="391"/>
    </row>
    <row r="27912" spans="1:1" x14ac:dyDescent="0.25">
      <c r="A27912" s="391"/>
    </row>
    <row r="27915" spans="1:1" x14ac:dyDescent="0.25">
      <c r="A27915" s="391"/>
    </row>
    <row r="27918" spans="1:1" x14ac:dyDescent="0.25">
      <c r="A27918" s="391"/>
    </row>
    <row r="27957" spans="1:1" x14ac:dyDescent="0.25">
      <c r="A27957" s="389"/>
    </row>
    <row r="27969" spans="1:1" x14ac:dyDescent="0.25">
      <c r="A27969" s="391"/>
    </row>
    <row r="27972" spans="1:1" x14ac:dyDescent="0.25">
      <c r="A27972" s="391"/>
    </row>
    <row r="27975" spans="1:1" x14ac:dyDescent="0.25">
      <c r="A27975" s="391"/>
    </row>
    <row r="27978" spans="1:1" x14ac:dyDescent="0.25">
      <c r="A27978" s="391"/>
    </row>
    <row r="27981" spans="1:1" x14ac:dyDescent="0.25">
      <c r="A27981" s="391"/>
    </row>
    <row r="27984" spans="1:1" x14ac:dyDescent="0.25">
      <c r="A27984" s="391"/>
    </row>
    <row r="27987" spans="1:1" x14ac:dyDescent="0.25">
      <c r="A27987" s="391"/>
    </row>
    <row r="27990" spans="1:1" x14ac:dyDescent="0.25">
      <c r="A27990" s="391"/>
    </row>
    <row r="36802" spans="1:1" x14ac:dyDescent="0.25">
      <c r="A36802" s="389"/>
    </row>
    <row r="36830" spans="1:1" x14ac:dyDescent="0.25">
      <c r="A36830" s="389"/>
    </row>
    <row r="37551" spans="1:1" x14ac:dyDescent="0.25">
      <c r="A37551" s="389"/>
    </row>
    <row r="37579" spans="1:1" x14ac:dyDescent="0.25">
      <c r="A37579" s="389"/>
    </row>
    <row r="37623" spans="1:1" x14ac:dyDescent="0.25">
      <c r="A37623" s="389"/>
    </row>
    <row r="37651" spans="1:1" x14ac:dyDescent="0.25">
      <c r="A37651" s="389"/>
    </row>
    <row r="37683" spans="1:1" x14ac:dyDescent="0.25">
      <c r="A37683" s="391"/>
    </row>
    <row r="37686" spans="1:1" x14ac:dyDescent="0.25">
      <c r="A37686" s="391"/>
    </row>
    <row r="37689" spans="1:1" x14ac:dyDescent="0.25">
      <c r="A37689" s="391"/>
    </row>
    <row r="37692" spans="1:1" x14ac:dyDescent="0.25">
      <c r="A37692" s="391"/>
    </row>
    <row r="37695" spans="1:1" x14ac:dyDescent="0.25">
      <c r="A37695" s="391"/>
    </row>
    <row r="37698" spans="1:1" x14ac:dyDescent="0.25">
      <c r="A37698" s="391"/>
    </row>
    <row r="37701" spans="1:1" x14ac:dyDescent="0.25">
      <c r="A37701" s="391"/>
    </row>
    <row r="37704" spans="1:1" x14ac:dyDescent="0.25">
      <c r="A37704" s="391"/>
    </row>
    <row r="37711" spans="1:1" x14ac:dyDescent="0.25">
      <c r="A37711" s="391"/>
    </row>
    <row r="37714" spans="1:1" x14ac:dyDescent="0.25">
      <c r="A37714" s="391"/>
    </row>
    <row r="37717" spans="1:1" x14ac:dyDescent="0.25">
      <c r="A37717" s="391"/>
    </row>
    <row r="37720" spans="1:1" x14ac:dyDescent="0.25">
      <c r="A37720" s="391"/>
    </row>
    <row r="37723" spans="1:1" x14ac:dyDescent="0.25">
      <c r="A37723" s="391"/>
    </row>
    <row r="37726" spans="1:1" x14ac:dyDescent="0.25">
      <c r="A37726" s="391"/>
    </row>
    <row r="37729" spans="1:1" x14ac:dyDescent="0.25">
      <c r="A37729" s="391"/>
    </row>
    <row r="37732" spans="1:1" x14ac:dyDescent="0.25">
      <c r="A37732" s="391"/>
    </row>
    <row r="37743" spans="1:1" x14ac:dyDescent="0.25">
      <c r="A37743" s="389"/>
    </row>
    <row r="37755" spans="1:1" x14ac:dyDescent="0.25">
      <c r="A37755" s="391"/>
    </row>
    <row r="37758" spans="1:1" x14ac:dyDescent="0.25">
      <c r="A37758" s="391"/>
    </row>
    <row r="37761" spans="1:1" x14ac:dyDescent="0.25">
      <c r="A37761" s="391"/>
    </row>
    <row r="37764" spans="1:1" x14ac:dyDescent="0.25">
      <c r="A37764" s="391"/>
    </row>
    <row r="37767" spans="1:1" x14ac:dyDescent="0.25">
      <c r="A37767" s="391"/>
    </row>
    <row r="37770" spans="1:1" x14ac:dyDescent="0.25">
      <c r="A37770" s="391"/>
    </row>
    <row r="37771" spans="1:1" x14ac:dyDescent="0.25">
      <c r="A37771" s="389"/>
    </row>
    <row r="37773" spans="1:1" x14ac:dyDescent="0.25">
      <c r="A37773" s="391"/>
    </row>
    <row r="37776" spans="1:1" x14ac:dyDescent="0.25">
      <c r="A37776" s="391"/>
    </row>
    <row r="37783" spans="1:1" x14ac:dyDescent="0.25">
      <c r="A37783" s="391"/>
    </row>
    <row r="37786" spans="1:1" x14ac:dyDescent="0.25">
      <c r="A37786" s="391"/>
    </row>
    <row r="37789" spans="1:1" x14ac:dyDescent="0.25">
      <c r="A37789" s="391"/>
    </row>
    <row r="37791" spans="1:1" x14ac:dyDescent="0.25">
      <c r="A37791" s="389"/>
    </row>
    <row r="37792" spans="1:1" x14ac:dyDescent="0.25">
      <c r="A37792" s="391"/>
    </row>
    <row r="37795" spans="1:1" x14ac:dyDescent="0.25">
      <c r="A37795" s="391"/>
    </row>
    <row r="37798" spans="1:1" x14ac:dyDescent="0.25">
      <c r="A37798" s="391"/>
    </row>
    <row r="37801" spans="1:1" x14ac:dyDescent="0.25">
      <c r="A37801" s="391"/>
    </row>
    <row r="37804" spans="1:1" x14ac:dyDescent="0.25">
      <c r="A37804" s="391"/>
    </row>
    <row r="37819" spans="1:1" x14ac:dyDescent="0.25">
      <c r="A37819" s="389"/>
    </row>
    <row r="37863" spans="1:1" x14ac:dyDescent="0.25">
      <c r="A37863" s="389"/>
    </row>
    <row r="37891" spans="1:1" x14ac:dyDescent="0.25">
      <c r="A37891" s="389"/>
    </row>
    <row r="37923" spans="1:1" x14ac:dyDescent="0.25">
      <c r="A37923" s="391"/>
    </row>
    <row r="37926" spans="1:1" x14ac:dyDescent="0.25">
      <c r="A37926" s="391"/>
    </row>
    <row r="37929" spans="1:1" x14ac:dyDescent="0.25">
      <c r="A37929" s="391"/>
    </row>
    <row r="37932" spans="1:1" x14ac:dyDescent="0.25">
      <c r="A37932" s="391"/>
    </row>
    <row r="37935" spans="1:1" x14ac:dyDescent="0.25">
      <c r="A37935" s="391"/>
    </row>
    <row r="37938" spans="1:1" x14ac:dyDescent="0.25">
      <c r="A37938" s="391"/>
    </row>
    <row r="37941" spans="1:1" x14ac:dyDescent="0.25">
      <c r="A37941" s="391"/>
    </row>
    <row r="37944" spans="1:1" x14ac:dyDescent="0.25">
      <c r="A37944" s="391"/>
    </row>
    <row r="37951" spans="1:1" x14ac:dyDescent="0.25">
      <c r="A37951" s="391"/>
    </row>
    <row r="37954" spans="1:1" x14ac:dyDescent="0.25">
      <c r="A37954" s="391"/>
    </row>
    <row r="37957" spans="1:1" x14ac:dyDescent="0.25">
      <c r="A37957" s="391"/>
    </row>
    <row r="37960" spans="1:1" x14ac:dyDescent="0.25">
      <c r="A37960" s="391"/>
    </row>
    <row r="37963" spans="1:1" x14ac:dyDescent="0.25">
      <c r="A37963" s="391"/>
    </row>
    <row r="37966" spans="1:1" x14ac:dyDescent="0.25">
      <c r="A37966" s="391"/>
    </row>
    <row r="37969" spans="1:1" x14ac:dyDescent="0.25">
      <c r="A37969" s="391"/>
    </row>
    <row r="37972" spans="1:1" x14ac:dyDescent="0.25">
      <c r="A37972" s="391"/>
    </row>
    <row r="37983" spans="1:1" x14ac:dyDescent="0.25">
      <c r="A37983" s="389"/>
    </row>
    <row r="37995" spans="1:1" x14ac:dyDescent="0.25">
      <c r="A37995" s="391"/>
    </row>
    <row r="37998" spans="1:1" x14ac:dyDescent="0.25">
      <c r="A37998" s="391"/>
    </row>
    <row r="38001" spans="1:1" x14ac:dyDescent="0.25">
      <c r="A38001" s="391"/>
    </row>
    <row r="38004" spans="1:1" x14ac:dyDescent="0.25">
      <c r="A38004" s="391"/>
    </row>
    <row r="38007" spans="1:1" x14ac:dyDescent="0.25">
      <c r="A38007" s="391"/>
    </row>
    <row r="38010" spans="1:1" x14ac:dyDescent="0.25">
      <c r="A38010" s="391"/>
    </row>
    <row r="38011" spans="1:1" x14ac:dyDescent="0.25">
      <c r="A38011" s="389"/>
    </row>
    <row r="38013" spans="1:1" x14ac:dyDescent="0.25">
      <c r="A38013" s="391"/>
    </row>
    <row r="38016" spans="1:1" x14ac:dyDescent="0.25">
      <c r="A38016" s="391"/>
    </row>
    <row r="38023" spans="1:1" x14ac:dyDescent="0.25">
      <c r="A38023" s="391"/>
    </row>
    <row r="38026" spans="1:1" x14ac:dyDescent="0.25">
      <c r="A38026" s="391"/>
    </row>
    <row r="38029" spans="1:1" x14ac:dyDescent="0.25">
      <c r="A38029" s="391"/>
    </row>
    <row r="38032" spans="1:1" x14ac:dyDescent="0.25">
      <c r="A38032" s="391"/>
    </row>
    <row r="38035" spans="1:1" x14ac:dyDescent="0.25">
      <c r="A38035" s="391"/>
    </row>
    <row r="38038" spans="1:1" x14ac:dyDescent="0.25">
      <c r="A38038" s="391"/>
    </row>
    <row r="38041" spans="1:1" x14ac:dyDescent="0.25">
      <c r="A38041" s="391"/>
    </row>
    <row r="38044" spans="1:1" x14ac:dyDescent="0.25">
      <c r="A38044" s="391"/>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5F56F1E-16C4-4732-AF0F-FB88470325F5}">
  <sheetPr codeName="Sheet14"/>
  <dimension ref="H1:DJ800"/>
  <sheetViews>
    <sheetView topLeftCell="CE1" workbookViewId="0">
      <selection activeCell="CR11" sqref="CR11"/>
    </sheetView>
  </sheetViews>
  <sheetFormatPr defaultRowHeight="15" x14ac:dyDescent="0.25"/>
  <cols>
    <col min="8" max="8" width="7.5703125" bestFit="1" customWidth="1"/>
    <col min="9" max="9" width="20" bestFit="1" customWidth="1"/>
    <col min="10" max="10" width="23.42578125" bestFit="1" customWidth="1"/>
    <col min="11" max="11" width="19.28515625" bestFit="1" customWidth="1"/>
    <col min="12" max="12" width="19.140625" bestFit="1" customWidth="1"/>
    <col min="13" max="13" width="24.7109375" bestFit="1" customWidth="1"/>
    <col min="14" max="14" width="25" bestFit="1" customWidth="1"/>
    <col min="15" max="15" width="14" style="408" customWidth="1"/>
    <col min="16" max="16" width="13.42578125" bestFit="1" customWidth="1"/>
    <col min="17" max="17" width="13.42578125" customWidth="1"/>
    <col min="21" max="21" width="18.140625" bestFit="1" customWidth="1"/>
    <col min="22" max="22" width="10.85546875" bestFit="1" customWidth="1"/>
    <col min="23" max="23" width="11.5703125" bestFit="1" customWidth="1"/>
    <col min="24" max="24" width="15" bestFit="1" customWidth="1"/>
    <col min="74" max="103" width="9.140625" customWidth="1"/>
    <col min="106" max="106" width="43.42578125" bestFit="1" customWidth="1"/>
    <col min="111" max="112" width="57.140625" style="435" customWidth="1"/>
    <col min="114" max="114" width="11.42578125" bestFit="1" customWidth="1"/>
  </cols>
  <sheetData>
    <row r="1" spans="8:114" x14ac:dyDescent="0.25">
      <c r="P1" t="s">
        <v>1390</v>
      </c>
      <c r="Q1" s="19" t="s">
        <v>1482</v>
      </c>
      <c r="W1">
        <f t="array" ref="W1">SUM(--(LEN(TRIM(W4:W203))&gt;0))</f>
        <v>0</v>
      </c>
      <c r="X1">
        <f t="array" ref="X1">SUM(--(LEN(TRIM($X$4:$X$203))&gt;0))</f>
        <v>0</v>
      </c>
      <c r="DG1" s="434" t="s">
        <v>1090</v>
      </c>
      <c r="DH1" s="434" t="s">
        <v>1059</v>
      </c>
      <c r="DJ1" s="399" t="s">
        <v>1504</v>
      </c>
    </row>
    <row r="2" spans="8:114" x14ac:dyDescent="0.25">
      <c r="P2" s="19">
        <f>SUMPRODUCT(--(LEN($P$4:$P$203)&gt;0))</f>
        <v>0</v>
      </c>
      <c r="Q2" s="411" t="str" cm="1">
        <f t="array" ref="Q2">LOOKUP(2,1/(P:P&lt;&gt;""),(P:P))</f>
        <v>List</v>
      </c>
      <c r="V2" s="489" t="s">
        <v>1061</v>
      </c>
      <c r="W2" s="489"/>
      <c r="X2" s="489"/>
      <c r="Y2" s="489"/>
      <c r="Z2" s="489"/>
      <c r="AA2" s="489"/>
      <c r="AB2" s="489"/>
      <c r="AC2" s="489"/>
      <c r="AD2" s="489"/>
      <c r="AE2" s="489"/>
      <c r="AF2" s="489"/>
      <c r="AG2" s="489"/>
      <c r="AH2" s="489"/>
      <c r="AI2" s="489"/>
      <c r="AJ2" s="489"/>
      <c r="AK2" s="489"/>
      <c r="AL2" s="489"/>
      <c r="AM2" s="489"/>
      <c r="AN2" s="489"/>
      <c r="AO2" s="489"/>
      <c r="AP2" s="489"/>
      <c r="AQ2" s="489"/>
      <c r="AR2" s="489"/>
      <c r="AS2" s="489"/>
      <c r="AT2" s="489" t="s">
        <v>1330</v>
      </c>
      <c r="AU2" s="489"/>
      <c r="AV2" s="489"/>
      <c r="AW2" s="489"/>
      <c r="AX2" s="489"/>
      <c r="AY2" s="489"/>
      <c r="AZ2" s="489"/>
      <c r="BA2" s="489"/>
      <c r="BB2" s="489"/>
      <c r="BC2" s="489"/>
      <c r="BD2" s="489"/>
      <c r="BE2" s="489"/>
      <c r="BF2" s="489"/>
      <c r="BG2" s="489"/>
      <c r="BH2" s="489"/>
      <c r="BI2" s="489"/>
      <c r="BJ2" s="489"/>
      <c r="BK2" s="489"/>
      <c r="BL2" s="489"/>
      <c r="BM2" s="489"/>
      <c r="BN2" s="489"/>
      <c r="BO2" s="489"/>
      <c r="BP2" s="489"/>
      <c r="BQ2" s="489"/>
      <c r="BR2" s="489"/>
      <c r="BS2" s="489"/>
      <c r="BT2" s="489"/>
      <c r="BU2" s="430" t="s">
        <v>1392</v>
      </c>
      <c r="BV2" s="489" t="s">
        <v>1354</v>
      </c>
      <c r="BW2" s="489"/>
      <c r="BX2" s="489"/>
      <c r="BY2" s="489"/>
      <c r="BZ2" s="489"/>
      <c r="CA2" s="489"/>
      <c r="CB2" s="489"/>
      <c r="CC2" s="489"/>
      <c r="CD2" s="489"/>
      <c r="CE2" s="489"/>
      <c r="CF2" s="489"/>
      <c r="CG2" s="489"/>
      <c r="CH2" s="489"/>
      <c r="CI2" s="489"/>
      <c r="CJ2" s="489"/>
      <c r="CK2" s="489"/>
      <c r="CL2" s="489"/>
      <c r="CM2" s="489"/>
      <c r="CN2" s="489"/>
      <c r="CO2" s="489"/>
      <c r="CP2" s="489"/>
      <c r="CQ2" s="489"/>
      <c r="CR2" s="489"/>
      <c r="CS2" s="489" t="s">
        <v>1380</v>
      </c>
      <c r="CT2" s="489"/>
      <c r="CU2" s="489"/>
      <c r="CV2" s="489"/>
      <c r="CW2" s="489" t="s">
        <v>1381</v>
      </c>
      <c r="CX2" s="489"/>
      <c r="CY2" s="489"/>
      <c r="CZ2" s="489" t="s">
        <v>1378</v>
      </c>
      <c r="DA2" s="489"/>
      <c r="DB2" s="489"/>
      <c r="DC2" s="489"/>
      <c r="DD2" s="489"/>
      <c r="DE2" s="489"/>
      <c r="DG2" s="434" t="s">
        <v>1501</v>
      </c>
      <c r="DH2" s="434" t="s">
        <v>1471</v>
      </c>
      <c r="DJ2" s="399"/>
    </row>
    <row r="3" spans="8:114" x14ac:dyDescent="0.25">
      <c r="H3" s="413" t="str">
        <f>IF(IMPORT!C16="","",IMPORT!C16)</f>
        <v>Section</v>
      </c>
      <c r="I3" s="413" t="str">
        <f>IF(IMPORT!D16="","",IMPORT!D16)</f>
        <v>Top Leg Elevation (ft)</v>
      </c>
      <c r="J3" s="413" t="str">
        <f>IF(IMPORT!E16="","",IMPORT!E16)</f>
        <v>Bottom Leg Elevation (ft)</v>
      </c>
      <c r="K3" s="413" t="str">
        <f>IF(IMPORT!F16="","",IMPORT!F16)</f>
        <v>Pu (kip) [Wind Load]</v>
      </c>
      <c r="L3" s="413" t="str">
        <f>IF(IMPORT!G16="","",IMPORT!G16)</f>
        <v>Pu (kip) [Dead Load]</v>
      </c>
      <c r="M3" s="413" t="str">
        <f>IF(IMPORT!H16="","",IMPORT!H16)</f>
        <v>Create Leg Reinforcement?</v>
      </c>
      <c r="N3" s="413" t="s">
        <v>1283</v>
      </c>
      <c r="O3" s="417"/>
      <c r="P3" s="413" t="s">
        <v>1284</v>
      </c>
      <c r="Q3" s="476" t="s">
        <v>1284</v>
      </c>
      <c r="R3" s="420" t="s">
        <v>1337</v>
      </c>
      <c r="S3" s="420" t="s">
        <v>1332</v>
      </c>
      <c r="T3" s="420" t="s">
        <v>1333</v>
      </c>
      <c r="U3" s="421" t="s">
        <v>1335</v>
      </c>
      <c r="V3" s="431" t="s">
        <v>1336</v>
      </c>
      <c r="W3" s="432" t="s">
        <v>1078</v>
      </c>
      <c r="X3" s="432" t="s">
        <v>1303</v>
      </c>
      <c r="Y3" s="431" t="s">
        <v>1285</v>
      </c>
      <c r="Z3" s="431" t="s">
        <v>1288</v>
      </c>
      <c r="AA3" s="431" t="s">
        <v>1287</v>
      </c>
      <c r="AB3" s="431" t="s">
        <v>1289</v>
      </c>
      <c r="AC3" s="431" t="s">
        <v>1290</v>
      </c>
      <c r="AD3" s="431" t="s">
        <v>1291</v>
      </c>
      <c r="AE3" s="431" t="s">
        <v>1292</v>
      </c>
      <c r="AF3" s="431" t="s">
        <v>1293</v>
      </c>
      <c r="AG3" s="431" t="s">
        <v>1294</v>
      </c>
      <c r="AH3" s="431" t="s">
        <v>1295</v>
      </c>
      <c r="AI3" s="431" t="s">
        <v>1400</v>
      </c>
      <c r="AJ3" s="431" t="s">
        <v>1296</v>
      </c>
      <c r="AK3" s="431" t="s">
        <v>1297</v>
      </c>
      <c r="AL3" s="431" t="s">
        <v>1298</v>
      </c>
      <c r="AM3" s="431" t="s">
        <v>1299</v>
      </c>
      <c r="AN3" s="431" t="s">
        <v>1300</v>
      </c>
      <c r="AO3" s="431" t="s">
        <v>1301</v>
      </c>
      <c r="AP3" s="431" t="s">
        <v>1302</v>
      </c>
      <c r="AQ3" s="431" t="s">
        <v>1078</v>
      </c>
      <c r="AR3" s="431" t="s">
        <v>1303</v>
      </c>
      <c r="AS3" s="431" t="s">
        <v>1331</v>
      </c>
      <c r="AT3" s="431" t="s">
        <v>1304</v>
      </c>
      <c r="AU3" s="431" t="s">
        <v>1305</v>
      </c>
      <c r="AV3" s="431" t="s">
        <v>1334</v>
      </c>
      <c r="AW3" s="431" t="s">
        <v>1306</v>
      </c>
      <c r="AX3" s="431" t="s">
        <v>1307</v>
      </c>
      <c r="AY3" s="431" t="s">
        <v>1308</v>
      </c>
      <c r="AZ3" s="431" t="s">
        <v>1309</v>
      </c>
      <c r="BA3" s="431" t="s">
        <v>1310</v>
      </c>
      <c r="BB3" s="431" t="s">
        <v>1311</v>
      </c>
      <c r="BC3" s="431" t="s">
        <v>1312</v>
      </c>
      <c r="BD3" s="431" t="s">
        <v>1313</v>
      </c>
      <c r="BE3" s="431" t="s">
        <v>1314</v>
      </c>
      <c r="BF3" s="431" t="s">
        <v>1315</v>
      </c>
      <c r="BG3" s="431" t="s">
        <v>1316</v>
      </c>
      <c r="BH3" s="431" t="s">
        <v>1317</v>
      </c>
      <c r="BI3" s="431" t="s">
        <v>1318</v>
      </c>
      <c r="BJ3" s="431" t="s">
        <v>1319</v>
      </c>
      <c r="BK3" s="431" t="s">
        <v>1320</v>
      </c>
      <c r="BL3" s="431" t="s">
        <v>1321</v>
      </c>
      <c r="BM3" s="431" t="s">
        <v>1322</v>
      </c>
      <c r="BN3" s="431" t="s">
        <v>1323</v>
      </c>
      <c r="BO3" s="431" t="s">
        <v>1324</v>
      </c>
      <c r="BP3" s="431" t="s">
        <v>1325</v>
      </c>
      <c r="BQ3" s="431" t="s">
        <v>1326</v>
      </c>
      <c r="BR3" s="431" t="s">
        <v>1327</v>
      </c>
      <c r="BS3" s="431" t="s">
        <v>1328</v>
      </c>
      <c r="BT3" s="431" t="s">
        <v>1329</v>
      </c>
      <c r="BU3" s="431" t="s">
        <v>1391</v>
      </c>
      <c r="BV3" s="431" t="s">
        <v>1355</v>
      </c>
      <c r="BW3" s="432" t="s">
        <v>1356</v>
      </c>
      <c r="BX3" s="432" t="s">
        <v>1338</v>
      </c>
      <c r="BY3" s="432" t="s">
        <v>1089</v>
      </c>
      <c r="BZ3" s="432" t="s">
        <v>1357</v>
      </c>
      <c r="CA3" s="432" t="s">
        <v>1088</v>
      </c>
      <c r="CB3" s="432" t="s">
        <v>1339</v>
      </c>
      <c r="CC3" s="432" t="s">
        <v>1340</v>
      </c>
      <c r="CD3" s="432" t="s">
        <v>1077</v>
      </c>
      <c r="CE3" s="432" t="s">
        <v>1341</v>
      </c>
      <c r="CF3" s="432" t="s">
        <v>1342</v>
      </c>
      <c r="CG3" s="432" t="s">
        <v>173</v>
      </c>
      <c r="CH3" s="432" t="s">
        <v>198</v>
      </c>
      <c r="CI3" s="432" t="s">
        <v>1343</v>
      </c>
      <c r="CJ3" s="432" t="s">
        <v>1358</v>
      </c>
      <c r="CK3" s="432" t="s">
        <v>1360</v>
      </c>
      <c r="CL3" s="432" t="s">
        <v>1359</v>
      </c>
      <c r="CM3" s="432" t="s">
        <v>1361</v>
      </c>
      <c r="CN3" s="432" t="s">
        <v>1344</v>
      </c>
      <c r="CO3" s="432" t="s">
        <v>1345</v>
      </c>
      <c r="CP3" s="432" t="s">
        <v>1346</v>
      </c>
      <c r="CQ3" s="432" t="s">
        <v>1362</v>
      </c>
      <c r="CR3" s="432" t="s">
        <v>1363</v>
      </c>
      <c r="CS3" s="432" t="s">
        <v>1364</v>
      </c>
      <c r="CT3" s="432" t="s">
        <v>1365</v>
      </c>
      <c r="CU3" s="432" t="s">
        <v>1366</v>
      </c>
      <c r="CV3" s="432" t="s">
        <v>1367</v>
      </c>
      <c r="CW3" s="432" t="s">
        <v>1387</v>
      </c>
      <c r="CX3" s="432" t="s">
        <v>1388</v>
      </c>
      <c r="CY3" s="432" t="s">
        <v>1389</v>
      </c>
      <c r="CZ3" s="431" t="s">
        <v>1379</v>
      </c>
      <c r="DA3" s="431" t="s">
        <v>1351</v>
      </c>
      <c r="DB3" s="431" t="s">
        <v>1369</v>
      </c>
      <c r="DC3" s="431" t="s">
        <v>1353</v>
      </c>
      <c r="DD3" s="431" t="s">
        <v>1352</v>
      </c>
      <c r="DE3" s="431" t="s">
        <v>1368</v>
      </c>
      <c r="DG3" s="434" t="s">
        <v>1502</v>
      </c>
      <c r="DH3" s="434" t="s">
        <v>1472</v>
      </c>
      <c r="DJ3" s="399"/>
    </row>
    <row r="4" spans="8:114" x14ac:dyDescent="0.25">
      <c r="H4" s="416" t="str">
        <f ca="1">IF(IMPORT!C17="","",IMPORT!C17)</f>
        <v/>
      </c>
      <c r="I4" s="416" t="str">
        <f ca="1">IF(IMPORT!D17="","",IMPORT!D17)</f>
        <v/>
      </c>
      <c r="J4" s="416" t="str">
        <f ca="1">IF(IMPORT!E17="","",IMPORT!E17)</f>
        <v/>
      </c>
      <c r="K4" s="416" t="str">
        <f ca="1">IF(IMPORT!F17="","",IMPORT!F17)</f>
        <v/>
      </c>
      <c r="L4" s="416" t="str">
        <f ca="1">IF(IMPORT!G17="","",IMPORT!G17)</f>
        <v/>
      </c>
      <c r="M4" s="416" t="str">
        <f>IF(IMPORT!H17="","",IMPORT!H17)</f>
        <v/>
      </c>
      <c r="N4" s="399" t="str">
        <f>IF($M4&lt;&gt;"Yes","",CONCATENATE(ROUND(I4,1),"ft - ",ROUND(J4,1),"ft"))</f>
        <v/>
      </c>
      <c r="P4" s="406" t="str">
        <f>N4</f>
        <v/>
      </c>
      <c r="Q4" s="406" t="str">
        <f t="array" ref="Q4">IFERROR(INDEX($N$1:$N$203,SMALL(IF($N$1:$N$203&lt;&gt;"",ROW($N$1:$N$203)),ROW(2:2))),"")</f>
        <v/>
      </c>
      <c r="R4" s="399" t="str">
        <f t="shared" ref="R4:R67" si="0">IF(OR(TIA_Import="",$P4=""),"",TIA_Import)</f>
        <v/>
      </c>
      <c r="S4" s="399" t="str">
        <f>IF($P4="","",INDEX($K$4:$K$203,MATCH($P4,$N$4:$N$203,0)))</f>
        <v/>
      </c>
      <c r="T4" s="399" t="str">
        <f>IF($P4="","",INDEX($L$4:$L$203,MATCH($P4,$N$4:$N$203,0)))</f>
        <v/>
      </c>
      <c r="U4" s="419" t="str">
        <f t="shared" ref="U4:U12" si="1">IF(P4="","",TowerTypeImport)</f>
        <v/>
      </c>
      <c r="V4" s="433" t="b">
        <v>0</v>
      </c>
      <c r="W4" s="482"/>
      <c r="X4" s="481"/>
      <c r="Y4" s="481" t="s">
        <v>92</v>
      </c>
      <c r="Z4" s="481"/>
      <c r="AA4" s="481"/>
      <c r="AB4" s="481"/>
      <c r="AC4" s="481" t="s">
        <v>1401</v>
      </c>
      <c r="AD4" s="481"/>
      <c r="AE4" s="481" t="s">
        <v>111</v>
      </c>
      <c r="AF4" s="481" t="s">
        <v>299</v>
      </c>
      <c r="AG4" s="481"/>
      <c r="AH4" s="481"/>
      <c r="AI4" s="481"/>
      <c r="AJ4" s="481"/>
      <c r="AK4" s="481"/>
      <c r="AL4" s="481"/>
      <c r="AM4" s="481"/>
      <c r="AN4" s="481"/>
      <c r="AO4" s="481"/>
      <c r="AP4" s="481"/>
      <c r="AQ4" s="481"/>
      <c r="AR4" s="481"/>
      <c r="AS4" s="481" t="b">
        <v>0</v>
      </c>
      <c r="AT4" s="433"/>
      <c r="AU4" s="433"/>
      <c r="AV4" s="433"/>
      <c r="AW4" s="433"/>
      <c r="AX4" s="433"/>
      <c r="AY4" s="433"/>
      <c r="AZ4" s="433"/>
      <c r="BA4" s="433"/>
      <c r="BB4" s="433"/>
      <c r="BC4" s="433"/>
      <c r="BD4" s="433"/>
      <c r="BE4" s="433"/>
      <c r="BF4" s="433"/>
      <c r="BG4" s="433"/>
      <c r="BH4" s="433"/>
      <c r="BI4" s="433"/>
      <c r="BJ4" s="433"/>
      <c r="BK4" s="433"/>
      <c r="BL4" s="433"/>
      <c r="BM4" s="433"/>
      <c r="BN4" s="433"/>
      <c r="BO4" s="433"/>
      <c r="BP4" s="433"/>
      <c r="BQ4" s="433"/>
      <c r="BR4" s="433"/>
      <c r="BS4" s="433"/>
      <c r="BT4" s="433"/>
      <c r="BU4" s="399" t="str">
        <f>IF($P4="","",IF($AS4=TRUE,IF(COUNTIF($AT4:$BT4,"")=0,IF(COUNTIF($Y4:$AH4,"")+COUNTIF($AJ4:$AP4,"")&lt;=1,TRUE,FALSE)),IF(COUNTIF($Y4:$AH4,"")+COUNTIF($AJ4:$AP4,"")&lt;=1,TRUE,FALSE)))</f>
        <v/>
      </c>
      <c r="BV4" s="433"/>
      <c r="BW4" s="433"/>
      <c r="BX4" s="433"/>
      <c r="BY4" s="433"/>
      <c r="BZ4" s="433"/>
      <c r="CA4" s="433"/>
      <c r="CB4" s="433"/>
      <c r="CC4" s="433"/>
      <c r="CD4" s="433"/>
      <c r="CE4" s="433"/>
      <c r="CF4" s="433"/>
      <c r="CG4" s="433"/>
      <c r="CH4" s="433"/>
      <c r="CI4" s="433"/>
      <c r="CJ4" s="433"/>
      <c r="CK4" s="433"/>
      <c r="CL4" s="433"/>
      <c r="CM4" s="433"/>
      <c r="CN4" s="433"/>
      <c r="CO4" s="433"/>
      <c r="CP4" s="433"/>
      <c r="CQ4" s="433"/>
      <c r="CR4" s="433"/>
      <c r="CS4" s="433"/>
      <c r="CT4" s="433"/>
      <c r="CU4" s="433"/>
      <c r="CV4" s="433"/>
      <c r="CW4" s="433"/>
      <c r="CX4" s="433"/>
      <c r="CY4" s="433"/>
      <c r="CZ4" s="399" t="str">
        <f>REPLACE(IF($P4="","",INDEX($H$4:$H$203,MATCH($P4,$N$4:$N$203,0))),1,1,"")</f>
        <v/>
      </c>
      <c r="DA4" s="399" t="str">
        <f>IF($P4="","","Arbitrary Shape")</f>
        <v/>
      </c>
      <c r="DB4" s="399" t="str">
        <f>IF(OR($P4="",$BU4=FALSE),"",REPLACE($CT4,1,7,""))</f>
        <v/>
      </c>
      <c r="DC4" s="399" t="str">
        <f>IF($P4="","",MIN($AL4,$AP4))</f>
        <v/>
      </c>
      <c r="DD4" s="399" t="str">
        <f t="shared" ref="DD4:DD35" si="2">IFERROR(IF($P4="","",VLOOKUP($DC4,MaterialGrades,4,0)),"A36")</f>
        <v/>
      </c>
      <c r="DE4" s="399" t="str">
        <f>IFERROR(IF($P4="","",ROUND($CR4,4)),1)</f>
        <v/>
      </c>
      <c r="DG4" s="434" t="s">
        <v>1503</v>
      </c>
      <c r="DH4" s="434"/>
      <c r="DJ4" s="399"/>
    </row>
    <row r="5" spans="8:114" x14ac:dyDescent="0.25">
      <c r="H5" s="416" t="str">
        <f ca="1">IF(IMPORT!C18="","",IMPORT!C18)</f>
        <v/>
      </c>
      <c r="I5" s="416" t="str">
        <f ca="1">IF(IMPORT!D18="","",IMPORT!D18)</f>
        <v/>
      </c>
      <c r="J5" s="416" t="str">
        <f ca="1">IF(IMPORT!E18="","",IMPORT!E18)</f>
        <v/>
      </c>
      <c r="K5" s="416" t="str">
        <f ca="1">IF(IMPORT!F18="","",IMPORT!F18)</f>
        <v/>
      </c>
      <c r="L5" s="416" t="str">
        <f ca="1">IF(IMPORT!G18="","",IMPORT!G18)</f>
        <v/>
      </c>
      <c r="M5" s="416" t="str">
        <f>IF(IMPORT!H18="","",IMPORT!H18)</f>
        <v/>
      </c>
      <c r="N5" s="399" t="str">
        <f t="shared" ref="N5:N68" si="3">IF($M5&lt;&gt;"Yes","",CONCATENATE(ROUND(I5,1),"ft - ",ROUND(J5,1),"ft"))</f>
        <v/>
      </c>
      <c r="P5" s="406" t="str">
        <f t="shared" ref="P5:P68" si="4">N5</f>
        <v/>
      </c>
      <c r="Q5" s="406" t="str">
        <f t="array" ref="Q5">IFERROR(INDEX($N$1:$N$203,SMALL(IF($N$1:$N$203&lt;&gt;"",ROW($N$1:$N$203)),ROW(3:3))),"")</f>
        <v/>
      </c>
      <c r="R5" s="399" t="str">
        <f t="shared" si="0"/>
        <v/>
      </c>
      <c r="S5" s="399" t="str">
        <f t="shared" ref="S5:S68" si="5">IF($P5="","",INDEX($K$4:$K$203,MATCH($P5,$N$4:$N$203,0)))</f>
        <v/>
      </c>
      <c r="T5" s="399" t="str">
        <f t="shared" ref="T5:T68" si="6">IF($P5="","",INDEX($L$4:$L$203,MATCH($P5,$N$4:$N$203,0)))</f>
        <v/>
      </c>
      <c r="U5" s="419" t="str">
        <f t="shared" si="1"/>
        <v/>
      </c>
      <c r="V5" s="433" t="b">
        <v>0</v>
      </c>
      <c r="W5" s="482"/>
      <c r="X5" s="481"/>
      <c r="Y5" s="481" t="s">
        <v>92</v>
      </c>
      <c r="Z5" s="481"/>
      <c r="AA5" s="481"/>
      <c r="AB5" s="481"/>
      <c r="AC5" s="481" t="s">
        <v>1401</v>
      </c>
      <c r="AD5" s="481"/>
      <c r="AE5" s="481" t="s">
        <v>111</v>
      </c>
      <c r="AF5" s="481" t="s">
        <v>299</v>
      </c>
      <c r="AG5" s="481"/>
      <c r="AH5" s="481"/>
      <c r="AI5" s="481"/>
      <c r="AJ5" s="481"/>
      <c r="AK5" s="481"/>
      <c r="AL5" s="481"/>
      <c r="AM5" s="481"/>
      <c r="AN5" s="481"/>
      <c r="AO5" s="481"/>
      <c r="AP5" s="481"/>
      <c r="AQ5" s="481"/>
      <c r="AR5" s="481"/>
      <c r="AS5" s="481" t="b">
        <v>0</v>
      </c>
      <c r="AT5" s="433"/>
      <c r="AU5" s="433"/>
      <c r="AV5" s="433"/>
      <c r="AW5" s="433"/>
      <c r="AX5" s="433"/>
      <c r="AY5" s="433"/>
      <c r="AZ5" s="433"/>
      <c r="BA5" s="433"/>
      <c r="BB5" s="433"/>
      <c r="BC5" s="433"/>
      <c r="BD5" s="433"/>
      <c r="BE5" s="433"/>
      <c r="BF5" s="433"/>
      <c r="BG5" s="433"/>
      <c r="BH5" s="433"/>
      <c r="BI5" s="433"/>
      <c r="BJ5" s="433"/>
      <c r="BK5" s="433"/>
      <c r="BL5" s="433"/>
      <c r="BM5" s="433"/>
      <c r="BN5" s="433"/>
      <c r="BO5" s="433"/>
      <c r="BP5" s="433"/>
      <c r="BQ5" s="433"/>
      <c r="BR5" s="433"/>
      <c r="BS5" s="433"/>
      <c r="BT5" s="433"/>
      <c r="BU5" s="399" t="str">
        <f t="shared" ref="BU5:BU68" si="7">IF($P5="","",IF($AS5=TRUE,IF(COUNTIF($AT5:$BT5,"")=0,IF(COUNTIF($Y5:$AH5,"")+COUNTIF($AJ5:$AP5,"")&lt;=1,TRUE,FALSE)),IF(COUNTIF($Y5:$AH5,"")+COUNTIF($AJ5:$AP5,"")&lt;=1,TRUE,FALSE)))</f>
        <v/>
      </c>
      <c r="BV5" s="433"/>
      <c r="BW5" s="433"/>
      <c r="BX5" s="433"/>
      <c r="BY5" s="433"/>
      <c r="BZ5" s="433"/>
      <c r="CA5" s="433"/>
      <c r="CB5" s="433"/>
      <c r="CC5" s="433"/>
      <c r="CD5" s="433"/>
      <c r="CE5" s="433"/>
      <c r="CF5" s="433"/>
      <c r="CG5" s="433"/>
      <c r="CH5" s="433"/>
      <c r="CI5" s="433"/>
      <c r="CJ5" s="433"/>
      <c r="CK5" s="433"/>
      <c r="CL5" s="433"/>
      <c r="CM5" s="433"/>
      <c r="CN5" s="433"/>
      <c r="CO5" s="433"/>
      <c r="CP5" s="433"/>
      <c r="CQ5" s="433"/>
      <c r="CR5" s="433"/>
      <c r="CS5" s="433"/>
      <c r="CT5" s="433"/>
      <c r="CU5" s="433"/>
      <c r="CV5" s="433"/>
      <c r="CW5" s="433"/>
      <c r="CX5" s="433"/>
      <c r="CY5" s="433"/>
      <c r="CZ5" s="399" t="str">
        <f t="shared" ref="CZ5:CZ68" si="8">REPLACE(IF($P5="","",INDEX($H$4:$H$203,MATCH($P5,$N$4:$N$203,0))),1,1,"")</f>
        <v/>
      </c>
      <c r="DA5" s="399" t="str">
        <f t="shared" ref="DA5:DA68" si="9">IF($P5="","","Arbitrary Shape")</f>
        <v/>
      </c>
      <c r="DB5" s="399" t="str">
        <f t="shared" ref="DB5:DB68" si="10">IF(OR($P5="",$BU5=FALSE),"",REPLACE($CT5,1,7,""))</f>
        <v/>
      </c>
      <c r="DC5" s="399" t="str">
        <f t="shared" ref="DC5:DC68" si="11">IF($P5="","",MIN($AL5,$AP5))</f>
        <v/>
      </c>
      <c r="DD5" s="399" t="str">
        <f t="shared" si="2"/>
        <v/>
      </c>
      <c r="DE5" s="399" t="str">
        <f t="shared" ref="DE5:DE68" si="12">IFERROR(IF($P5="","",ROUND($CR5,4)),1)</f>
        <v/>
      </c>
      <c r="DG5" s="434"/>
      <c r="DH5" s="434"/>
      <c r="DJ5" s="399"/>
    </row>
    <row r="6" spans="8:114" x14ac:dyDescent="0.25">
      <c r="H6" s="416" t="str">
        <f ca="1">IF(IMPORT!C19="","",IMPORT!C19)</f>
        <v/>
      </c>
      <c r="I6" s="416" t="str">
        <f ca="1">IF(IMPORT!D19="","",IMPORT!D19)</f>
        <v/>
      </c>
      <c r="J6" s="416" t="str">
        <f ca="1">IF(IMPORT!E19="","",IMPORT!E19)</f>
        <v/>
      </c>
      <c r="K6" s="416" t="str">
        <f ca="1">IF(IMPORT!F19="","",IMPORT!F19)</f>
        <v/>
      </c>
      <c r="L6" s="416" t="str">
        <f ca="1">IF(IMPORT!G19="","",IMPORT!G19)</f>
        <v/>
      </c>
      <c r="M6" s="416" t="str">
        <f>IF(IMPORT!H19="","",IMPORT!H19)</f>
        <v/>
      </c>
      <c r="N6" s="399" t="str">
        <f t="shared" si="3"/>
        <v/>
      </c>
      <c r="P6" s="406" t="str">
        <f t="shared" si="4"/>
        <v/>
      </c>
      <c r="Q6" s="406" t="str">
        <f t="array" ref="Q6">IFERROR(INDEX($N$1:$N$203,SMALL(IF($N$1:$N$203&lt;&gt;"",ROW($N$1:$N$203)),ROW(4:4))),"")</f>
        <v/>
      </c>
      <c r="R6" s="399" t="str">
        <f t="shared" si="0"/>
        <v/>
      </c>
      <c r="S6" s="399" t="str">
        <f t="shared" si="5"/>
        <v/>
      </c>
      <c r="T6" s="399" t="str">
        <f t="shared" si="6"/>
        <v/>
      </c>
      <c r="U6" s="419" t="str">
        <f t="shared" si="1"/>
        <v/>
      </c>
      <c r="V6" s="433" t="b">
        <v>0</v>
      </c>
      <c r="W6" s="482"/>
      <c r="X6" s="481"/>
      <c r="Y6" s="481" t="s">
        <v>92</v>
      </c>
      <c r="Z6" s="481"/>
      <c r="AA6" s="481"/>
      <c r="AB6" s="481"/>
      <c r="AC6" s="481" t="s">
        <v>1401</v>
      </c>
      <c r="AD6" s="481"/>
      <c r="AE6" s="481" t="s">
        <v>111</v>
      </c>
      <c r="AF6" s="481" t="s">
        <v>299</v>
      </c>
      <c r="AG6" s="481"/>
      <c r="AH6" s="481"/>
      <c r="AI6" s="481"/>
      <c r="AJ6" s="481"/>
      <c r="AK6" s="481"/>
      <c r="AL6" s="481"/>
      <c r="AM6" s="481"/>
      <c r="AN6" s="481"/>
      <c r="AO6" s="481"/>
      <c r="AP6" s="481"/>
      <c r="AQ6" s="481"/>
      <c r="AR6" s="481"/>
      <c r="AS6" s="481" t="b">
        <v>0</v>
      </c>
      <c r="AT6" s="433"/>
      <c r="AU6" s="433"/>
      <c r="AV6" s="433"/>
      <c r="AW6" s="433"/>
      <c r="AX6" s="433"/>
      <c r="AY6" s="433"/>
      <c r="AZ6" s="433"/>
      <c r="BA6" s="433"/>
      <c r="BB6" s="433"/>
      <c r="BC6" s="433"/>
      <c r="BD6" s="433"/>
      <c r="BE6" s="433"/>
      <c r="BF6" s="433"/>
      <c r="BG6" s="433"/>
      <c r="BH6" s="433"/>
      <c r="BI6" s="433"/>
      <c r="BJ6" s="433"/>
      <c r="BK6" s="433"/>
      <c r="BL6" s="433"/>
      <c r="BM6" s="433"/>
      <c r="BN6" s="433"/>
      <c r="BO6" s="433"/>
      <c r="BP6" s="433"/>
      <c r="BQ6" s="433"/>
      <c r="BR6" s="433"/>
      <c r="BS6" s="433"/>
      <c r="BT6" s="433"/>
      <c r="BU6" s="399" t="str">
        <f t="shared" si="7"/>
        <v/>
      </c>
      <c r="BV6" s="433"/>
      <c r="BW6" s="433"/>
      <c r="BX6" s="433"/>
      <c r="BY6" s="433"/>
      <c r="BZ6" s="433"/>
      <c r="CA6" s="433"/>
      <c r="CB6" s="433"/>
      <c r="CC6" s="433"/>
      <c r="CD6" s="433"/>
      <c r="CE6" s="433"/>
      <c r="CF6" s="433"/>
      <c r="CG6" s="433"/>
      <c r="CH6" s="433"/>
      <c r="CI6" s="433"/>
      <c r="CJ6" s="433"/>
      <c r="CK6" s="433"/>
      <c r="CL6" s="433"/>
      <c r="CM6" s="433"/>
      <c r="CN6" s="433"/>
      <c r="CO6" s="433"/>
      <c r="CP6" s="433"/>
      <c r="CQ6" s="433"/>
      <c r="CR6" s="433"/>
      <c r="CS6" s="433"/>
      <c r="CT6" s="433"/>
      <c r="CU6" s="433"/>
      <c r="CV6" s="433"/>
      <c r="CW6" s="433"/>
      <c r="CX6" s="433"/>
      <c r="CY6" s="433"/>
      <c r="CZ6" s="399" t="str">
        <f t="shared" si="8"/>
        <v/>
      </c>
      <c r="DA6" s="399" t="str">
        <f t="shared" si="9"/>
        <v/>
      </c>
      <c r="DB6" s="399" t="str">
        <f t="shared" si="10"/>
        <v/>
      </c>
      <c r="DC6" s="399" t="str">
        <f t="shared" si="11"/>
        <v/>
      </c>
      <c r="DD6" s="399" t="str">
        <f t="shared" si="2"/>
        <v/>
      </c>
      <c r="DE6" s="399" t="str">
        <f t="shared" si="12"/>
        <v/>
      </c>
      <c r="DG6" s="434"/>
      <c r="DH6" s="434"/>
      <c r="DJ6" s="399"/>
    </row>
    <row r="7" spans="8:114" x14ac:dyDescent="0.25">
      <c r="H7" s="416" t="str">
        <f ca="1">IF(IMPORT!C20="","",IMPORT!C20)</f>
        <v/>
      </c>
      <c r="I7" s="416" t="str">
        <f ca="1">IF(IMPORT!D20="","",IMPORT!D20)</f>
        <v/>
      </c>
      <c r="J7" s="416" t="str">
        <f ca="1">IF(IMPORT!E20="","",IMPORT!E20)</f>
        <v/>
      </c>
      <c r="K7" s="416" t="str">
        <f ca="1">IF(IMPORT!F20="","",IMPORT!F20)</f>
        <v/>
      </c>
      <c r="L7" s="416" t="str">
        <f ca="1">IF(IMPORT!G20="","",IMPORT!G20)</f>
        <v/>
      </c>
      <c r="M7" s="416" t="str">
        <f>IF(IMPORT!H20="","",IMPORT!H20)</f>
        <v/>
      </c>
      <c r="N7" s="399" t="str">
        <f t="shared" si="3"/>
        <v/>
      </c>
      <c r="P7" s="406" t="str">
        <f t="shared" si="4"/>
        <v/>
      </c>
      <c r="Q7" s="406" t="str">
        <f t="array" ref="Q7">IFERROR(INDEX($N$1:$N$203,SMALL(IF($N$1:$N$203&lt;&gt;"",ROW($N$1:$N$203)),ROW(5:5))),"")</f>
        <v/>
      </c>
      <c r="R7" s="399" t="str">
        <f t="shared" si="0"/>
        <v/>
      </c>
      <c r="S7" s="399" t="str">
        <f t="shared" si="5"/>
        <v/>
      </c>
      <c r="T7" s="399" t="str">
        <f t="shared" si="6"/>
        <v/>
      </c>
      <c r="U7" s="419" t="str">
        <f t="shared" si="1"/>
        <v/>
      </c>
      <c r="V7" s="433" t="b">
        <v>0</v>
      </c>
      <c r="W7" s="482"/>
      <c r="X7" s="481"/>
      <c r="Y7" s="481" t="s">
        <v>92</v>
      </c>
      <c r="Z7" s="481"/>
      <c r="AA7" s="481"/>
      <c r="AB7" s="481"/>
      <c r="AC7" s="481" t="s">
        <v>1401</v>
      </c>
      <c r="AD7" s="481"/>
      <c r="AE7" s="481" t="s">
        <v>111</v>
      </c>
      <c r="AF7" s="481" t="s">
        <v>299</v>
      </c>
      <c r="AG7" s="481"/>
      <c r="AH7" s="481"/>
      <c r="AI7" s="481"/>
      <c r="AJ7" s="481"/>
      <c r="AK7" s="481"/>
      <c r="AL7" s="481"/>
      <c r="AM7" s="481"/>
      <c r="AN7" s="481"/>
      <c r="AO7" s="481"/>
      <c r="AP7" s="481"/>
      <c r="AQ7" s="481"/>
      <c r="AR7" s="481"/>
      <c r="AS7" s="481" t="b">
        <v>0</v>
      </c>
      <c r="AT7" s="433"/>
      <c r="AU7" s="433"/>
      <c r="AV7" s="433"/>
      <c r="AW7" s="433"/>
      <c r="AX7" s="433"/>
      <c r="AY7" s="433"/>
      <c r="AZ7" s="433"/>
      <c r="BA7" s="433"/>
      <c r="BB7" s="433"/>
      <c r="BC7" s="433"/>
      <c r="BD7" s="433"/>
      <c r="BE7" s="433"/>
      <c r="BF7" s="433"/>
      <c r="BG7" s="433"/>
      <c r="BH7" s="433"/>
      <c r="BI7" s="433"/>
      <c r="BJ7" s="433"/>
      <c r="BK7" s="433"/>
      <c r="BL7" s="433"/>
      <c r="BM7" s="433"/>
      <c r="BN7" s="433"/>
      <c r="BO7" s="433"/>
      <c r="BP7" s="433"/>
      <c r="BQ7" s="433"/>
      <c r="BR7" s="433"/>
      <c r="BS7" s="433"/>
      <c r="BT7" s="433"/>
      <c r="BU7" s="399" t="str">
        <f t="shared" si="7"/>
        <v/>
      </c>
      <c r="BV7" s="433"/>
      <c r="BW7" s="433"/>
      <c r="BX7" s="433"/>
      <c r="BY7" s="433"/>
      <c r="BZ7" s="433"/>
      <c r="CA7" s="433"/>
      <c r="CB7" s="433"/>
      <c r="CC7" s="433"/>
      <c r="CD7" s="433"/>
      <c r="CE7" s="433"/>
      <c r="CF7" s="433"/>
      <c r="CG7" s="433"/>
      <c r="CH7" s="433"/>
      <c r="CI7" s="433"/>
      <c r="CJ7" s="433"/>
      <c r="CK7" s="433"/>
      <c r="CL7" s="433"/>
      <c r="CM7" s="433"/>
      <c r="CN7" s="433"/>
      <c r="CO7" s="433"/>
      <c r="CP7" s="433"/>
      <c r="CQ7" s="433"/>
      <c r="CR7" s="433"/>
      <c r="CS7" s="433"/>
      <c r="CT7" s="433"/>
      <c r="CU7" s="433"/>
      <c r="CV7" s="433"/>
      <c r="CW7" s="433"/>
      <c r="CX7" s="433"/>
      <c r="CY7" s="433"/>
      <c r="CZ7" s="399" t="str">
        <f t="shared" si="8"/>
        <v/>
      </c>
      <c r="DA7" s="399" t="str">
        <f t="shared" si="9"/>
        <v/>
      </c>
      <c r="DB7" s="399" t="str">
        <f t="shared" si="10"/>
        <v/>
      </c>
      <c r="DC7" s="399" t="str">
        <f t="shared" si="11"/>
        <v/>
      </c>
      <c r="DD7" s="399" t="str">
        <f t="shared" si="2"/>
        <v/>
      </c>
      <c r="DE7" s="399" t="str">
        <f t="shared" si="12"/>
        <v/>
      </c>
      <c r="DG7" s="434"/>
      <c r="DH7" s="434"/>
      <c r="DJ7" s="399"/>
    </row>
    <row r="8" spans="8:114" x14ac:dyDescent="0.25">
      <c r="H8" s="416" t="str">
        <f ca="1">IF(IMPORT!C21="","",IMPORT!C21)</f>
        <v/>
      </c>
      <c r="I8" s="416" t="str">
        <f ca="1">IF(IMPORT!D21="","",IMPORT!D21)</f>
        <v/>
      </c>
      <c r="J8" s="416" t="str">
        <f ca="1">IF(IMPORT!E21="","",IMPORT!E21)</f>
        <v/>
      </c>
      <c r="K8" s="416" t="str">
        <f ca="1">IF(IMPORT!F21="","",IMPORT!F21)</f>
        <v/>
      </c>
      <c r="L8" s="416" t="str">
        <f ca="1">IF(IMPORT!G21="","",IMPORT!G21)</f>
        <v/>
      </c>
      <c r="M8" s="416" t="str">
        <f>IF(IMPORT!H21="","",IMPORT!H21)</f>
        <v/>
      </c>
      <c r="N8" s="399" t="str">
        <f t="shared" si="3"/>
        <v/>
      </c>
      <c r="P8" s="406" t="str">
        <f t="shared" si="4"/>
        <v/>
      </c>
      <c r="Q8" s="406" t="str">
        <f t="array" ref="Q8">IFERROR(INDEX($N$1:$N$203,SMALL(IF($N$1:$N$203&lt;&gt;"",ROW($N$1:$N$203)),ROW(6:6))),"")</f>
        <v/>
      </c>
      <c r="R8" s="399" t="str">
        <f t="shared" si="0"/>
        <v/>
      </c>
      <c r="S8" s="399" t="str">
        <f t="shared" si="5"/>
        <v/>
      </c>
      <c r="T8" s="399" t="str">
        <f t="shared" si="6"/>
        <v/>
      </c>
      <c r="U8" s="419" t="str">
        <f t="shared" si="1"/>
        <v/>
      </c>
      <c r="V8" s="433" t="b">
        <v>0</v>
      </c>
      <c r="W8" s="482"/>
      <c r="X8" s="481"/>
      <c r="Y8" s="481" t="s">
        <v>92</v>
      </c>
      <c r="Z8" s="481"/>
      <c r="AA8" s="481"/>
      <c r="AB8" s="481"/>
      <c r="AC8" s="481" t="s">
        <v>1401</v>
      </c>
      <c r="AD8" s="481"/>
      <c r="AE8" s="481" t="s">
        <v>111</v>
      </c>
      <c r="AF8" s="481" t="s">
        <v>299</v>
      </c>
      <c r="AG8" s="481"/>
      <c r="AH8" s="481"/>
      <c r="AI8" s="481"/>
      <c r="AJ8" s="481"/>
      <c r="AK8" s="481"/>
      <c r="AL8" s="481"/>
      <c r="AM8" s="481"/>
      <c r="AN8" s="481"/>
      <c r="AO8" s="481"/>
      <c r="AP8" s="481"/>
      <c r="AQ8" s="481"/>
      <c r="AR8" s="481"/>
      <c r="AS8" s="481" t="b">
        <v>0</v>
      </c>
      <c r="AT8" s="433"/>
      <c r="AU8" s="433"/>
      <c r="AV8" s="433"/>
      <c r="AW8" s="433"/>
      <c r="AX8" s="433"/>
      <c r="AY8" s="433"/>
      <c r="AZ8" s="433"/>
      <c r="BA8" s="433"/>
      <c r="BB8" s="433"/>
      <c r="BC8" s="433"/>
      <c r="BD8" s="433"/>
      <c r="BE8" s="433"/>
      <c r="BF8" s="433"/>
      <c r="BG8" s="433"/>
      <c r="BH8" s="433"/>
      <c r="BI8" s="433"/>
      <c r="BJ8" s="433"/>
      <c r="BK8" s="433"/>
      <c r="BL8" s="433"/>
      <c r="BM8" s="433"/>
      <c r="BN8" s="433"/>
      <c r="BO8" s="433"/>
      <c r="BP8" s="433"/>
      <c r="BQ8" s="433"/>
      <c r="BR8" s="433"/>
      <c r="BS8" s="433"/>
      <c r="BT8" s="433"/>
      <c r="BU8" s="399" t="str">
        <f t="shared" si="7"/>
        <v/>
      </c>
      <c r="BV8" s="433"/>
      <c r="BW8" s="433"/>
      <c r="BX8" s="433"/>
      <c r="BY8" s="433"/>
      <c r="BZ8" s="433"/>
      <c r="CA8" s="433"/>
      <c r="CB8" s="433"/>
      <c r="CC8" s="433"/>
      <c r="CD8" s="433"/>
      <c r="CE8" s="433"/>
      <c r="CF8" s="433"/>
      <c r="CG8" s="433"/>
      <c r="CH8" s="433"/>
      <c r="CI8" s="433"/>
      <c r="CJ8" s="433"/>
      <c r="CK8" s="433"/>
      <c r="CL8" s="433"/>
      <c r="CM8" s="433"/>
      <c r="CN8" s="433"/>
      <c r="CO8" s="433"/>
      <c r="CP8" s="433"/>
      <c r="CQ8" s="433"/>
      <c r="CR8" s="433"/>
      <c r="CS8" s="433"/>
      <c r="CT8" s="433"/>
      <c r="CU8" s="433"/>
      <c r="CV8" s="433"/>
      <c r="CW8" s="433"/>
      <c r="CX8" s="433"/>
      <c r="CY8" s="433"/>
      <c r="CZ8" s="399" t="str">
        <f t="shared" si="8"/>
        <v/>
      </c>
      <c r="DA8" s="399" t="str">
        <f t="shared" si="9"/>
        <v/>
      </c>
      <c r="DB8" s="399" t="str">
        <f t="shared" si="10"/>
        <v/>
      </c>
      <c r="DC8" s="399" t="str">
        <f t="shared" si="11"/>
        <v/>
      </c>
      <c r="DD8" s="399" t="str">
        <f t="shared" si="2"/>
        <v/>
      </c>
      <c r="DE8" s="399" t="str">
        <f t="shared" si="12"/>
        <v/>
      </c>
      <c r="DG8" s="434"/>
      <c r="DH8" s="434"/>
      <c r="DJ8" s="399"/>
    </row>
    <row r="9" spans="8:114" x14ac:dyDescent="0.25">
      <c r="H9" s="416" t="str">
        <f ca="1">IF(IMPORT!C22="","",IMPORT!C22)</f>
        <v/>
      </c>
      <c r="I9" s="416" t="str">
        <f ca="1">IF(IMPORT!D22="","",IMPORT!D22)</f>
        <v/>
      </c>
      <c r="J9" s="416" t="str">
        <f ca="1">IF(IMPORT!E22="","",IMPORT!E22)</f>
        <v/>
      </c>
      <c r="K9" s="416" t="str">
        <f ca="1">IF(IMPORT!F22="","",IMPORT!F22)</f>
        <v/>
      </c>
      <c r="L9" s="416" t="str">
        <f ca="1">IF(IMPORT!G22="","",IMPORT!G22)</f>
        <v/>
      </c>
      <c r="M9" s="416" t="str">
        <f>IF(IMPORT!H22="","",IMPORT!H22)</f>
        <v/>
      </c>
      <c r="N9" s="399" t="str">
        <f t="shared" si="3"/>
        <v/>
      </c>
      <c r="P9" s="406" t="str">
        <f t="shared" si="4"/>
        <v/>
      </c>
      <c r="Q9" s="406" t="str">
        <f t="array" ref="Q9">IFERROR(INDEX($N$1:$N$203,SMALL(IF($N$1:$N$203&lt;&gt;"",ROW($N$1:$N$203)),ROW(7:7))),"")</f>
        <v/>
      </c>
      <c r="R9" s="399" t="str">
        <f t="shared" si="0"/>
        <v/>
      </c>
      <c r="S9" s="399" t="str">
        <f t="shared" si="5"/>
        <v/>
      </c>
      <c r="T9" s="399" t="str">
        <f t="shared" si="6"/>
        <v/>
      </c>
      <c r="U9" s="419" t="str">
        <f t="shared" si="1"/>
        <v/>
      </c>
      <c r="V9" s="433" t="b">
        <v>0</v>
      </c>
      <c r="W9" s="482"/>
      <c r="X9" s="481"/>
      <c r="Y9" s="481" t="s">
        <v>92</v>
      </c>
      <c r="Z9" s="481"/>
      <c r="AA9" s="481"/>
      <c r="AB9" s="481"/>
      <c r="AC9" s="481" t="s">
        <v>1401</v>
      </c>
      <c r="AD9" s="481"/>
      <c r="AE9" s="481" t="s">
        <v>111</v>
      </c>
      <c r="AF9" s="481" t="s">
        <v>299</v>
      </c>
      <c r="AG9" s="481"/>
      <c r="AH9" s="481"/>
      <c r="AI9" s="481"/>
      <c r="AJ9" s="481"/>
      <c r="AK9" s="481"/>
      <c r="AL9" s="481"/>
      <c r="AM9" s="481"/>
      <c r="AN9" s="481"/>
      <c r="AO9" s="481"/>
      <c r="AP9" s="481"/>
      <c r="AQ9" s="481"/>
      <c r="AR9" s="481"/>
      <c r="AS9" s="481" t="b">
        <v>0</v>
      </c>
      <c r="AT9" s="433"/>
      <c r="AU9" s="433"/>
      <c r="AV9" s="433"/>
      <c r="AW9" s="433"/>
      <c r="AX9" s="433"/>
      <c r="AY9" s="433"/>
      <c r="AZ9" s="433"/>
      <c r="BA9" s="433"/>
      <c r="BB9" s="433"/>
      <c r="BC9" s="433"/>
      <c r="BD9" s="433"/>
      <c r="BE9" s="433"/>
      <c r="BF9" s="433"/>
      <c r="BG9" s="433"/>
      <c r="BH9" s="433"/>
      <c r="BI9" s="433"/>
      <c r="BJ9" s="433"/>
      <c r="BK9" s="433"/>
      <c r="BL9" s="433"/>
      <c r="BM9" s="433"/>
      <c r="BN9" s="433"/>
      <c r="BO9" s="433"/>
      <c r="BP9" s="433"/>
      <c r="BQ9" s="433"/>
      <c r="BR9" s="433"/>
      <c r="BS9" s="433"/>
      <c r="BT9" s="433"/>
      <c r="BU9" s="399" t="str">
        <f t="shared" si="7"/>
        <v/>
      </c>
      <c r="BV9" s="433"/>
      <c r="BW9" s="433"/>
      <c r="BX9" s="433"/>
      <c r="BY9" s="433"/>
      <c r="BZ9" s="433"/>
      <c r="CA9" s="433"/>
      <c r="CB9" s="433"/>
      <c r="CC9" s="433"/>
      <c r="CD9" s="433"/>
      <c r="CE9" s="433"/>
      <c r="CF9" s="433"/>
      <c r="CG9" s="433"/>
      <c r="CH9" s="433"/>
      <c r="CI9" s="433"/>
      <c r="CJ9" s="433"/>
      <c r="CK9" s="433"/>
      <c r="CL9" s="433"/>
      <c r="CM9" s="433"/>
      <c r="CN9" s="433"/>
      <c r="CO9" s="433"/>
      <c r="CP9" s="433"/>
      <c r="CQ9" s="433"/>
      <c r="CR9" s="433"/>
      <c r="CS9" s="433"/>
      <c r="CT9" s="433"/>
      <c r="CU9" s="433"/>
      <c r="CV9" s="433"/>
      <c r="CW9" s="433"/>
      <c r="CX9" s="433"/>
      <c r="CY9" s="433"/>
      <c r="CZ9" s="399" t="str">
        <f t="shared" si="8"/>
        <v/>
      </c>
      <c r="DA9" s="399" t="str">
        <f t="shared" si="9"/>
        <v/>
      </c>
      <c r="DB9" s="399" t="str">
        <f t="shared" si="10"/>
        <v/>
      </c>
      <c r="DC9" s="399" t="str">
        <f t="shared" si="11"/>
        <v/>
      </c>
      <c r="DD9" s="399" t="str">
        <f t="shared" si="2"/>
        <v/>
      </c>
      <c r="DE9" s="399" t="str">
        <f t="shared" si="12"/>
        <v/>
      </c>
      <c r="DG9" s="434"/>
      <c r="DH9" s="434"/>
      <c r="DJ9" s="399"/>
    </row>
    <row r="10" spans="8:114" x14ac:dyDescent="0.25">
      <c r="H10" s="416" t="str">
        <f ca="1">IF(IMPORT!C23="","",IMPORT!C23)</f>
        <v/>
      </c>
      <c r="I10" s="416" t="str">
        <f ca="1">IF(IMPORT!D23="","",IMPORT!D23)</f>
        <v/>
      </c>
      <c r="J10" s="416" t="str">
        <f ca="1">IF(IMPORT!E23="","",IMPORT!E23)</f>
        <v/>
      </c>
      <c r="K10" s="416" t="str">
        <f ca="1">IF(IMPORT!F23="","",IMPORT!F23)</f>
        <v/>
      </c>
      <c r="L10" s="416" t="str">
        <f ca="1">IF(IMPORT!G23="","",IMPORT!G23)</f>
        <v/>
      </c>
      <c r="M10" s="416" t="str">
        <f>IF(IMPORT!H23="","",IMPORT!H23)</f>
        <v/>
      </c>
      <c r="N10" s="399" t="str">
        <f t="shared" si="3"/>
        <v/>
      </c>
      <c r="P10" s="406" t="str">
        <f t="shared" si="4"/>
        <v/>
      </c>
      <c r="Q10" s="406" t="str">
        <f t="array" ref="Q10">IFERROR(INDEX($N$1:$N$203,SMALL(IF($N$1:$N$203&lt;&gt;"",ROW($N$1:$N$203)),ROW(8:8))),"")</f>
        <v/>
      </c>
      <c r="R10" s="399" t="str">
        <f t="shared" si="0"/>
        <v/>
      </c>
      <c r="S10" s="399" t="str">
        <f t="shared" si="5"/>
        <v/>
      </c>
      <c r="T10" s="399" t="str">
        <f t="shared" si="6"/>
        <v/>
      </c>
      <c r="U10" s="419" t="str">
        <f t="shared" si="1"/>
        <v/>
      </c>
      <c r="V10" s="433" t="b">
        <v>0</v>
      </c>
      <c r="W10" s="482"/>
      <c r="X10" s="481"/>
      <c r="Y10" s="481" t="s">
        <v>92</v>
      </c>
      <c r="Z10" s="481"/>
      <c r="AA10" s="481"/>
      <c r="AB10" s="481"/>
      <c r="AC10" s="481" t="s">
        <v>1401</v>
      </c>
      <c r="AD10" s="481"/>
      <c r="AE10" s="481" t="s">
        <v>111</v>
      </c>
      <c r="AF10" s="481" t="s">
        <v>299</v>
      </c>
      <c r="AG10" s="481"/>
      <c r="AH10" s="481"/>
      <c r="AI10" s="481"/>
      <c r="AJ10" s="481"/>
      <c r="AK10" s="481"/>
      <c r="AL10" s="481"/>
      <c r="AM10" s="481"/>
      <c r="AN10" s="481"/>
      <c r="AO10" s="481"/>
      <c r="AP10" s="481"/>
      <c r="AQ10" s="481"/>
      <c r="AR10" s="481"/>
      <c r="AS10" s="481" t="b">
        <v>0</v>
      </c>
      <c r="AT10" s="433"/>
      <c r="AU10" s="433"/>
      <c r="AV10" s="433"/>
      <c r="AW10" s="433"/>
      <c r="AX10" s="433"/>
      <c r="AY10" s="433"/>
      <c r="AZ10" s="433"/>
      <c r="BA10" s="433"/>
      <c r="BB10" s="433"/>
      <c r="BC10" s="433"/>
      <c r="BD10" s="433"/>
      <c r="BE10" s="433"/>
      <c r="BF10" s="433"/>
      <c r="BG10" s="433"/>
      <c r="BH10" s="433"/>
      <c r="BI10" s="433"/>
      <c r="BJ10" s="433"/>
      <c r="BK10" s="433"/>
      <c r="BL10" s="433"/>
      <c r="BM10" s="433"/>
      <c r="BN10" s="433"/>
      <c r="BO10" s="433"/>
      <c r="BP10" s="433"/>
      <c r="BQ10" s="433"/>
      <c r="BR10" s="433"/>
      <c r="BS10" s="433"/>
      <c r="BT10" s="433"/>
      <c r="BU10" s="399" t="str">
        <f t="shared" si="7"/>
        <v/>
      </c>
      <c r="BV10" s="433"/>
      <c r="BW10" s="433"/>
      <c r="BX10" s="433"/>
      <c r="BY10" s="433"/>
      <c r="BZ10" s="433"/>
      <c r="CA10" s="433"/>
      <c r="CB10" s="433"/>
      <c r="CC10" s="433"/>
      <c r="CD10" s="433"/>
      <c r="CE10" s="433"/>
      <c r="CF10" s="433"/>
      <c r="CG10" s="433"/>
      <c r="CH10" s="433"/>
      <c r="CI10" s="433"/>
      <c r="CJ10" s="433"/>
      <c r="CK10" s="433"/>
      <c r="CL10" s="433"/>
      <c r="CM10" s="433"/>
      <c r="CN10" s="433"/>
      <c r="CO10" s="433"/>
      <c r="CP10" s="433"/>
      <c r="CQ10" s="433"/>
      <c r="CR10" s="433"/>
      <c r="CS10" s="433"/>
      <c r="CT10" s="433"/>
      <c r="CU10" s="433"/>
      <c r="CV10" s="433"/>
      <c r="CW10" s="433"/>
      <c r="CX10" s="433"/>
      <c r="CY10" s="433"/>
      <c r="CZ10" s="399" t="str">
        <f t="shared" si="8"/>
        <v/>
      </c>
      <c r="DA10" s="399" t="str">
        <f t="shared" si="9"/>
        <v/>
      </c>
      <c r="DB10" s="399" t="str">
        <f t="shared" si="10"/>
        <v/>
      </c>
      <c r="DC10" s="399" t="str">
        <f t="shared" si="11"/>
        <v/>
      </c>
      <c r="DD10" s="399" t="str">
        <f t="shared" si="2"/>
        <v/>
      </c>
      <c r="DE10" s="399" t="str">
        <f t="shared" si="12"/>
        <v/>
      </c>
      <c r="DG10" s="434"/>
      <c r="DH10" s="434"/>
      <c r="DJ10" s="399"/>
    </row>
    <row r="11" spans="8:114" x14ac:dyDescent="0.25">
      <c r="H11" s="416" t="str">
        <f ca="1">IF(IMPORT!C24="","",IMPORT!C24)</f>
        <v/>
      </c>
      <c r="I11" s="416" t="str">
        <f ca="1">IF(IMPORT!D24="","",IMPORT!D24)</f>
        <v/>
      </c>
      <c r="J11" s="416" t="str">
        <f ca="1">IF(IMPORT!E24="","",IMPORT!E24)</f>
        <v/>
      </c>
      <c r="K11" s="416" t="str">
        <f ca="1">IF(IMPORT!F24="","",IMPORT!F24)</f>
        <v/>
      </c>
      <c r="L11" s="416" t="str">
        <f ca="1">IF(IMPORT!G24="","",IMPORT!G24)</f>
        <v/>
      </c>
      <c r="M11" s="416" t="str">
        <f>IF(IMPORT!H24="","",IMPORT!H24)</f>
        <v/>
      </c>
      <c r="N11" s="399" t="str">
        <f t="shared" si="3"/>
        <v/>
      </c>
      <c r="P11" s="406" t="str">
        <f t="shared" si="4"/>
        <v/>
      </c>
      <c r="Q11" s="406" t="str">
        <f t="array" ref="Q11">IFERROR(INDEX($N$1:$N$203,SMALL(IF($N$1:$N$203&lt;&gt;"",ROW($N$1:$N$203)),ROW(9:9))),"")</f>
        <v/>
      </c>
      <c r="R11" s="399" t="str">
        <f t="shared" si="0"/>
        <v/>
      </c>
      <c r="S11" s="399" t="str">
        <f t="shared" si="5"/>
        <v/>
      </c>
      <c r="T11" s="399" t="str">
        <f t="shared" si="6"/>
        <v/>
      </c>
      <c r="U11" s="419" t="str">
        <f t="shared" si="1"/>
        <v/>
      </c>
      <c r="V11" s="433" t="b">
        <v>0</v>
      </c>
      <c r="W11" s="482"/>
      <c r="X11" s="481"/>
      <c r="Y11" s="481" t="s">
        <v>92</v>
      </c>
      <c r="Z11" s="481"/>
      <c r="AA11" s="481"/>
      <c r="AB11" s="481"/>
      <c r="AC11" s="481" t="s">
        <v>1401</v>
      </c>
      <c r="AD11" s="481"/>
      <c r="AE11" s="481" t="s">
        <v>111</v>
      </c>
      <c r="AF11" s="481" t="s">
        <v>299</v>
      </c>
      <c r="AG11" s="481"/>
      <c r="AH11" s="481"/>
      <c r="AI11" s="481"/>
      <c r="AJ11" s="481"/>
      <c r="AK11" s="481"/>
      <c r="AL11" s="481"/>
      <c r="AM11" s="481"/>
      <c r="AN11" s="481"/>
      <c r="AO11" s="481"/>
      <c r="AP11" s="481"/>
      <c r="AQ11" s="481"/>
      <c r="AR11" s="481"/>
      <c r="AS11" s="481" t="b">
        <v>0</v>
      </c>
      <c r="AT11" s="433"/>
      <c r="AU11" s="433"/>
      <c r="AV11" s="433"/>
      <c r="AW11" s="433"/>
      <c r="AX11" s="433"/>
      <c r="AY11" s="433"/>
      <c r="AZ11" s="433"/>
      <c r="BA11" s="433"/>
      <c r="BB11" s="433"/>
      <c r="BC11" s="433"/>
      <c r="BD11" s="433"/>
      <c r="BE11" s="433"/>
      <c r="BF11" s="433"/>
      <c r="BG11" s="433"/>
      <c r="BH11" s="433"/>
      <c r="BI11" s="433"/>
      <c r="BJ11" s="433"/>
      <c r="BK11" s="433"/>
      <c r="BL11" s="433"/>
      <c r="BM11" s="433"/>
      <c r="BN11" s="433"/>
      <c r="BO11" s="433"/>
      <c r="BP11" s="433"/>
      <c r="BQ11" s="433"/>
      <c r="BR11" s="433"/>
      <c r="BS11" s="433"/>
      <c r="BT11" s="433"/>
      <c r="BU11" s="399" t="str">
        <f t="shared" si="7"/>
        <v/>
      </c>
      <c r="BV11" s="433"/>
      <c r="BW11" s="433"/>
      <c r="BX11" s="433"/>
      <c r="BY11" s="433"/>
      <c r="BZ11" s="433"/>
      <c r="CA11" s="433"/>
      <c r="CB11" s="433"/>
      <c r="CC11" s="433"/>
      <c r="CD11" s="433"/>
      <c r="CE11" s="433"/>
      <c r="CF11" s="433"/>
      <c r="CG11" s="433"/>
      <c r="CH11" s="433"/>
      <c r="CI11" s="433"/>
      <c r="CJ11" s="433"/>
      <c r="CK11" s="433"/>
      <c r="CL11" s="433"/>
      <c r="CM11" s="433"/>
      <c r="CN11" s="433"/>
      <c r="CO11" s="433"/>
      <c r="CP11" s="433"/>
      <c r="CQ11" s="433"/>
      <c r="CR11" s="433"/>
      <c r="CS11" s="433"/>
      <c r="CT11" s="433"/>
      <c r="CU11" s="433"/>
      <c r="CV11" s="433"/>
      <c r="CW11" s="433"/>
      <c r="CX11" s="433"/>
      <c r="CY11" s="433"/>
      <c r="CZ11" s="399" t="str">
        <f t="shared" si="8"/>
        <v/>
      </c>
      <c r="DA11" s="399" t="str">
        <f t="shared" si="9"/>
        <v/>
      </c>
      <c r="DB11" s="399" t="str">
        <f t="shared" si="10"/>
        <v/>
      </c>
      <c r="DC11" s="399" t="str">
        <f t="shared" si="11"/>
        <v/>
      </c>
      <c r="DD11" s="399" t="str">
        <f t="shared" si="2"/>
        <v/>
      </c>
      <c r="DE11" s="399" t="str">
        <f t="shared" si="12"/>
        <v/>
      </c>
      <c r="DG11" s="434"/>
      <c r="DH11" s="434"/>
      <c r="DJ11" s="399"/>
    </row>
    <row r="12" spans="8:114" x14ac:dyDescent="0.25">
      <c r="H12" s="416" t="str">
        <f ca="1">IF(IMPORT!C25="","",IMPORT!C25)</f>
        <v/>
      </c>
      <c r="I12" s="416" t="str">
        <f ca="1">IF(IMPORT!D25="","",IMPORT!D25)</f>
        <v/>
      </c>
      <c r="J12" s="416" t="str">
        <f ca="1">IF(IMPORT!E25="","",IMPORT!E25)</f>
        <v/>
      </c>
      <c r="K12" s="416" t="str">
        <f ca="1">IF(IMPORT!F25="","",IMPORT!F25)</f>
        <v/>
      </c>
      <c r="L12" s="416" t="str">
        <f ca="1">IF(IMPORT!G25="","",IMPORT!G25)</f>
        <v/>
      </c>
      <c r="M12" s="416" t="str">
        <f>IF(IMPORT!H25="","",IMPORT!H25)</f>
        <v/>
      </c>
      <c r="N12" s="399" t="str">
        <f t="shared" si="3"/>
        <v/>
      </c>
      <c r="P12" s="406" t="str">
        <f t="shared" si="4"/>
        <v/>
      </c>
      <c r="Q12" s="406" t="str">
        <f t="array" ref="Q12">IFERROR(INDEX($N$1:$N$203,SMALL(IF($N$1:$N$203&lt;&gt;"",ROW($N$1:$N$203)),ROW(10:10))),"")</f>
        <v/>
      </c>
      <c r="R12" s="399" t="str">
        <f t="shared" si="0"/>
        <v/>
      </c>
      <c r="S12" s="399" t="str">
        <f t="shared" si="5"/>
        <v/>
      </c>
      <c r="T12" s="399" t="str">
        <f t="shared" si="6"/>
        <v/>
      </c>
      <c r="U12" s="419" t="str">
        <f t="shared" si="1"/>
        <v/>
      </c>
      <c r="V12" s="433" t="b">
        <v>0</v>
      </c>
      <c r="W12" s="482"/>
      <c r="X12" s="481"/>
      <c r="Y12" s="481" t="s">
        <v>92</v>
      </c>
      <c r="Z12" s="481"/>
      <c r="AA12" s="481"/>
      <c r="AB12" s="481"/>
      <c r="AC12" s="481" t="s">
        <v>1401</v>
      </c>
      <c r="AD12" s="481"/>
      <c r="AE12" s="481" t="s">
        <v>111</v>
      </c>
      <c r="AF12" s="481" t="s">
        <v>299</v>
      </c>
      <c r="AG12" s="481"/>
      <c r="AH12" s="481"/>
      <c r="AI12" s="481"/>
      <c r="AJ12" s="481"/>
      <c r="AK12" s="481"/>
      <c r="AL12" s="481"/>
      <c r="AM12" s="481"/>
      <c r="AN12" s="481"/>
      <c r="AO12" s="481"/>
      <c r="AP12" s="481"/>
      <c r="AQ12" s="481"/>
      <c r="AR12" s="481"/>
      <c r="AS12" s="481" t="b">
        <v>0</v>
      </c>
      <c r="AT12" s="433"/>
      <c r="AU12" s="433"/>
      <c r="AV12" s="433"/>
      <c r="AW12" s="433"/>
      <c r="AX12" s="433"/>
      <c r="AY12" s="433"/>
      <c r="AZ12" s="433"/>
      <c r="BA12" s="433"/>
      <c r="BB12" s="433"/>
      <c r="BC12" s="433"/>
      <c r="BD12" s="433"/>
      <c r="BE12" s="433"/>
      <c r="BF12" s="433"/>
      <c r="BG12" s="433"/>
      <c r="BH12" s="433"/>
      <c r="BI12" s="433"/>
      <c r="BJ12" s="433"/>
      <c r="BK12" s="433"/>
      <c r="BL12" s="433"/>
      <c r="BM12" s="433"/>
      <c r="BN12" s="433"/>
      <c r="BO12" s="433"/>
      <c r="BP12" s="433"/>
      <c r="BQ12" s="433"/>
      <c r="BR12" s="433"/>
      <c r="BS12" s="433"/>
      <c r="BT12" s="433"/>
      <c r="BU12" s="399" t="str">
        <f t="shared" si="7"/>
        <v/>
      </c>
      <c r="BV12" s="433"/>
      <c r="BW12" s="433"/>
      <c r="BX12" s="433"/>
      <c r="BY12" s="433"/>
      <c r="BZ12" s="433"/>
      <c r="CA12" s="433"/>
      <c r="CB12" s="433"/>
      <c r="CC12" s="433"/>
      <c r="CD12" s="433"/>
      <c r="CE12" s="433"/>
      <c r="CF12" s="433"/>
      <c r="CG12" s="433"/>
      <c r="CH12" s="433"/>
      <c r="CI12" s="433"/>
      <c r="CJ12" s="433"/>
      <c r="CK12" s="433"/>
      <c r="CL12" s="433"/>
      <c r="CM12" s="433"/>
      <c r="CN12" s="433"/>
      <c r="CO12" s="433"/>
      <c r="CP12" s="433"/>
      <c r="CQ12" s="433"/>
      <c r="CR12" s="433"/>
      <c r="CS12" s="433"/>
      <c r="CT12" s="433"/>
      <c r="CU12" s="433"/>
      <c r="CV12" s="433"/>
      <c r="CW12" s="433"/>
      <c r="CX12" s="433"/>
      <c r="CY12" s="433"/>
      <c r="CZ12" s="399" t="str">
        <f t="shared" si="8"/>
        <v/>
      </c>
      <c r="DA12" s="399" t="str">
        <f t="shared" si="9"/>
        <v/>
      </c>
      <c r="DB12" s="399" t="str">
        <f t="shared" si="10"/>
        <v/>
      </c>
      <c r="DC12" s="399" t="str">
        <f t="shared" si="11"/>
        <v/>
      </c>
      <c r="DD12" s="399" t="str">
        <f t="shared" si="2"/>
        <v/>
      </c>
      <c r="DE12" s="399" t="str">
        <f t="shared" si="12"/>
        <v/>
      </c>
      <c r="DG12" s="434"/>
      <c r="DH12" s="434"/>
      <c r="DJ12" s="399"/>
    </row>
    <row r="13" spans="8:114" x14ac:dyDescent="0.25">
      <c r="H13" s="416" t="str">
        <f ca="1">IF(IMPORT!C26="","",IMPORT!C26)</f>
        <v/>
      </c>
      <c r="I13" s="416" t="str">
        <f ca="1">IF(IMPORT!D26="","",IMPORT!D26)</f>
        <v/>
      </c>
      <c r="J13" s="416" t="str">
        <f ca="1">IF(IMPORT!E26="","",IMPORT!E26)</f>
        <v/>
      </c>
      <c r="K13" s="416" t="str">
        <f ca="1">IF(IMPORT!F26="","",IMPORT!F26)</f>
        <v/>
      </c>
      <c r="L13" s="416" t="str">
        <f ca="1">IF(IMPORT!G26="","",IMPORT!G26)</f>
        <v/>
      </c>
      <c r="M13" s="416" t="str">
        <f>IF(IMPORT!H26="","",IMPORT!H26)</f>
        <v/>
      </c>
      <c r="N13" s="399" t="str">
        <f t="shared" si="3"/>
        <v/>
      </c>
      <c r="P13" s="406" t="str">
        <f t="shared" si="4"/>
        <v/>
      </c>
      <c r="Q13" s="406" t="str">
        <f t="array" ref="Q13">IFERROR(INDEX($N$1:$N$203,SMALL(IF($N$1:$N$203&lt;&gt;"",ROW($N$1:$N$203)),ROW(11:11))),"")</f>
        <v/>
      </c>
      <c r="R13" s="399" t="str">
        <f t="shared" si="0"/>
        <v/>
      </c>
      <c r="S13" s="399" t="str">
        <f t="shared" si="5"/>
        <v/>
      </c>
      <c r="T13" s="399" t="str">
        <f t="shared" si="6"/>
        <v/>
      </c>
      <c r="U13" s="419" t="str">
        <f t="shared" ref="U13:U76" si="13">IF(P13="","",TowerTypeImport)</f>
        <v/>
      </c>
      <c r="V13" s="433" t="b">
        <v>0</v>
      </c>
      <c r="W13" s="482"/>
      <c r="X13" s="481"/>
      <c r="Y13" s="481" t="s">
        <v>92</v>
      </c>
      <c r="Z13" s="481"/>
      <c r="AA13" s="481"/>
      <c r="AB13" s="481"/>
      <c r="AC13" s="481" t="s">
        <v>1401</v>
      </c>
      <c r="AD13" s="481"/>
      <c r="AE13" s="481" t="s">
        <v>111</v>
      </c>
      <c r="AF13" s="481" t="s">
        <v>299</v>
      </c>
      <c r="AG13" s="481"/>
      <c r="AH13" s="481"/>
      <c r="AI13" s="481"/>
      <c r="AJ13" s="481"/>
      <c r="AK13" s="481"/>
      <c r="AL13" s="481"/>
      <c r="AM13" s="481"/>
      <c r="AN13" s="481"/>
      <c r="AO13" s="481"/>
      <c r="AP13" s="481"/>
      <c r="AQ13" s="481"/>
      <c r="AR13" s="481"/>
      <c r="AS13" s="481" t="b">
        <v>0</v>
      </c>
      <c r="AT13" s="433"/>
      <c r="AU13" s="433"/>
      <c r="AV13" s="433"/>
      <c r="AW13" s="433"/>
      <c r="AX13" s="433"/>
      <c r="AY13" s="433"/>
      <c r="AZ13" s="433"/>
      <c r="BA13" s="433"/>
      <c r="BB13" s="433"/>
      <c r="BC13" s="433"/>
      <c r="BD13" s="433"/>
      <c r="BE13" s="433"/>
      <c r="BF13" s="433"/>
      <c r="BG13" s="433"/>
      <c r="BH13" s="433"/>
      <c r="BI13" s="433"/>
      <c r="BJ13" s="433"/>
      <c r="BK13" s="433"/>
      <c r="BL13" s="433"/>
      <c r="BM13" s="433"/>
      <c r="BN13" s="433"/>
      <c r="BO13" s="433"/>
      <c r="BP13" s="433"/>
      <c r="BQ13" s="433"/>
      <c r="BR13" s="433"/>
      <c r="BS13" s="433"/>
      <c r="BT13" s="433"/>
      <c r="BU13" s="399" t="str">
        <f t="shared" si="7"/>
        <v/>
      </c>
      <c r="BV13" s="433"/>
      <c r="BW13" s="433"/>
      <c r="BX13" s="433"/>
      <c r="BY13" s="433"/>
      <c r="BZ13" s="433"/>
      <c r="CA13" s="433"/>
      <c r="CB13" s="433"/>
      <c r="CC13" s="433"/>
      <c r="CD13" s="433"/>
      <c r="CE13" s="433"/>
      <c r="CF13" s="433"/>
      <c r="CG13" s="433"/>
      <c r="CH13" s="433"/>
      <c r="CI13" s="433"/>
      <c r="CJ13" s="433"/>
      <c r="CK13" s="433"/>
      <c r="CL13" s="433"/>
      <c r="CM13" s="433"/>
      <c r="CN13" s="433"/>
      <c r="CO13" s="433"/>
      <c r="CP13" s="433"/>
      <c r="CQ13" s="433"/>
      <c r="CR13" s="433"/>
      <c r="CS13" s="433"/>
      <c r="CT13" s="433"/>
      <c r="CU13" s="433"/>
      <c r="CV13" s="433"/>
      <c r="CW13" s="433"/>
      <c r="CX13" s="433"/>
      <c r="CY13" s="433"/>
      <c r="CZ13" s="399" t="str">
        <f t="shared" si="8"/>
        <v/>
      </c>
      <c r="DA13" s="399" t="str">
        <f t="shared" si="9"/>
        <v/>
      </c>
      <c r="DB13" s="399" t="str">
        <f t="shared" si="10"/>
        <v/>
      </c>
      <c r="DC13" s="399" t="str">
        <f t="shared" si="11"/>
        <v/>
      </c>
      <c r="DD13" s="399" t="str">
        <f t="shared" si="2"/>
        <v/>
      </c>
      <c r="DE13" s="399" t="str">
        <f t="shared" si="12"/>
        <v/>
      </c>
      <c r="DG13" s="434"/>
      <c r="DH13" s="434"/>
      <c r="DJ13" s="399"/>
    </row>
    <row r="14" spans="8:114" x14ac:dyDescent="0.25">
      <c r="H14" s="416" t="str">
        <f ca="1">IF(IMPORT!C27="","",IMPORT!C27)</f>
        <v/>
      </c>
      <c r="I14" s="416" t="str">
        <f ca="1">IF(IMPORT!D27="","",IMPORT!D27)</f>
        <v/>
      </c>
      <c r="J14" s="416" t="str">
        <f ca="1">IF(IMPORT!E27="","",IMPORT!E27)</f>
        <v/>
      </c>
      <c r="K14" s="416" t="str">
        <f ca="1">IF(IMPORT!F27="","",IMPORT!F27)</f>
        <v/>
      </c>
      <c r="L14" s="416" t="str">
        <f ca="1">IF(IMPORT!G27="","",IMPORT!G27)</f>
        <v/>
      </c>
      <c r="M14" s="416" t="str">
        <f>IF(IMPORT!H27="","",IMPORT!H27)</f>
        <v/>
      </c>
      <c r="N14" s="399" t="str">
        <f t="shared" si="3"/>
        <v/>
      </c>
      <c r="P14" s="406" t="str">
        <f t="shared" si="4"/>
        <v/>
      </c>
      <c r="Q14" s="406" t="str">
        <f t="array" ref="Q14">IFERROR(INDEX($N$1:$N$203,SMALL(IF($N$1:$N$203&lt;&gt;"",ROW($N$1:$N$203)),ROW(12:12))),"")</f>
        <v/>
      </c>
      <c r="R14" s="399" t="str">
        <f t="shared" si="0"/>
        <v/>
      </c>
      <c r="S14" s="399" t="str">
        <f t="shared" si="5"/>
        <v/>
      </c>
      <c r="T14" s="399" t="str">
        <f t="shared" si="6"/>
        <v/>
      </c>
      <c r="U14" s="419" t="str">
        <f t="shared" si="13"/>
        <v/>
      </c>
      <c r="V14" s="433" t="b">
        <v>0</v>
      </c>
      <c r="W14" s="482"/>
      <c r="X14" s="481"/>
      <c r="Y14" s="481" t="s">
        <v>92</v>
      </c>
      <c r="Z14" s="481"/>
      <c r="AA14" s="481"/>
      <c r="AB14" s="481"/>
      <c r="AC14" s="481" t="s">
        <v>1401</v>
      </c>
      <c r="AD14" s="481"/>
      <c r="AE14" s="481" t="s">
        <v>111</v>
      </c>
      <c r="AF14" s="481" t="s">
        <v>299</v>
      </c>
      <c r="AG14" s="481"/>
      <c r="AH14" s="481"/>
      <c r="AI14" s="481"/>
      <c r="AJ14" s="481"/>
      <c r="AK14" s="481"/>
      <c r="AL14" s="481"/>
      <c r="AM14" s="481"/>
      <c r="AN14" s="481"/>
      <c r="AO14" s="481"/>
      <c r="AP14" s="481"/>
      <c r="AQ14" s="481"/>
      <c r="AR14" s="481"/>
      <c r="AS14" s="481" t="b">
        <v>0</v>
      </c>
      <c r="AT14" s="433"/>
      <c r="AU14" s="433"/>
      <c r="AV14" s="433"/>
      <c r="AW14" s="433"/>
      <c r="AX14" s="433"/>
      <c r="AY14" s="433"/>
      <c r="AZ14" s="433"/>
      <c r="BA14" s="433"/>
      <c r="BB14" s="433"/>
      <c r="BC14" s="433"/>
      <c r="BD14" s="433"/>
      <c r="BE14" s="433"/>
      <c r="BF14" s="433"/>
      <c r="BG14" s="433"/>
      <c r="BH14" s="433"/>
      <c r="BI14" s="433"/>
      <c r="BJ14" s="433"/>
      <c r="BK14" s="433"/>
      <c r="BL14" s="433"/>
      <c r="BM14" s="433"/>
      <c r="BN14" s="433"/>
      <c r="BO14" s="433"/>
      <c r="BP14" s="433"/>
      <c r="BQ14" s="433"/>
      <c r="BR14" s="433"/>
      <c r="BS14" s="433"/>
      <c r="BT14" s="433"/>
      <c r="BU14" s="399" t="str">
        <f t="shared" si="7"/>
        <v/>
      </c>
      <c r="BV14" s="433"/>
      <c r="BW14" s="433"/>
      <c r="BX14" s="433"/>
      <c r="BY14" s="433"/>
      <c r="BZ14" s="433"/>
      <c r="CA14" s="433"/>
      <c r="CB14" s="433"/>
      <c r="CC14" s="433"/>
      <c r="CD14" s="433"/>
      <c r="CE14" s="433"/>
      <c r="CF14" s="433"/>
      <c r="CG14" s="433"/>
      <c r="CH14" s="433"/>
      <c r="CI14" s="433"/>
      <c r="CJ14" s="433"/>
      <c r="CK14" s="433"/>
      <c r="CL14" s="433"/>
      <c r="CM14" s="433"/>
      <c r="CN14" s="433"/>
      <c r="CO14" s="433"/>
      <c r="CP14" s="433"/>
      <c r="CQ14" s="433"/>
      <c r="CR14" s="433"/>
      <c r="CS14" s="433"/>
      <c r="CT14" s="433"/>
      <c r="CU14" s="433"/>
      <c r="CV14" s="433"/>
      <c r="CW14" s="433"/>
      <c r="CX14" s="433"/>
      <c r="CY14" s="433"/>
      <c r="CZ14" s="399" t="str">
        <f t="shared" si="8"/>
        <v/>
      </c>
      <c r="DA14" s="399" t="str">
        <f t="shared" si="9"/>
        <v/>
      </c>
      <c r="DB14" s="399" t="str">
        <f t="shared" si="10"/>
        <v/>
      </c>
      <c r="DC14" s="399" t="str">
        <f t="shared" si="11"/>
        <v/>
      </c>
      <c r="DD14" s="399" t="str">
        <f t="shared" si="2"/>
        <v/>
      </c>
      <c r="DE14" s="399" t="str">
        <f t="shared" si="12"/>
        <v/>
      </c>
      <c r="DG14" s="434"/>
      <c r="DH14" s="434"/>
      <c r="DJ14" s="399"/>
    </row>
    <row r="15" spans="8:114" x14ac:dyDescent="0.25">
      <c r="H15" s="416" t="str">
        <f ca="1">IF(IMPORT!C28="","",IMPORT!C28)</f>
        <v/>
      </c>
      <c r="I15" s="416" t="str">
        <f ca="1">IF(IMPORT!D28="","",IMPORT!D28)</f>
        <v/>
      </c>
      <c r="J15" s="416" t="str">
        <f ca="1">IF(IMPORT!E28="","",IMPORT!E28)</f>
        <v/>
      </c>
      <c r="K15" s="416" t="str">
        <f ca="1">IF(IMPORT!F28="","",IMPORT!F28)</f>
        <v/>
      </c>
      <c r="L15" s="416" t="str">
        <f ca="1">IF(IMPORT!G28="","",IMPORT!G28)</f>
        <v/>
      </c>
      <c r="M15" s="416" t="str">
        <f>IF(IMPORT!H28="","",IMPORT!H28)</f>
        <v/>
      </c>
      <c r="N15" s="399" t="str">
        <f t="shared" si="3"/>
        <v/>
      </c>
      <c r="P15" s="406" t="str">
        <f t="shared" si="4"/>
        <v/>
      </c>
      <c r="Q15" s="406" t="str">
        <f t="array" ref="Q15">IFERROR(INDEX($N$1:$N$203,SMALL(IF($N$1:$N$203&lt;&gt;"",ROW($N$1:$N$203)),ROW(13:13))),"")</f>
        <v/>
      </c>
      <c r="R15" s="399" t="str">
        <f t="shared" si="0"/>
        <v/>
      </c>
      <c r="S15" s="399" t="str">
        <f t="shared" si="5"/>
        <v/>
      </c>
      <c r="T15" s="399" t="str">
        <f t="shared" si="6"/>
        <v/>
      </c>
      <c r="U15" s="419" t="str">
        <f t="shared" si="13"/>
        <v/>
      </c>
      <c r="V15" s="433" t="b">
        <v>0</v>
      </c>
      <c r="W15" s="482"/>
      <c r="X15" s="481"/>
      <c r="Y15" s="481" t="s">
        <v>92</v>
      </c>
      <c r="Z15" s="481"/>
      <c r="AA15" s="481"/>
      <c r="AB15" s="481"/>
      <c r="AC15" s="481" t="s">
        <v>1401</v>
      </c>
      <c r="AD15" s="481"/>
      <c r="AE15" s="481" t="s">
        <v>111</v>
      </c>
      <c r="AF15" s="481" t="s">
        <v>299</v>
      </c>
      <c r="AG15" s="481"/>
      <c r="AH15" s="481"/>
      <c r="AI15" s="481"/>
      <c r="AJ15" s="481"/>
      <c r="AK15" s="481"/>
      <c r="AL15" s="481"/>
      <c r="AM15" s="481"/>
      <c r="AN15" s="481"/>
      <c r="AO15" s="481"/>
      <c r="AP15" s="481"/>
      <c r="AQ15" s="481"/>
      <c r="AR15" s="481"/>
      <c r="AS15" s="481" t="b">
        <v>0</v>
      </c>
      <c r="AT15" s="433"/>
      <c r="AU15" s="433"/>
      <c r="AV15" s="433"/>
      <c r="AW15" s="433"/>
      <c r="AX15" s="433"/>
      <c r="AY15" s="433"/>
      <c r="AZ15" s="433"/>
      <c r="BA15" s="433"/>
      <c r="BB15" s="433"/>
      <c r="BC15" s="433"/>
      <c r="BD15" s="433"/>
      <c r="BE15" s="433"/>
      <c r="BF15" s="433"/>
      <c r="BG15" s="433"/>
      <c r="BH15" s="433"/>
      <c r="BI15" s="433"/>
      <c r="BJ15" s="433"/>
      <c r="BK15" s="433"/>
      <c r="BL15" s="433"/>
      <c r="BM15" s="433"/>
      <c r="BN15" s="433"/>
      <c r="BO15" s="433"/>
      <c r="BP15" s="433"/>
      <c r="BQ15" s="433"/>
      <c r="BR15" s="433"/>
      <c r="BS15" s="433"/>
      <c r="BT15" s="433"/>
      <c r="BU15" s="399" t="str">
        <f t="shared" si="7"/>
        <v/>
      </c>
      <c r="BV15" s="433"/>
      <c r="BW15" s="433"/>
      <c r="BX15" s="433"/>
      <c r="BY15" s="433"/>
      <c r="BZ15" s="433"/>
      <c r="CA15" s="433"/>
      <c r="CB15" s="433"/>
      <c r="CC15" s="433"/>
      <c r="CD15" s="433"/>
      <c r="CE15" s="433"/>
      <c r="CF15" s="433"/>
      <c r="CG15" s="433"/>
      <c r="CH15" s="433"/>
      <c r="CI15" s="433"/>
      <c r="CJ15" s="433"/>
      <c r="CK15" s="433"/>
      <c r="CL15" s="433"/>
      <c r="CM15" s="433"/>
      <c r="CN15" s="433"/>
      <c r="CO15" s="433"/>
      <c r="CP15" s="433"/>
      <c r="CQ15" s="433"/>
      <c r="CR15" s="433"/>
      <c r="CS15" s="433"/>
      <c r="CT15" s="433"/>
      <c r="CU15" s="433"/>
      <c r="CV15" s="433"/>
      <c r="CW15" s="433"/>
      <c r="CX15" s="433"/>
      <c r="CY15" s="433"/>
      <c r="CZ15" s="399" t="str">
        <f t="shared" si="8"/>
        <v/>
      </c>
      <c r="DA15" s="399" t="str">
        <f t="shared" si="9"/>
        <v/>
      </c>
      <c r="DB15" s="399" t="str">
        <f t="shared" si="10"/>
        <v/>
      </c>
      <c r="DC15" s="399" t="str">
        <f t="shared" si="11"/>
        <v/>
      </c>
      <c r="DD15" s="399" t="str">
        <f t="shared" si="2"/>
        <v/>
      </c>
      <c r="DE15" s="399" t="str">
        <f t="shared" si="12"/>
        <v/>
      </c>
      <c r="DG15" s="434"/>
      <c r="DH15" s="434"/>
      <c r="DJ15" s="399"/>
    </row>
    <row r="16" spans="8:114" x14ac:dyDescent="0.25">
      <c r="H16" s="416" t="str">
        <f ca="1">IF(IMPORT!C29="","",IMPORT!C29)</f>
        <v/>
      </c>
      <c r="I16" s="416" t="str">
        <f ca="1">IF(IMPORT!D29="","",IMPORT!D29)</f>
        <v/>
      </c>
      <c r="J16" s="416" t="str">
        <f ca="1">IF(IMPORT!E29="","",IMPORT!E29)</f>
        <v/>
      </c>
      <c r="K16" s="416" t="str">
        <f ca="1">IF(IMPORT!F29="","",IMPORT!F29)</f>
        <v/>
      </c>
      <c r="L16" s="416" t="str">
        <f ca="1">IF(IMPORT!G29="","",IMPORT!G29)</f>
        <v/>
      </c>
      <c r="M16" s="416" t="str">
        <f>IF(IMPORT!H29="","",IMPORT!H29)</f>
        <v/>
      </c>
      <c r="N16" s="399" t="str">
        <f t="shared" si="3"/>
        <v/>
      </c>
      <c r="P16" s="406" t="str">
        <f t="shared" si="4"/>
        <v/>
      </c>
      <c r="Q16" s="406" t="str">
        <f t="array" ref="Q16">IFERROR(INDEX($N$1:$N$203,SMALL(IF($N$1:$N$203&lt;&gt;"",ROW($N$1:$N$203)),ROW(14:14))),"")</f>
        <v/>
      </c>
      <c r="R16" s="399" t="str">
        <f t="shared" si="0"/>
        <v/>
      </c>
      <c r="S16" s="399" t="str">
        <f t="shared" si="5"/>
        <v/>
      </c>
      <c r="T16" s="399" t="str">
        <f t="shared" si="6"/>
        <v/>
      </c>
      <c r="U16" s="419" t="str">
        <f t="shared" si="13"/>
        <v/>
      </c>
      <c r="V16" s="433" t="b">
        <v>0</v>
      </c>
      <c r="W16" s="482"/>
      <c r="X16" s="481"/>
      <c r="Y16" s="481" t="s">
        <v>92</v>
      </c>
      <c r="Z16" s="481"/>
      <c r="AA16" s="481"/>
      <c r="AB16" s="481"/>
      <c r="AC16" s="481" t="s">
        <v>1401</v>
      </c>
      <c r="AD16" s="481"/>
      <c r="AE16" s="481" t="s">
        <v>111</v>
      </c>
      <c r="AF16" s="481" t="s">
        <v>299</v>
      </c>
      <c r="AG16" s="481"/>
      <c r="AH16" s="481"/>
      <c r="AI16" s="481"/>
      <c r="AJ16" s="481"/>
      <c r="AK16" s="481"/>
      <c r="AL16" s="481"/>
      <c r="AM16" s="481"/>
      <c r="AN16" s="481"/>
      <c r="AO16" s="481"/>
      <c r="AP16" s="481"/>
      <c r="AQ16" s="481"/>
      <c r="AR16" s="481"/>
      <c r="AS16" s="481" t="b">
        <v>0</v>
      </c>
      <c r="AT16" s="433"/>
      <c r="AU16" s="433"/>
      <c r="AV16" s="433"/>
      <c r="AW16" s="433"/>
      <c r="AX16" s="433"/>
      <c r="AY16" s="433"/>
      <c r="AZ16" s="433"/>
      <c r="BA16" s="433"/>
      <c r="BB16" s="433"/>
      <c r="BC16" s="433"/>
      <c r="BD16" s="433"/>
      <c r="BE16" s="433"/>
      <c r="BF16" s="433"/>
      <c r="BG16" s="433"/>
      <c r="BH16" s="433"/>
      <c r="BI16" s="433"/>
      <c r="BJ16" s="433"/>
      <c r="BK16" s="433"/>
      <c r="BL16" s="433"/>
      <c r="BM16" s="433"/>
      <c r="BN16" s="433"/>
      <c r="BO16" s="433"/>
      <c r="BP16" s="433"/>
      <c r="BQ16" s="433"/>
      <c r="BR16" s="433"/>
      <c r="BS16" s="433"/>
      <c r="BT16" s="433"/>
      <c r="BU16" s="399" t="str">
        <f t="shared" si="7"/>
        <v/>
      </c>
      <c r="BV16" s="433"/>
      <c r="BW16" s="433"/>
      <c r="BX16" s="433"/>
      <c r="BY16" s="433"/>
      <c r="BZ16" s="433"/>
      <c r="CA16" s="433"/>
      <c r="CB16" s="433"/>
      <c r="CC16" s="433"/>
      <c r="CD16" s="433"/>
      <c r="CE16" s="433"/>
      <c r="CF16" s="433"/>
      <c r="CG16" s="433"/>
      <c r="CH16" s="433"/>
      <c r="CI16" s="433"/>
      <c r="CJ16" s="433"/>
      <c r="CK16" s="433"/>
      <c r="CL16" s="433"/>
      <c r="CM16" s="433"/>
      <c r="CN16" s="433"/>
      <c r="CO16" s="433"/>
      <c r="CP16" s="433"/>
      <c r="CQ16" s="433"/>
      <c r="CR16" s="433"/>
      <c r="CS16" s="433"/>
      <c r="CT16" s="433"/>
      <c r="CU16" s="433"/>
      <c r="CV16" s="433"/>
      <c r="CW16" s="433"/>
      <c r="CX16" s="433"/>
      <c r="CY16" s="433"/>
      <c r="CZ16" s="399" t="str">
        <f t="shared" si="8"/>
        <v/>
      </c>
      <c r="DA16" s="399" t="str">
        <f t="shared" si="9"/>
        <v/>
      </c>
      <c r="DB16" s="399" t="str">
        <f t="shared" si="10"/>
        <v/>
      </c>
      <c r="DC16" s="399" t="str">
        <f t="shared" si="11"/>
        <v/>
      </c>
      <c r="DD16" s="399" t="str">
        <f t="shared" si="2"/>
        <v/>
      </c>
      <c r="DE16" s="399" t="str">
        <f t="shared" si="12"/>
        <v/>
      </c>
      <c r="DG16" s="434"/>
      <c r="DH16" s="434"/>
      <c r="DJ16" s="399"/>
    </row>
    <row r="17" spans="8:114" x14ac:dyDescent="0.25">
      <c r="H17" s="416" t="str">
        <f ca="1">IF(IMPORT!C30="","",IMPORT!C30)</f>
        <v/>
      </c>
      <c r="I17" s="416" t="str">
        <f ca="1">IF(IMPORT!D30="","",IMPORT!D30)</f>
        <v/>
      </c>
      <c r="J17" s="416" t="str">
        <f ca="1">IF(IMPORT!E30="","",IMPORT!E30)</f>
        <v/>
      </c>
      <c r="K17" s="416" t="str">
        <f ca="1">IF(IMPORT!F30="","",IMPORT!F30)</f>
        <v/>
      </c>
      <c r="L17" s="416" t="str">
        <f ca="1">IF(IMPORT!G30="","",IMPORT!G30)</f>
        <v/>
      </c>
      <c r="M17" s="416" t="str">
        <f>IF(IMPORT!H30="","",IMPORT!H30)</f>
        <v/>
      </c>
      <c r="N17" s="399" t="str">
        <f t="shared" si="3"/>
        <v/>
      </c>
      <c r="P17" s="406" t="str">
        <f t="shared" si="4"/>
        <v/>
      </c>
      <c r="Q17" s="406" t="str">
        <f t="array" ref="Q17">IFERROR(INDEX($N$1:$N$203,SMALL(IF($N$1:$N$203&lt;&gt;"",ROW($N$1:$N$203)),ROW(15:15))),"")</f>
        <v/>
      </c>
      <c r="R17" s="399" t="str">
        <f t="shared" si="0"/>
        <v/>
      </c>
      <c r="S17" s="399" t="str">
        <f t="shared" si="5"/>
        <v/>
      </c>
      <c r="T17" s="399" t="str">
        <f t="shared" si="6"/>
        <v/>
      </c>
      <c r="U17" s="419" t="str">
        <f t="shared" si="13"/>
        <v/>
      </c>
      <c r="V17" s="433" t="b">
        <v>0</v>
      </c>
      <c r="W17" s="482"/>
      <c r="X17" s="481"/>
      <c r="Y17" s="481" t="s">
        <v>92</v>
      </c>
      <c r="Z17" s="481"/>
      <c r="AA17" s="481"/>
      <c r="AB17" s="481"/>
      <c r="AC17" s="481" t="s">
        <v>1401</v>
      </c>
      <c r="AD17" s="481"/>
      <c r="AE17" s="481" t="s">
        <v>111</v>
      </c>
      <c r="AF17" s="481" t="s">
        <v>299</v>
      </c>
      <c r="AG17" s="481"/>
      <c r="AH17" s="481"/>
      <c r="AI17" s="481"/>
      <c r="AJ17" s="481"/>
      <c r="AK17" s="481"/>
      <c r="AL17" s="481"/>
      <c r="AM17" s="481"/>
      <c r="AN17" s="481"/>
      <c r="AO17" s="481"/>
      <c r="AP17" s="481"/>
      <c r="AQ17" s="481"/>
      <c r="AR17" s="481"/>
      <c r="AS17" s="481" t="b">
        <v>0</v>
      </c>
      <c r="AT17" s="433"/>
      <c r="AU17" s="433"/>
      <c r="AV17" s="433"/>
      <c r="AW17" s="433"/>
      <c r="AX17" s="433"/>
      <c r="AY17" s="433"/>
      <c r="AZ17" s="433"/>
      <c r="BA17" s="433"/>
      <c r="BB17" s="433"/>
      <c r="BC17" s="433"/>
      <c r="BD17" s="433"/>
      <c r="BE17" s="433"/>
      <c r="BF17" s="433"/>
      <c r="BG17" s="433"/>
      <c r="BH17" s="433"/>
      <c r="BI17" s="433"/>
      <c r="BJ17" s="433"/>
      <c r="BK17" s="433"/>
      <c r="BL17" s="433"/>
      <c r="BM17" s="433"/>
      <c r="BN17" s="433"/>
      <c r="BO17" s="433"/>
      <c r="BP17" s="433"/>
      <c r="BQ17" s="433"/>
      <c r="BR17" s="433"/>
      <c r="BS17" s="433"/>
      <c r="BT17" s="433"/>
      <c r="BU17" s="399" t="str">
        <f t="shared" si="7"/>
        <v/>
      </c>
      <c r="BV17" s="433"/>
      <c r="BW17" s="433"/>
      <c r="BX17" s="433"/>
      <c r="BY17" s="433"/>
      <c r="BZ17" s="433"/>
      <c r="CA17" s="433"/>
      <c r="CB17" s="433"/>
      <c r="CC17" s="433"/>
      <c r="CD17" s="433"/>
      <c r="CE17" s="433"/>
      <c r="CF17" s="433"/>
      <c r="CG17" s="433"/>
      <c r="CH17" s="433"/>
      <c r="CI17" s="433"/>
      <c r="CJ17" s="433"/>
      <c r="CK17" s="433"/>
      <c r="CL17" s="433"/>
      <c r="CM17" s="433"/>
      <c r="CN17" s="433"/>
      <c r="CO17" s="433"/>
      <c r="CP17" s="433"/>
      <c r="CQ17" s="433"/>
      <c r="CR17" s="433"/>
      <c r="CS17" s="433"/>
      <c r="CT17" s="433"/>
      <c r="CU17" s="433"/>
      <c r="CV17" s="433"/>
      <c r="CW17" s="433"/>
      <c r="CX17" s="433"/>
      <c r="CY17" s="433"/>
      <c r="CZ17" s="399" t="str">
        <f t="shared" si="8"/>
        <v/>
      </c>
      <c r="DA17" s="399" t="str">
        <f t="shared" si="9"/>
        <v/>
      </c>
      <c r="DB17" s="399" t="str">
        <f t="shared" si="10"/>
        <v/>
      </c>
      <c r="DC17" s="399" t="str">
        <f t="shared" si="11"/>
        <v/>
      </c>
      <c r="DD17" s="399" t="str">
        <f t="shared" si="2"/>
        <v/>
      </c>
      <c r="DE17" s="399" t="str">
        <f t="shared" si="12"/>
        <v/>
      </c>
      <c r="DG17" s="434"/>
      <c r="DH17" s="434"/>
      <c r="DJ17" s="399"/>
    </row>
    <row r="18" spans="8:114" x14ac:dyDescent="0.25">
      <c r="H18" s="416" t="str">
        <f ca="1">IF(IMPORT!C31="","",IMPORT!C31)</f>
        <v/>
      </c>
      <c r="I18" s="416" t="str">
        <f ca="1">IF(IMPORT!D31="","",IMPORT!D31)</f>
        <v/>
      </c>
      <c r="J18" s="416" t="str">
        <f ca="1">IF(IMPORT!E31="","",IMPORT!E31)</f>
        <v/>
      </c>
      <c r="K18" s="416" t="str">
        <f ca="1">IF(IMPORT!F31="","",IMPORT!F31)</f>
        <v/>
      </c>
      <c r="L18" s="416" t="str">
        <f ca="1">IF(IMPORT!G31="","",IMPORT!G31)</f>
        <v/>
      </c>
      <c r="M18" s="416" t="str">
        <f>IF(IMPORT!H31="","",IMPORT!H31)</f>
        <v/>
      </c>
      <c r="N18" s="399" t="str">
        <f t="shared" si="3"/>
        <v/>
      </c>
      <c r="P18" s="406" t="str">
        <f t="shared" si="4"/>
        <v/>
      </c>
      <c r="Q18" s="406" t="str">
        <f t="array" ref="Q18">IFERROR(INDEX($N$1:$N$203,SMALL(IF($N$1:$N$203&lt;&gt;"",ROW($N$1:$N$203)),ROW(16:16))),"")</f>
        <v/>
      </c>
      <c r="R18" s="399" t="str">
        <f t="shared" si="0"/>
        <v/>
      </c>
      <c r="S18" s="399" t="str">
        <f t="shared" si="5"/>
        <v/>
      </c>
      <c r="T18" s="399" t="str">
        <f t="shared" si="6"/>
        <v/>
      </c>
      <c r="U18" s="419" t="str">
        <f t="shared" si="13"/>
        <v/>
      </c>
      <c r="V18" s="433" t="b">
        <v>0</v>
      </c>
      <c r="W18" s="482"/>
      <c r="X18" s="481"/>
      <c r="Y18" s="481" t="s">
        <v>92</v>
      </c>
      <c r="Z18" s="481"/>
      <c r="AA18" s="481"/>
      <c r="AB18" s="481"/>
      <c r="AC18" s="481" t="s">
        <v>1401</v>
      </c>
      <c r="AD18" s="481"/>
      <c r="AE18" s="481" t="s">
        <v>111</v>
      </c>
      <c r="AF18" s="481" t="s">
        <v>299</v>
      </c>
      <c r="AG18" s="481"/>
      <c r="AH18" s="481"/>
      <c r="AI18" s="481"/>
      <c r="AJ18" s="481"/>
      <c r="AK18" s="481"/>
      <c r="AL18" s="481"/>
      <c r="AM18" s="481"/>
      <c r="AN18" s="481"/>
      <c r="AO18" s="481"/>
      <c r="AP18" s="481"/>
      <c r="AQ18" s="481"/>
      <c r="AR18" s="481"/>
      <c r="AS18" s="481" t="b">
        <v>0</v>
      </c>
      <c r="AT18" s="433"/>
      <c r="AU18" s="433"/>
      <c r="AV18" s="433"/>
      <c r="AW18" s="433"/>
      <c r="AX18" s="433"/>
      <c r="AY18" s="433"/>
      <c r="AZ18" s="433"/>
      <c r="BA18" s="433"/>
      <c r="BB18" s="433"/>
      <c r="BC18" s="433"/>
      <c r="BD18" s="433"/>
      <c r="BE18" s="433"/>
      <c r="BF18" s="433"/>
      <c r="BG18" s="433"/>
      <c r="BH18" s="433"/>
      <c r="BI18" s="433"/>
      <c r="BJ18" s="433"/>
      <c r="BK18" s="433"/>
      <c r="BL18" s="433"/>
      <c r="BM18" s="433"/>
      <c r="BN18" s="433"/>
      <c r="BO18" s="433"/>
      <c r="BP18" s="433"/>
      <c r="BQ18" s="433"/>
      <c r="BR18" s="433"/>
      <c r="BS18" s="433"/>
      <c r="BT18" s="433"/>
      <c r="BU18" s="399" t="str">
        <f t="shared" si="7"/>
        <v/>
      </c>
      <c r="BV18" s="433"/>
      <c r="BW18" s="433"/>
      <c r="BX18" s="433"/>
      <c r="BY18" s="433"/>
      <c r="BZ18" s="433"/>
      <c r="CA18" s="433"/>
      <c r="CB18" s="433"/>
      <c r="CC18" s="433"/>
      <c r="CD18" s="433"/>
      <c r="CE18" s="433"/>
      <c r="CF18" s="433"/>
      <c r="CG18" s="433"/>
      <c r="CH18" s="433"/>
      <c r="CI18" s="433"/>
      <c r="CJ18" s="433"/>
      <c r="CK18" s="433"/>
      <c r="CL18" s="433"/>
      <c r="CM18" s="433"/>
      <c r="CN18" s="433"/>
      <c r="CO18" s="433"/>
      <c r="CP18" s="433"/>
      <c r="CQ18" s="433"/>
      <c r="CR18" s="433"/>
      <c r="CS18" s="433"/>
      <c r="CT18" s="433"/>
      <c r="CU18" s="433"/>
      <c r="CV18" s="433"/>
      <c r="CW18" s="433"/>
      <c r="CX18" s="433"/>
      <c r="CY18" s="433"/>
      <c r="CZ18" s="399" t="str">
        <f t="shared" si="8"/>
        <v/>
      </c>
      <c r="DA18" s="399" t="str">
        <f t="shared" si="9"/>
        <v/>
      </c>
      <c r="DB18" s="399" t="str">
        <f t="shared" si="10"/>
        <v/>
      </c>
      <c r="DC18" s="399" t="str">
        <f t="shared" si="11"/>
        <v/>
      </c>
      <c r="DD18" s="399" t="str">
        <f t="shared" si="2"/>
        <v/>
      </c>
      <c r="DE18" s="399" t="str">
        <f t="shared" si="12"/>
        <v/>
      </c>
      <c r="DG18" s="434"/>
      <c r="DH18" s="434"/>
      <c r="DJ18" s="399"/>
    </row>
    <row r="19" spans="8:114" x14ac:dyDescent="0.25">
      <c r="H19" s="416" t="str">
        <f ca="1">IF(IMPORT!C32="","",IMPORT!C32)</f>
        <v/>
      </c>
      <c r="I19" s="416" t="str">
        <f ca="1">IF(IMPORT!D32="","",IMPORT!D32)</f>
        <v/>
      </c>
      <c r="J19" s="416" t="str">
        <f ca="1">IF(IMPORT!E32="","",IMPORT!E32)</f>
        <v/>
      </c>
      <c r="K19" s="416" t="str">
        <f ca="1">IF(IMPORT!F32="","",IMPORT!F32)</f>
        <v/>
      </c>
      <c r="L19" s="416" t="str">
        <f ca="1">IF(IMPORT!G32="","",IMPORT!G32)</f>
        <v/>
      </c>
      <c r="M19" s="416" t="str">
        <f>IF(IMPORT!H32="","",IMPORT!H32)</f>
        <v/>
      </c>
      <c r="N19" s="399" t="str">
        <f t="shared" si="3"/>
        <v/>
      </c>
      <c r="P19" s="406" t="str">
        <f t="shared" si="4"/>
        <v/>
      </c>
      <c r="Q19" s="406" t="str">
        <f t="array" ref="Q19">IFERROR(INDEX($N$1:$N$203,SMALL(IF($N$1:$N$203&lt;&gt;"",ROW($N$1:$N$203)),ROW(17:17))),"")</f>
        <v/>
      </c>
      <c r="R19" s="399" t="str">
        <f t="shared" si="0"/>
        <v/>
      </c>
      <c r="S19" s="399" t="str">
        <f t="shared" si="5"/>
        <v/>
      </c>
      <c r="T19" s="399" t="str">
        <f t="shared" si="6"/>
        <v/>
      </c>
      <c r="U19" s="419" t="str">
        <f t="shared" si="13"/>
        <v/>
      </c>
      <c r="V19" s="433" t="b">
        <v>0</v>
      </c>
      <c r="W19" s="482"/>
      <c r="X19" s="481"/>
      <c r="Y19" s="481" t="s">
        <v>92</v>
      </c>
      <c r="Z19" s="481"/>
      <c r="AA19" s="481"/>
      <c r="AB19" s="481"/>
      <c r="AC19" s="481" t="s">
        <v>1401</v>
      </c>
      <c r="AD19" s="481"/>
      <c r="AE19" s="481" t="s">
        <v>111</v>
      </c>
      <c r="AF19" s="481" t="s">
        <v>299</v>
      </c>
      <c r="AG19" s="481"/>
      <c r="AH19" s="481"/>
      <c r="AI19" s="481"/>
      <c r="AJ19" s="481"/>
      <c r="AK19" s="481"/>
      <c r="AL19" s="481"/>
      <c r="AM19" s="481"/>
      <c r="AN19" s="481"/>
      <c r="AO19" s="481"/>
      <c r="AP19" s="481"/>
      <c r="AQ19" s="481"/>
      <c r="AR19" s="481"/>
      <c r="AS19" s="481" t="b">
        <v>0</v>
      </c>
      <c r="AT19" s="433"/>
      <c r="AU19" s="433"/>
      <c r="AV19" s="433"/>
      <c r="AW19" s="433"/>
      <c r="AX19" s="433"/>
      <c r="AY19" s="433"/>
      <c r="AZ19" s="433"/>
      <c r="BA19" s="433"/>
      <c r="BB19" s="433"/>
      <c r="BC19" s="433"/>
      <c r="BD19" s="433"/>
      <c r="BE19" s="433"/>
      <c r="BF19" s="433"/>
      <c r="BG19" s="433"/>
      <c r="BH19" s="433"/>
      <c r="BI19" s="433"/>
      <c r="BJ19" s="433"/>
      <c r="BK19" s="433"/>
      <c r="BL19" s="433"/>
      <c r="BM19" s="433"/>
      <c r="BN19" s="433"/>
      <c r="BO19" s="433"/>
      <c r="BP19" s="433"/>
      <c r="BQ19" s="433"/>
      <c r="BR19" s="433"/>
      <c r="BS19" s="433"/>
      <c r="BT19" s="433"/>
      <c r="BU19" s="399" t="str">
        <f t="shared" si="7"/>
        <v/>
      </c>
      <c r="BV19" s="433"/>
      <c r="BW19" s="433"/>
      <c r="BX19" s="433"/>
      <c r="BY19" s="433"/>
      <c r="BZ19" s="433"/>
      <c r="CA19" s="433"/>
      <c r="CB19" s="433"/>
      <c r="CC19" s="433"/>
      <c r="CD19" s="433"/>
      <c r="CE19" s="433"/>
      <c r="CF19" s="433"/>
      <c r="CG19" s="433"/>
      <c r="CH19" s="433"/>
      <c r="CI19" s="433"/>
      <c r="CJ19" s="433"/>
      <c r="CK19" s="433"/>
      <c r="CL19" s="433"/>
      <c r="CM19" s="433"/>
      <c r="CN19" s="433"/>
      <c r="CO19" s="433"/>
      <c r="CP19" s="433"/>
      <c r="CQ19" s="433"/>
      <c r="CR19" s="433"/>
      <c r="CS19" s="433"/>
      <c r="CT19" s="433"/>
      <c r="CU19" s="433"/>
      <c r="CV19" s="433"/>
      <c r="CW19" s="433"/>
      <c r="CX19" s="433"/>
      <c r="CY19" s="433"/>
      <c r="CZ19" s="399" t="str">
        <f t="shared" si="8"/>
        <v/>
      </c>
      <c r="DA19" s="399" t="str">
        <f t="shared" si="9"/>
        <v/>
      </c>
      <c r="DB19" s="399" t="str">
        <f t="shared" si="10"/>
        <v/>
      </c>
      <c r="DC19" s="399" t="str">
        <f t="shared" si="11"/>
        <v/>
      </c>
      <c r="DD19" s="399" t="str">
        <f t="shared" si="2"/>
        <v/>
      </c>
      <c r="DE19" s="399" t="str">
        <f t="shared" si="12"/>
        <v/>
      </c>
      <c r="DG19" s="434"/>
      <c r="DH19" s="434"/>
      <c r="DJ19" s="399"/>
    </row>
    <row r="20" spans="8:114" x14ac:dyDescent="0.25">
      <c r="H20" s="416" t="str">
        <f ca="1">IF(IMPORT!C33="","",IMPORT!C33)</f>
        <v/>
      </c>
      <c r="I20" s="416" t="str">
        <f ca="1">IF(IMPORT!D33="","",IMPORT!D33)</f>
        <v/>
      </c>
      <c r="J20" s="416" t="str">
        <f ca="1">IF(IMPORT!E33="","",IMPORT!E33)</f>
        <v/>
      </c>
      <c r="K20" s="416" t="str">
        <f ca="1">IF(IMPORT!F33="","",IMPORT!F33)</f>
        <v/>
      </c>
      <c r="L20" s="416" t="str">
        <f ca="1">IF(IMPORT!G33="","",IMPORT!G33)</f>
        <v/>
      </c>
      <c r="M20" s="416" t="str">
        <f>IF(IMPORT!H33="","",IMPORT!H33)</f>
        <v/>
      </c>
      <c r="N20" s="399" t="str">
        <f t="shared" si="3"/>
        <v/>
      </c>
      <c r="P20" s="406" t="str">
        <f t="shared" si="4"/>
        <v/>
      </c>
      <c r="Q20" s="406" t="str">
        <f t="array" ref="Q20">IFERROR(INDEX($N$1:$N$203,SMALL(IF($N$1:$N$203&lt;&gt;"",ROW($N$1:$N$203)),ROW(18:18))),"")</f>
        <v/>
      </c>
      <c r="R20" s="399" t="str">
        <f t="shared" si="0"/>
        <v/>
      </c>
      <c r="S20" s="399" t="str">
        <f t="shared" si="5"/>
        <v/>
      </c>
      <c r="T20" s="399" t="str">
        <f t="shared" si="6"/>
        <v/>
      </c>
      <c r="U20" s="419" t="str">
        <f t="shared" si="13"/>
        <v/>
      </c>
      <c r="V20" s="433" t="b">
        <v>0</v>
      </c>
      <c r="W20" s="482"/>
      <c r="X20" s="481"/>
      <c r="Y20" s="481" t="s">
        <v>92</v>
      </c>
      <c r="Z20" s="481"/>
      <c r="AA20" s="481"/>
      <c r="AB20" s="481"/>
      <c r="AC20" s="481" t="s">
        <v>1401</v>
      </c>
      <c r="AD20" s="481"/>
      <c r="AE20" s="481" t="s">
        <v>111</v>
      </c>
      <c r="AF20" s="481" t="s">
        <v>299</v>
      </c>
      <c r="AG20" s="481"/>
      <c r="AH20" s="481"/>
      <c r="AI20" s="481"/>
      <c r="AJ20" s="481"/>
      <c r="AK20" s="481"/>
      <c r="AL20" s="481"/>
      <c r="AM20" s="481"/>
      <c r="AN20" s="481"/>
      <c r="AO20" s="481"/>
      <c r="AP20" s="481"/>
      <c r="AQ20" s="481"/>
      <c r="AR20" s="481"/>
      <c r="AS20" s="481" t="b">
        <v>0</v>
      </c>
      <c r="AT20" s="433"/>
      <c r="AU20" s="433"/>
      <c r="AV20" s="433"/>
      <c r="AW20" s="433"/>
      <c r="AX20" s="433"/>
      <c r="AY20" s="433"/>
      <c r="AZ20" s="433"/>
      <c r="BA20" s="433"/>
      <c r="BB20" s="433"/>
      <c r="BC20" s="433"/>
      <c r="BD20" s="433"/>
      <c r="BE20" s="433"/>
      <c r="BF20" s="433"/>
      <c r="BG20" s="433"/>
      <c r="BH20" s="433"/>
      <c r="BI20" s="433"/>
      <c r="BJ20" s="433"/>
      <c r="BK20" s="433"/>
      <c r="BL20" s="433"/>
      <c r="BM20" s="433"/>
      <c r="BN20" s="433"/>
      <c r="BO20" s="433"/>
      <c r="BP20" s="433"/>
      <c r="BQ20" s="433"/>
      <c r="BR20" s="433"/>
      <c r="BS20" s="433"/>
      <c r="BT20" s="433"/>
      <c r="BU20" s="399" t="str">
        <f t="shared" si="7"/>
        <v/>
      </c>
      <c r="BV20" s="433"/>
      <c r="BW20" s="433"/>
      <c r="BX20" s="433"/>
      <c r="BY20" s="433"/>
      <c r="BZ20" s="433"/>
      <c r="CA20" s="433"/>
      <c r="CB20" s="433"/>
      <c r="CC20" s="433"/>
      <c r="CD20" s="433"/>
      <c r="CE20" s="433"/>
      <c r="CF20" s="433"/>
      <c r="CG20" s="433"/>
      <c r="CH20" s="433"/>
      <c r="CI20" s="433"/>
      <c r="CJ20" s="433"/>
      <c r="CK20" s="433"/>
      <c r="CL20" s="433"/>
      <c r="CM20" s="433"/>
      <c r="CN20" s="433"/>
      <c r="CO20" s="433"/>
      <c r="CP20" s="433"/>
      <c r="CQ20" s="433"/>
      <c r="CR20" s="433"/>
      <c r="CS20" s="433"/>
      <c r="CT20" s="433"/>
      <c r="CU20" s="433"/>
      <c r="CV20" s="433"/>
      <c r="CW20" s="433"/>
      <c r="CX20" s="433"/>
      <c r="CY20" s="433"/>
      <c r="CZ20" s="399" t="str">
        <f t="shared" si="8"/>
        <v/>
      </c>
      <c r="DA20" s="399" t="str">
        <f t="shared" si="9"/>
        <v/>
      </c>
      <c r="DB20" s="399" t="str">
        <f t="shared" si="10"/>
        <v/>
      </c>
      <c r="DC20" s="399" t="str">
        <f t="shared" si="11"/>
        <v/>
      </c>
      <c r="DD20" s="399" t="str">
        <f t="shared" si="2"/>
        <v/>
      </c>
      <c r="DE20" s="399" t="str">
        <f t="shared" si="12"/>
        <v/>
      </c>
      <c r="DG20" s="434"/>
      <c r="DH20" s="434"/>
      <c r="DJ20" s="399"/>
    </row>
    <row r="21" spans="8:114" x14ac:dyDescent="0.25">
      <c r="H21" s="416" t="str">
        <f ca="1">IF(IMPORT!C34="","",IMPORT!C34)</f>
        <v/>
      </c>
      <c r="I21" s="416" t="str">
        <f ca="1">IF(IMPORT!D34="","",IMPORT!D34)</f>
        <v/>
      </c>
      <c r="J21" s="416" t="str">
        <f ca="1">IF(IMPORT!E34="","",IMPORT!E34)</f>
        <v/>
      </c>
      <c r="K21" s="416" t="str">
        <f ca="1">IF(IMPORT!F34="","",IMPORT!F34)</f>
        <v/>
      </c>
      <c r="L21" s="416" t="str">
        <f ca="1">IF(IMPORT!G34="","",IMPORT!G34)</f>
        <v/>
      </c>
      <c r="M21" s="416" t="str">
        <f>IF(IMPORT!H34="","",IMPORT!H34)</f>
        <v/>
      </c>
      <c r="N21" s="399" t="str">
        <f t="shared" si="3"/>
        <v/>
      </c>
      <c r="P21" s="406" t="str">
        <f t="shared" si="4"/>
        <v/>
      </c>
      <c r="Q21" s="406" t="str">
        <f t="array" ref="Q21">IFERROR(INDEX($N$1:$N$203,SMALL(IF($N$1:$N$203&lt;&gt;"",ROW($N$1:$N$203)),ROW(19:19))),"")</f>
        <v/>
      </c>
      <c r="R21" s="399" t="str">
        <f t="shared" si="0"/>
        <v/>
      </c>
      <c r="S21" s="399" t="str">
        <f t="shared" si="5"/>
        <v/>
      </c>
      <c r="T21" s="399" t="str">
        <f t="shared" si="6"/>
        <v/>
      </c>
      <c r="U21" s="419" t="str">
        <f t="shared" si="13"/>
        <v/>
      </c>
      <c r="V21" s="433" t="b">
        <v>0</v>
      </c>
      <c r="W21" s="482"/>
      <c r="X21" s="481"/>
      <c r="Y21" s="481" t="s">
        <v>92</v>
      </c>
      <c r="Z21" s="481"/>
      <c r="AA21" s="481"/>
      <c r="AB21" s="481"/>
      <c r="AC21" s="481" t="s">
        <v>1401</v>
      </c>
      <c r="AD21" s="481"/>
      <c r="AE21" s="481" t="s">
        <v>111</v>
      </c>
      <c r="AF21" s="481" t="s">
        <v>299</v>
      </c>
      <c r="AG21" s="481"/>
      <c r="AH21" s="481"/>
      <c r="AI21" s="481"/>
      <c r="AJ21" s="481"/>
      <c r="AK21" s="481"/>
      <c r="AL21" s="481"/>
      <c r="AM21" s="481"/>
      <c r="AN21" s="481"/>
      <c r="AO21" s="481"/>
      <c r="AP21" s="481"/>
      <c r="AQ21" s="481"/>
      <c r="AR21" s="481"/>
      <c r="AS21" s="481" t="b">
        <v>0</v>
      </c>
      <c r="AT21" s="433"/>
      <c r="AU21" s="433"/>
      <c r="AV21" s="433"/>
      <c r="AW21" s="433"/>
      <c r="AX21" s="433"/>
      <c r="AY21" s="433"/>
      <c r="AZ21" s="433"/>
      <c r="BA21" s="433"/>
      <c r="BB21" s="433"/>
      <c r="BC21" s="433"/>
      <c r="BD21" s="433"/>
      <c r="BE21" s="433"/>
      <c r="BF21" s="433"/>
      <c r="BG21" s="433"/>
      <c r="BH21" s="433"/>
      <c r="BI21" s="433"/>
      <c r="BJ21" s="433"/>
      <c r="BK21" s="433"/>
      <c r="BL21" s="433"/>
      <c r="BM21" s="433"/>
      <c r="BN21" s="433"/>
      <c r="BO21" s="433"/>
      <c r="BP21" s="433"/>
      <c r="BQ21" s="433"/>
      <c r="BR21" s="433"/>
      <c r="BS21" s="433"/>
      <c r="BT21" s="433"/>
      <c r="BU21" s="399" t="str">
        <f t="shared" si="7"/>
        <v/>
      </c>
      <c r="BV21" s="433"/>
      <c r="BW21" s="433"/>
      <c r="BX21" s="433"/>
      <c r="BY21" s="433"/>
      <c r="BZ21" s="433"/>
      <c r="CA21" s="433"/>
      <c r="CB21" s="433"/>
      <c r="CC21" s="433"/>
      <c r="CD21" s="433"/>
      <c r="CE21" s="433"/>
      <c r="CF21" s="433"/>
      <c r="CG21" s="433"/>
      <c r="CH21" s="433"/>
      <c r="CI21" s="433"/>
      <c r="CJ21" s="433"/>
      <c r="CK21" s="433"/>
      <c r="CL21" s="433"/>
      <c r="CM21" s="433"/>
      <c r="CN21" s="433"/>
      <c r="CO21" s="433"/>
      <c r="CP21" s="433"/>
      <c r="CQ21" s="433"/>
      <c r="CR21" s="433"/>
      <c r="CS21" s="433"/>
      <c r="CT21" s="433"/>
      <c r="CU21" s="433"/>
      <c r="CV21" s="433"/>
      <c r="CW21" s="433"/>
      <c r="CX21" s="433"/>
      <c r="CY21" s="433"/>
      <c r="CZ21" s="399" t="str">
        <f t="shared" si="8"/>
        <v/>
      </c>
      <c r="DA21" s="399" t="str">
        <f t="shared" si="9"/>
        <v/>
      </c>
      <c r="DB21" s="399" t="str">
        <f t="shared" si="10"/>
        <v/>
      </c>
      <c r="DC21" s="399" t="str">
        <f t="shared" si="11"/>
        <v/>
      </c>
      <c r="DD21" s="399" t="str">
        <f t="shared" si="2"/>
        <v/>
      </c>
      <c r="DE21" s="399" t="str">
        <f t="shared" si="12"/>
        <v/>
      </c>
      <c r="DG21" s="434"/>
      <c r="DH21" s="434"/>
      <c r="DJ21" s="399"/>
    </row>
    <row r="22" spans="8:114" x14ac:dyDescent="0.25">
      <c r="H22" s="416" t="str">
        <f ca="1">IF(IMPORT!C35="","",IMPORT!C35)</f>
        <v/>
      </c>
      <c r="I22" s="416" t="str">
        <f ca="1">IF(IMPORT!D35="","",IMPORT!D35)</f>
        <v/>
      </c>
      <c r="J22" s="416" t="str">
        <f ca="1">IF(IMPORT!E35="","",IMPORT!E35)</f>
        <v/>
      </c>
      <c r="K22" s="416" t="str">
        <f ca="1">IF(IMPORT!F35="","",IMPORT!F35)</f>
        <v/>
      </c>
      <c r="L22" s="416" t="str">
        <f ca="1">IF(IMPORT!G35="","",IMPORT!G35)</f>
        <v/>
      </c>
      <c r="M22" s="416" t="str">
        <f>IF(IMPORT!H35="","",IMPORT!H35)</f>
        <v/>
      </c>
      <c r="N22" s="399" t="str">
        <f t="shared" si="3"/>
        <v/>
      </c>
      <c r="P22" s="406" t="str">
        <f t="shared" si="4"/>
        <v/>
      </c>
      <c r="Q22" s="406" t="str">
        <f t="array" ref="Q22">IFERROR(INDEX($N$1:$N$203,SMALL(IF($N$1:$N$203&lt;&gt;"",ROW($N$1:$N$203)),ROW(20:20))),"")</f>
        <v/>
      </c>
      <c r="R22" s="399" t="str">
        <f t="shared" si="0"/>
        <v/>
      </c>
      <c r="S22" s="399" t="str">
        <f t="shared" si="5"/>
        <v/>
      </c>
      <c r="T22" s="399" t="str">
        <f t="shared" si="6"/>
        <v/>
      </c>
      <c r="U22" s="419" t="str">
        <f t="shared" si="13"/>
        <v/>
      </c>
      <c r="V22" s="433" t="b">
        <v>0</v>
      </c>
      <c r="W22" s="482"/>
      <c r="X22" s="481"/>
      <c r="Y22" s="481" t="s">
        <v>92</v>
      </c>
      <c r="Z22" s="481"/>
      <c r="AA22" s="481"/>
      <c r="AB22" s="481"/>
      <c r="AC22" s="481" t="s">
        <v>1401</v>
      </c>
      <c r="AD22" s="481"/>
      <c r="AE22" s="481" t="s">
        <v>111</v>
      </c>
      <c r="AF22" s="481" t="s">
        <v>299</v>
      </c>
      <c r="AG22" s="481"/>
      <c r="AH22" s="481"/>
      <c r="AI22" s="481"/>
      <c r="AJ22" s="481"/>
      <c r="AK22" s="481"/>
      <c r="AL22" s="481"/>
      <c r="AM22" s="481"/>
      <c r="AN22" s="481"/>
      <c r="AO22" s="481"/>
      <c r="AP22" s="481"/>
      <c r="AQ22" s="481"/>
      <c r="AR22" s="481"/>
      <c r="AS22" s="481" t="b">
        <v>0</v>
      </c>
      <c r="AT22" s="433"/>
      <c r="AU22" s="433"/>
      <c r="AV22" s="433"/>
      <c r="AW22" s="433"/>
      <c r="AX22" s="433"/>
      <c r="AY22" s="433"/>
      <c r="AZ22" s="433"/>
      <c r="BA22" s="433"/>
      <c r="BB22" s="433"/>
      <c r="BC22" s="433"/>
      <c r="BD22" s="433"/>
      <c r="BE22" s="433"/>
      <c r="BF22" s="433"/>
      <c r="BG22" s="433"/>
      <c r="BH22" s="433"/>
      <c r="BI22" s="433"/>
      <c r="BJ22" s="433"/>
      <c r="BK22" s="433"/>
      <c r="BL22" s="433"/>
      <c r="BM22" s="433"/>
      <c r="BN22" s="433"/>
      <c r="BO22" s="433"/>
      <c r="BP22" s="433"/>
      <c r="BQ22" s="433"/>
      <c r="BR22" s="433"/>
      <c r="BS22" s="433"/>
      <c r="BT22" s="433"/>
      <c r="BU22" s="399" t="str">
        <f t="shared" si="7"/>
        <v/>
      </c>
      <c r="BV22" s="433"/>
      <c r="BW22" s="433"/>
      <c r="BX22" s="433"/>
      <c r="BY22" s="433"/>
      <c r="BZ22" s="433"/>
      <c r="CA22" s="433"/>
      <c r="CB22" s="433"/>
      <c r="CC22" s="433"/>
      <c r="CD22" s="433"/>
      <c r="CE22" s="433"/>
      <c r="CF22" s="433"/>
      <c r="CG22" s="433"/>
      <c r="CH22" s="433"/>
      <c r="CI22" s="433"/>
      <c r="CJ22" s="433"/>
      <c r="CK22" s="433"/>
      <c r="CL22" s="433"/>
      <c r="CM22" s="433"/>
      <c r="CN22" s="433"/>
      <c r="CO22" s="433"/>
      <c r="CP22" s="433"/>
      <c r="CQ22" s="433"/>
      <c r="CR22" s="433"/>
      <c r="CS22" s="433"/>
      <c r="CT22" s="433"/>
      <c r="CU22" s="433"/>
      <c r="CV22" s="433"/>
      <c r="CW22" s="433"/>
      <c r="CX22" s="433"/>
      <c r="CY22" s="433"/>
      <c r="CZ22" s="399" t="str">
        <f t="shared" si="8"/>
        <v/>
      </c>
      <c r="DA22" s="399" t="str">
        <f t="shared" si="9"/>
        <v/>
      </c>
      <c r="DB22" s="399" t="str">
        <f t="shared" si="10"/>
        <v/>
      </c>
      <c r="DC22" s="399" t="str">
        <f t="shared" si="11"/>
        <v/>
      </c>
      <c r="DD22" s="399" t="str">
        <f t="shared" si="2"/>
        <v/>
      </c>
      <c r="DE22" s="399" t="str">
        <f t="shared" si="12"/>
        <v/>
      </c>
      <c r="DG22" s="434"/>
      <c r="DH22" s="434"/>
      <c r="DJ22" s="399"/>
    </row>
    <row r="23" spans="8:114" x14ac:dyDescent="0.25">
      <c r="H23" s="416" t="str">
        <f ca="1">IF(IMPORT!C36="","",IMPORT!C36)</f>
        <v/>
      </c>
      <c r="I23" s="416" t="str">
        <f ca="1">IF(IMPORT!D36="","",IMPORT!D36)</f>
        <v/>
      </c>
      <c r="J23" s="416" t="str">
        <f ca="1">IF(IMPORT!E36="","",IMPORT!E36)</f>
        <v/>
      </c>
      <c r="K23" s="416" t="str">
        <f ca="1">IF(IMPORT!F36="","",IMPORT!F36)</f>
        <v/>
      </c>
      <c r="L23" s="416" t="str">
        <f ca="1">IF(IMPORT!G36="","",IMPORT!G36)</f>
        <v/>
      </c>
      <c r="M23" s="416" t="str">
        <f>IF(IMPORT!H36="","",IMPORT!H36)</f>
        <v/>
      </c>
      <c r="N23" s="399" t="str">
        <f t="shared" si="3"/>
        <v/>
      </c>
      <c r="P23" s="406" t="str">
        <f t="shared" si="4"/>
        <v/>
      </c>
      <c r="Q23" s="406" t="str">
        <f t="array" ref="Q23">IFERROR(INDEX($N$1:$N$203,SMALL(IF($N$1:$N$203&lt;&gt;"",ROW($N$1:$N$203)),ROW(21:21))),"")</f>
        <v/>
      </c>
      <c r="R23" s="399" t="str">
        <f t="shared" si="0"/>
        <v/>
      </c>
      <c r="S23" s="399" t="str">
        <f t="shared" si="5"/>
        <v/>
      </c>
      <c r="T23" s="399" t="str">
        <f t="shared" si="6"/>
        <v/>
      </c>
      <c r="U23" s="419" t="str">
        <f t="shared" si="13"/>
        <v/>
      </c>
      <c r="V23" s="433" t="b">
        <v>0</v>
      </c>
      <c r="W23" s="464"/>
      <c r="X23" s="433"/>
      <c r="Y23" s="433" t="s">
        <v>92</v>
      </c>
      <c r="Z23" s="433"/>
      <c r="AA23" s="433"/>
      <c r="AB23" s="433"/>
      <c r="AC23" s="433" t="s">
        <v>1401</v>
      </c>
      <c r="AD23" s="433"/>
      <c r="AE23" s="433" t="s">
        <v>111</v>
      </c>
      <c r="AF23" s="433" t="s">
        <v>299</v>
      </c>
      <c r="AG23" s="433"/>
      <c r="AH23" s="433"/>
      <c r="AI23" s="433"/>
      <c r="AJ23" s="433"/>
      <c r="AK23" s="433"/>
      <c r="AL23" s="433"/>
      <c r="AM23" s="433"/>
      <c r="AN23" s="433"/>
      <c r="AO23" s="433"/>
      <c r="AP23" s="433"/>
      <c r="AQ23" s="433"/>
      <c r="AR23" s="433"/>
      <c r="AS23" s="433" t="b">
        <v>0</v>
      </c>
      <c r="AT23" s="433"/>
      <c r="AU23" s="433"/>
      <c r="AV23" s="433"/>
      <c r="AW23" s="433"/>
      <c r="AX23" s="433"/>
      <c r="AY23" s="433"/>
      <c r="AZ23" s="433"/>
      <c r="BA23" s="433"/>
      <c r="BB23" s="433"/>
      <c r="BC23" s="433"/>
      <c r="BD23" s="433"/>
      <c r="BE23" s="433"/>
      <c r="BF23" s="433"/>
      <c r="BG23" s="433"/>
      <c r="BH23" s="433"/>
      <c r="BI23" s="433"/>
      <c r="BJ23" s="433"/>
      <c r="BK23" s="433"/>
      <c r="BL23" s="433"/>
      <c r="BM23" s="433"/>
      <c r="BN23" s="433"/>
      <c r="BO23" s="433"/>
      <c r="BP23" s="433"/>
      <c r="BQ23" s="433"/>
      <c r="BR23" s="433"/>
      <c r="BS23" s="433"/>
      <c r="BT23" s="433"/>
      <c r="BU23" s="399" t="str">
        <f t="shared" si="7"/>
        <v/>
      </c>
      <c r="BV23" s="433"/>
      <c r="BW23" s="433"/>
      <c r="BX23" s="433"/>
      <c r="BY23" s="433"/>
      <c r="BZ23" s="433"/>
      <c r="CA23" s="433"/>
      <c r="CB23" s="433"/>
      <c r="CC23" s="433"/>
      <c r="CD23" s="433"/>
      <c r="CE23" s="433"/>
      <c r="CF23" s="433"/>
      <c r="CG23" s="433"/>
      <c r="CH23" s="433"/>
      <c r="CI23" s="433"/>
      <c r="CJ23" s="433"/>
      <c r="CK23" s="433"/>
      <c r="CL23" s="433"/>
      <c r="CM23" s="433"/>
      <c r="CN23" s="433"/>
      <c r="CO23" s="433"/>
      <c r="CP23" s="433"/>
      <c r="CQ23" s="433"/>
      <c r="CR23" s="433"/>
      <c r="CS23" s="433"/>
      <c r="CT23" s="433"/>
      <c r="CU23" s="433"/>
      <c r="CV23" s="433"/>
      <c r="CW23" s="433"/>
      <c r="CX23" s="433"/>
      <c r="CY23" s="433"/>
      <c r="CZ23" s="399" t="str">
        <f t="shared" si="8"/>
        <v/>
      </c>
      <c r="DA23" s="399" t="str">
        <f t="shared" si="9"/>
        <v/>
      </c>
      <c r="DB23" s="399" t="str">
        <f t="shared" si="10"/>
        <v/>
      </c>
      <c r="DC23" s="399" t="str">
        <f t="shared" si="11"/>
        <v/>
      </c>
      <c r="DD23" s="399" t="str">
        <f t="shared" si="2"/>
        <v/>
      </c>
      <c r="DE23" s="399" t="str">
        <f t="shared" si="12"/>
        <v/>
      </c>
      <c r="DG23" s="434"/>
      <c r="DH23" s="434"/>
      <c r="DJ23" s="399"/>
    </row>
    <row r="24" spans="8:114" x14ac:dyDescent="0.25">
      <c r="H24" s="416" t="str">
        <f ca="1">IF(IMPORT!C37="","",IMPORT!C37)</f>
        <v/>
      </c>
      <c r="I24" s="416" t="str">
        <f ca="1">IF(IMPORT!D37="","",IMPORT!D37)</f>
        <v/>
      </c>
      <c r="J24" s="416" t="str">
        <f ca="1">IF(IMPORT!E37="","",IMPORT!E37)</f>
        <v/>
      </c>
      <c r="K24" s="416" t="str">
        <f ca="1">IF(IMPORT!F37="","",IMPORT!F37)</f>
        <v/>
      </c>
      <c r="L24" s="416" t="str">
        <f ca="1">IF(IMPORT!G37="","",IMPORT!G37)</f>
        <v/>
      </c>
      <c r="M24" s="416" t="str">
        <f>IF(IMPORT!H37="","",IMPORT!H37)</f>
        <v/>
      </c>
      <c r="N24" s="399" t="str">
        <f t="shared" si="3"/>
        <v/>
      </c>
      <c r="P24" s="406" t="str">
        <f t="shared" si="4"/>
        <v/>
      </c>
      <c r="Q24" s="406" t="str">
        <f t="array" ref="Q24">IFERROR(INDEX($N$1:$N$203,SMALL(IF($N$1:$N$203&lt;&gt;"",ROW($N$1:$N$203)),ROW(22:22))),"")</f>
        <v/>
      </c>
      <c r="R24" s="399" t="str">
        <f t="shared" si="0"/>
        <v/>
      </c>
      <c r="S24" s="399" t="str">
        <f t="shared" si="5"/>
        <v/>
      </c>
      <c r="T24" s="399" t="str">
        <f t="shared" si="6"/>
        <v/>
      </c>
      <c r="U24" s="419" t="str">
        <f t="shared" si="13"/>
        <v/>
      </c>
      <c r="V24" s="433" t="b">
        <v>0</v>
      </c>
      <c r="W24" s="464"/>
      <c r="X24" s="433"/>
      <c r="Y24" s="433" t="s">
        <v>92</v>
      </c>
      <c r="Z24" s="433"/>
      <c r="AA24" s="433"/>
      <c r="AB24" s="433"/>
      <c r="AC24" s="433" t="s">
        <v>1401</v>
      </c>
      <c r="AD24" s="433"/>
      <c r="AE24" s="433" t="s">
        <v>111</v>
      </c>
      <c r="AF24" s="433" t="s">
        <v>299</v>
      </c>
      <c r="AG24" s="433"/>
      <c r="AH24" s="433"/>
      <c r="AI24" s="433"/>
      <c r="AJ24" s="433"/>
      <c r="AK24" s="433"/>
      <c r="AL24" s="433"/>
      <c r="AM24" s="433"/>
      <c r="AN24" s="433"/>
      <c r="AO24" s="433"/>
      <c r="AP24" s="433"/>
      <c r="AQ24" s="433"/>
      <c r="AR24" s="433"/>
      <c r="AS24" s="433" t="b">
        <v>0</v>
      </c>
      <c r="AT24" s="433"/>
      <c r="AU24" s="433"/>
      <c r="AV24" s="433"/>
      <c r="AW24" s="433"/>
      <c r="AX24" s="433"/>
      <c r="AY24" s="433"/>
      <c r="AZ24" s="433"/>
      <c r="BA24" s="433"/>
      <c r="BB24" s="433"/>
      <c r="BC24" s="433"/>
      <c r="BD24" s="433"/>
      <c r="BE24" s="433"/>
      <c r="BF24" s="433"/>
      <c r="BG24" s="433"/>
      <c r="BH24" s="433"/>
      <c r="BI24" s="433"/>
      <c r="BJ24" s="433"/>
      <c r="BK24" s="433"/>
      <c r="BL24" s="433"/>
      <c r="BM24" s="433"/>
      <c r="BN24" s="433"/>
      <c r="BO24" s="433"/>
      <c r="BP24" s="433"/>
      <c r="BQ24" s="433"/>
      <c r="BR24" s="433"/>
      <c r="BS24" s="433"/>
      <c r="BT24" s="433"/>
      <c r="BU24" s="399" t="str">
        <f t="shared" si="7"/>
        <v/>
      </c>
      <c r="BV24" s="433"/>
      <c r="BW24" s="433"/>
      <c r="BX24" s="433"/>
      <c r="BY24" s="433"/>
      <c r="BZ24" s="433"/>
      <c r="CA24" s="433"/>
      <c r="CB24" s="433"/>
      <c r="CC24" s="433"/>
      <c r="CD24" s="433"/>
      <c r="CE24" s="433"/>
      <c r="CF24" s="433"/>
      <c r="CG24" s="433"/>
      <c r="CH24" s="433"/>
      <c r="CI24" s="433"/>
      <c r="CJ24" s="433"/>
      <c r="CK24" s="433"/>
      <c r="CL24" s="433"/>
      <c r="CM24" s="433"/>
      <c r="CN24" s="433"/>
      <c r="CO24" s="433"/>
      <c r="CP24" s="433"/>
      <c r="CQ24" s="433"/>
      <c r="CR24" s="433"/>
      <c r="CS24" s="433"/>
      <c r="CT24" s="433"/>
      <c r="CU24" s="433"/>
      <c r="CV24" s="433"/>
      <c r="CW24" s="433"/>
      <c r="CX24" s="433"/>
      <c r="CY24" s="433"/>
      <c r="CZ24" s="399" t="str">
        <f t="shared" si="8"/>
        <v/>
      </c>
      <c r="DA24" s="399" t="str">
        <f t="shared" si="9"/>
        <v/>
      </c>
      <c r="DB24" s="399" t="str">
        <f t="shared" si="10"/>
        <v/>
      </c>
      <c r="DC24" s="399" t="str">
        <f t="shared" si="11"/>
        <v/>
      </c>
      <c r="DD24" s="399" t="str">
        <f t="shared" si="2"/>
        <v/>
      </c>
      <c r="DE24" s="399" t="str">
        <f t="shared" si="12"/>
        <v/>
      </c>
      <c r="DG24" s="434"/>
      <c r="DH24" s="434"/>
      <c r="DJ24" s="399"/>
    </row>
    <row r="25" spans="8:114" x14ac:dyDescent="0.25">
      <c r="H25" s="416" t="str">
        <f ca="1">IF(IMPORT!C38="","",IMPORT!C38)</f>
        <v/>
      </c>
      <c r="I25" s="416" t="str">
        <f ca="1">IF(IMPORT!D38="","",IMPORT!D38)</f>
        <v/>
      </c>
      <c r="J25" s="416" t="str">
        <f ca="1">IF(IMPORT!E38="","",IMPORT!E38)</f>
        <v/>
      </c>
      <c r="K25" s="416" t="str">
        <f ca="1">IF(IMPORT!F38="","",IMPORT!F38)</f>
        <v/>
      </c>
      <c r="L25" s="416" t="str">
        <f ca="1">IF(IMPORT!G38="","",IMPORT!G38)</f>
        <v/>
      </c>
      <c r="M25" s="416" t="str">
        <f>IF(IMPORT!H38="","",IMPORT!H38)</f>
        <v/>
      </c>
      <c r="N25" s="399" t="str">
        <f t="shared" si="3"/>
        <v/>
      </c>
      <c r="P25" s="406" t="str">
        <f t="shared" si="4"/>
        <v/>
      </c>
      <c r="Q25" s="406" t="str">
        <f t="array" ref="Q25">IFERROR(INDEX($N$1:$N$203,SMALL(IF($N$1:$N$203&lt;&gt;"",ROW($N$1:$N$203)),ROW(23:23))),"")</f>
        <v/>
      </c>
      <c r="R25" s="399" t="str">
        <f t="shared" si="0"/>
        <v/>
      </c>
      <c r="S25" s="399" t="str">
        <f t="shared" si="5"/>
        <v/>
      </c>
      <c r="T25" s="399" t="str">
        <f t="shared" si="6"/>
        <v/>
      </c>
      <c r="U25" s="419" t="str">
        <f t="shared" si="13"/>
        <v/>
      </c>
      <c r="V25" s="433" t="b">
        <v>0</v>
      </c>
      <c r="W25" s="464"/>
      <c r="X25" s="433"/>
      <c r="Y25" s="433" t="s">
        <v>92</v>
      </c>
      <c r="Z25" s="433"/>
      <c r="AA25" s="433"/>
      <c r="AB25" s="433"/>
      <c r="AC25" s="433" t="s">
        <v>1401</v>
      </c>
      <c r="AD25" s="433"/>
      <c r="AE25" s="433" t="s">
        <v>111</v>
      </c>
      <c r="AF25" s="433" t="s">
        <v>299</v>
      </c>
      <c r="AG25" s="433"/>
      <c r="AH25" s="433"/>
      <c r="AI25" s="433"/>
      <c r="AJ25" s="433"/>
      <c r="AK25" s="433"/>
      <c r="AL25" s="433"/>
      <c r="AM25" s="433"/>
      <c r="AN25" s="433"/>
      <c r="AO25" s="433"/>
      <c r="AP25" s="433"/>
      <c r="AQ25" s="433"/>
      <c r="AR25" s="433"/>
      <c r="AS25" s="433" t="b">
        <v>0</v>
      </c>
      <c r="AT25" s="433"/>
      <c r="AU25" s="433"/>
      <c r="AV25" s="433"/>
      <c r="AW25" s="433"/>
      <c r="AX25" s="433"/>
      <c r="AY25" s="433"/>
      <c r="AZ25" s="433"/>
      <c r="BA25" s="433"/>
      <c r="BB25" s="433"/>
      <c r="BC25" s="433"/>
      <c r="BD25" s="433"/>
      <c r="BE25" s="433"/>
      <c r="BF25" s="433"/>
      <c r="BG25" s="433"/>
      <c r="BH25" s="433"/>
      <c r="BI25" s="433"/>
      <c r="BJ25" s="433"/>
      <c r="BK25" s="433"/>
      <c r="BL25" s="433"/>
      <c r="BM25" s="433"/>
      <c r="BN25" s="433"/>
      <c r="BO25" s="433"/>
      <c r="BP25" s="433"/>
      <c r="BQ25" s="433"/>
      <c r="BR25" s="433"/>
      <c r="BS25" s="433"/>
      <c r="BT25" s="433"/>
      <c r="BU25" s="399" t="str">
        <f t="shared" si="7"/>
        <v/>
      </c>
      <c r="BV25" s="433"/>
      <c r="BW25" s="433"/>
      <c r="BX25" s="433"/>
      <c r="BY25" s="433"/>
      <c r="BZ25" s="433"/>
      <c r="CA25" s="433"/>
      <c r="CB25" s="433"/>
      <c r="CC25" s="433"/>
      <c r="CD25" s="433"/>
      <c r="CE25" s="433"/>
      <c r="CF25" s="433"/>
      <c r="CG25" s="433"/>
      <c r="CH25" s="433"/>
      <c r="CI25" s="433"/>
      <c r="CJ25" s="433"/>
      <c r="CK25" s="433"/>
      <c r="CL25" s="433"/>
      <c r="CM25" s="433"/>
      <c r="CN25" s="433"/>
      <c r="CO25" s="433"/>
      <c r="CP25" s="433"/>
      <c r="CQ25" s="433"/>
      <c r="CR25" s="433"/>
      <c r="CS25" s="433"/>
      <c r="CT25" s="433"/>
      <c r="CU25" s="433"/>
      <c r="CV25" s="433"/>
      <c r="CW25" s="433"/>
      <c r="CX25" s="433"/>
      <c r="CY25" s="433"/>
      <c r="CZ25" s="399" t="str">
        <f t="shared" si="8"/>
        <v/>
      </c>
      <c r="DA25" s="399" t="str">
        <f t="shared" si="9"/>
        <v/>
      </c>
      <c r="DB25" s="399" t="str">
        <f t="shared" si="10"/>
        <v/>
      </c>
      <c r="DC25" s="399" t="str">
        <f t="shared" si="11"/>
        <v/>
      </c>
      <c r="DD25" s="399" t="str">
        <f t="shared" si="2"/>
        <v/>
      </c>
      <c r="DE25" s="399" t="str">
        <f t="shared" si="12"/>
        <v/>
      </c>
      <c r="DG25" s="434"/>
      <c r="DH25" s="434"/>
      <c r="DJ25" s="399"/>
    </row>
    <row r="26" spans="8:114" x14ac:dyDescent="0.25">
      <c r="H26" s="416" t="str">
        <f ca="1">IF(IMPORT!C39="","",IMPORT!C39)</f>
        <v/>
      </c>
      <c r="I26" s="416" t="str">
        <f ca="1">IF(IMPORT!D39="","",IMPORT!D39)</f>
        <v/>
      </c>
      <c r="J26" s="416" t="str">
        <f ca="1">IF(IMPORT!E39="","",IMPORT!E39)</f>
        <v/>
      </c>
      <c r="K26" s="416" t="str">
        <f ca="1">IF(IMPORT!F39="","",IMPORT!F39)</f>
        <v/>
      </c>
      <c r="L26" s="416" t="str">
        <f ca="1">IF(IMPORT!G39="","",IMPORT!G39)</f>
        <v/>
      </c>
      <c r="M26" s="416" t="str">
        <f>IF(IMPORT!H39="","",IMPORT!H39)</f>
        <v/>
      </c>
      <c r="N26" s="399" t="str">
        <f t="shared" si="3"/>
        <v/>
      </c>
      <c r="P26" s="406" t="str">
        <f t="shared" si="4"/>
        <v/>
      </c>
      <c r="Q26" s="406" t="str">
        <f t="array" ref="Q26">IFERROR(INDEX($N$1:$N$203,SMALL(IF($N$1:$N$203&lt;&gt;"",ROW($N$1:$N$203)),ROW(24:24))),"")</f>
        <v/>
      </c>
      <c r="R26" s="399" t="str">
        <f t="shared" si="0"/>
        <v/>
      </c>
      <c r="S26" s="399" t="str">
        <f t="shared" si="5"/>
        <v/>
      </c>
      <c r="T26" s="399" t="str">
        <f t="shared" si="6"/>
        <v/>
      </c>
      <c r="U26" s="419" t="str">
        <f t="shared" si="13"/>
        <v/>
      </c>
      <c r="V26" s="433" t="b">
        <v>0</v>
      </c>
      <c r="W26" s="464"/>
      <c r="X26" s="433"/>
      <c r="Y26" s="433" t="s">
        <v>92</v>
      </c>
      <c r="Z26" s="433"/>
      <c r="AA26" s="433"/>
      <c r="AB26" s="433"/>
      <c r="AC26" s="433" t="s">
        <v>1401</v>
      </c>
      <c r="AD26" s="433"/>
      <c r="AE26" s="433" t="s">
        <v>111</v>
      </c>
      <c r="AF26" s="433" t="s">
        <v>299</v>
      </c>
      <c r="AG26" s="433"/>
      <c r="AH26" s="433"/>
      <c r="AI26" s="433"/>
      <c r="AJ26" s="433"/>
      <c r="AK26" s="433"/>
      <c r="AL26" s="433"/>
      <c r="AM26" s="433"/>
      <c r="AN26" s="433"/>
      <c r="AO26" s="433"/>
      <c r="AP26" s="433"/>
      <c r="AQ26" s="433"/>
      <c r="AR26" s="433"/>
      <c r="AS26" s="433" t="b">
        <v>0</v>
      </c>
      <c r="AT26" s="433"/>
      <c r="AU26" s="433"/>
      <c r="AV26" s="433"/>
      <c r="AW26" s="433"/>
      <c r="AX26" s="433"/>
      <c r="AY26" s="433"/>
      <c r="AZ26" s="433"/>
      <c r="BA26" s="433"/>
      <c r="BB26" s="433"/>
      <c r="BC26" s="433"/>
      <c r="BD26" s="433"/>
      <c r="BE26" s="433"/>
      <c r="BF26" s="433"/>
      <c r="BG26" s="433"/>
      <c r="BH26" s="433"/>
      <c r="BI26" s="433"/>
      <c r="BJ26" s="433"/>
      <c r="BK26" s="433"/>
      <c r="BL26" s="433"/>
      <c r="BM26" s="433"/>
      <c r="BN26" s="433"/>
      <c r="BO26" s="433"/>
      <c r="BP26" s="433"/>
      <c r="BQ26" s="433"/>
      <c r="BR26" s="433"/>
      <c r="BS26" s="433"/>
      <c r="BT26" s="433"/>
      <c r="BU26" s="399" t="str">
        <f t="shared" si="7"/>
        <v/>
      </c>
      <c r="BV26" s="433"/>
      <c r="BW26" s="433"/>
      <c r="BX26" s="433"/>
      <c r="BY26" s="433"/>
      <c r="BZ26" s="433"/>
      <c r="CA26" s="433"/>
      <c r="CB26" s="433"/>
      <c r="CC26" s="433"/>
      <c r="CD26" s="433"/>
      <c r="CE26" s="433"/>
      <c r="CF26" s="433"/>
      <c r="CG26" s="433"/>
      <c r="CH26" s="433"/>
      <c r="CI26" s="433"/>
      <c r="CJ26" s="433"/>
      <c r="CK26" s="433"/>
      <c r="CL26" s="433"/>
      <c r="CM26" s="433"/>
      <c r="CN26" s="433"/>
      <c r="CO26" s="433"/>
      <c r="CP26" s="433"/>
      <c r="CQ26" s="433"/>
      <c r="CR26" s="433"/>
      <c r="CS26" s="433"/>
      <c r="CT26" s="433"/>
      <c r="CU26" s="433"/>
      <c r="CV26" s="433"/>
      <c r="CW26" s="433"/>
      <c r="CX26" s="433"/>
      <c r="CY26" s="433"/>
      <c r="CZ26" s="399" t="str">
        <f t="shared" si="8"/>
        <v/>
      </c>
      <c r="DA26" s="399" t="str">
        <f t="shared" si="9"/>
        <v/>
      </c>
      <c r="DB26" s="399" t="str">
        <f t="shared" si="10"/>
        <v/>
      </c>
      <c r="DC26" s="399" t="str">
        <f t="shared" si="11"/>
        <v/>
      </c>
      <c r="DD26" s="399" t="str">
        <f t="shared" si="2"/>
        <v/>
      </c>
      <c r="DE26" s="399" t="str">
        <f t="shared" si="12"/>
        <v/>
      </c>
      <c r="DG26" s="434"/>
      <c r="DH26" s="434"/>
      <c r="DJ26" s="399"/>
    </row>
    <row r="27" spans="8:114" x14ac:dyDescent="0.25">
      <c r="H27" s="416" t="str">
        <f ca="1">IF(IMPORT!C40="","",IMPORT!C40)</f>
        <v/>
      </c>
      <c r="I27" s="416" t="str">
        <f ca="1">IF(IMPORT!D40="","",IMPORT!D40)</f>
        <v/>
      </c>
      <c r="J27" s="416" t="str">
        <f ca="1">IF(IMPORT!E40="","",IMPORT!E40)</f>
        <v/>
      </c>
      <c r="K27" s="416" t="str">
        <f ca="1">IF(IMPORT!F40="","",IMPORT!F40)</f>
        <v/>
      </c>
      <c r="L27" s="416" t="str">
        <f ca="1">IF(IMPORT!G40="","",IMPORT!G40)</f>
        <v/>
      </c>
      <c r="M27" s="416" t="str">
        <f>IF(IMPORT!H40="","",IMPORT!H40)</f>
        <v/>
      </c>
      <c r="N27" s="399" t="str">
        <f t="shared" si="3"/>
        <v/>
      </c>
      <c r="P27" s="406" t="str">
        <f t="shared" si="4"/>
        <v/>
      </c>
      <c r="Q27" s="406" t="str">
        <f t="array" ref="Q27">IFERROR(INDEX($N$1:$N$203,SMALL(IF($N$1:$N$203&lt;&gt;"",ROW($N$1:$N$203)),ROW(25:25))),"")</f>
        <v/>
      </c>
      <c r="R27" s="399" t="str">
        <f t="shared" si="0"/>
        <v/>
      </c>
      <c r="S27" s="399" t="str">
        <f t="shared" si="5"/>
        <v/>
      </c>
      <c r="T27" s="399" t="str">
        <f t="shared" si="6"/>
        <v/>
      </c>
      <c r="U27" s="419" t="str">
        <f t="shared" si="13"/>
        <v/>
      </c>
      <c r="V27" s="433" t="b">
        <v>0</v>
      </c>
      <c r="W27" s="464"/>
      <c r="X27" s="433"/>
      <c r="Y27" s="433" t="s">
        <v>92</v>
      </c>
      <c r="Z27" s="433"/>
      <c r="AA27" s="433"/>
      <c r="AB27" s="433"/>
      <c r="AC27" s="433" t="s">
        <v>1401</v>
      </c>
      <c r="AD27" s="433"/>
      <c r="AE27" s="433" t="s">
        <v>111</v>
      </c>
      <c r="AF27" s="433" t="s">
        <v>299</v>
      </c>
      <c r="AG27" s="433"/>
      <c r="AH27" s="433"/>
      <c r="AI27" s="433"/>
      <c r="AJ27" s="433"/>
      <c r="AK27" s="433"/>
      <c r="AL27" s="433"/>
      <c r="AM27" s="433"/>
      <c r="AN27" s="433"/>
      <c r="AO27" s="433"/>
      <c r="AP27" s="433"/>
      <c r="AQ27" s="433"/>
      <c r="AR27" s="433"/>
      <c r="AS27" s="433" t="b">
        <v>0</v>
      </c>
      <c r="AT27" s="433"/>
      <c r="AU27" s="433"/>
      <c r="AV27" s="433"/>
      <c r="AW27" s="433"/>
      <c r="AX27" s="433"/>
      <c r="AY27" s="433"/>
      <c r="AZ27" s="433"/>
      <c r="BA27" s="433"/>
      <c r="BB27" s="433"/>
      <c r="BC27" s="433"/>
      <c r="BD27" s="433"/>
      <c r="BE27" s="433"/>
      <c r="BF27" s="433"/>
      <c r="BG27" s="433"/>
      <c r="BH27" s="433"/>
      <c r="BI27" s="433"/>
      <c r="BJ27" s="433"/>
      <c r="BK27" s="433"/>
      <c r="BL27" s="433"/>
      <c r="BM27" s="433"/>
      <c r="BN27" s="433"/>
      <c r="BO27" s="433"/>
      <c r="BP27" s="433"/>
      <c r="BQ27" s="433"/>
      <c r="BR27" s="433"/>
      <c r="BS27" s="433"/>
      <c r="BT27" s="433"/>
      <c r="BU27" s="399" t="str">
        <f t="shared" si="7"/>
        <v/>
      </c>
      <c r="BV27" s="433"/>
      <c r="BW27" s="433"/>
      <c r="BX27" s="433"/>
      <c r="BY27" s="433"/>
      <c r="BZ27" s="433"/>
      <c r="CA27" s="433"/>
      <c r="CB27" s="433"/>
      <c r="CC27" s="433"/>
      <c r="CD27" s="433"/>
      <c r="CE27" s="433"/>
      <c r="CF27" s="433"/>
      <c r="CG27" s="433"/>
      <c r="CH27" s="433"/>
      <c r="CI27" s="433"/>
      <c r="CJ27" s="433"/>
      <c r="CK27" s="433"/>
      <c r="CL27" s="433"/>
      <c r="CM27" s="433"/>
      <c r="CN27" s="433"/>
      <c r="CO27" s="433"/>
      <c r="CP27" s="433"/>
      <c r="CQ27" s="433"/>
      <c r="CR27" s="433"/>
      <c r="CS27" s="433"/>
      <c r="CT27" s="433"/>
      <c r="CU27" s="433"/>
      <c r="CV27" s="433"/>
      <c r="CW27" s="433"/>
      <c r="CX27" s="433"/>
      <c r="CY27" s="433"/>
      <c r="CZ27" s="399" t="str">
        <f t="shared" si="8"/>
        <v/>
      </c>
      <c r="DA27" s="399" t="str">
        <f t="shared" si="9"/>
        <v/>
      </c>
      <c r="DB27" s="399" t="str">
        <f t="shared" si="10"/>
        <v/>
      </c>
      <c r="DC27" s="399" t="str">
        <f t="shared" si="11"/>
        <v/>
      </c>
      <c r="DD27" s="399" t="str">
        <f t="shared" si="2"/>
        <v/>
      </c>
      <c r="DE27" s="399" t="str">
        <f t="shared" si="12"/>
        <v/>
      </c>
      <c r="DG27" s="434"/>
      <c r="DH27" s="434"/>
      <c r="DJ27" s="399"/>
    </row>
    <row r="28" spans="8:114" x14ac:dyDescent="0.25">
      <c r="H28" s="416" t="str">
        <f ca="1">IF(IMPORT!C41="","",IMPORT!C41)</f>
        <v/>
      </c>
      <c r="I28" s="416" t="str">
        <f ca="1">IF(IMPORT!D41="","",IMPORT!D41)</f>
        <v/>
      </c>
      <c r="J28" s="416" t="str">
        <f ca="1">IF(IMPORT!E41="","",IMPORT!E41)</f>
        <v/>
      </c>
      <c r="K28" s="416" t="str">
        <f ca="1">IF(IMPORT!F41="","",IMPORT!F41)</f>
        <v/>
      </c>
      <c r="L28" s="416" t="str">
        <f ca="1">IF(IMPORT!G41="","",IMPORT!G41)</f>
        <v/>
      </c>
      <c r="M28" s="416" t="str">
        <f>IF(IMPORT!H41="","",IMPORT!H41)</f>
        <v/>
      </c>
      <c r="N28" s="399" t="str">
        <f t="shared" si="3"/>
        <v/>
      </c>
      <c r="P28" s="406" t="str">
        <f t="shared" si="4"/>
        <v/>
      </c>
      <c r="Q28" s="406" t="str">
        <f t="array" ref="Q28">IFERROR(INDEX($N$1:$N$203,SMALL(IF($N$1:$N$203&lt;&gt;"",ROW($N$1:$N$203)),ROW(26:26))),"")</f>
        <v/>
      </c>
      <c r="R28" s="399" t="str">
        <f t="shared" si="0"/>
        <v/>
      </c>
      <c r="S28" s="399" t="str">
        <f t="shared" si="5"/>
        <v/>
      </c>
      <c r="T28" s="399" t="str">
        <f t="shared" si="6"/>
        <v/>
      </c>
      <c r="U28" s="419" t="str">
        <f t="shared" si="13"/>
        <v/>
      </c>
      <c r="V28" s="433" t="b">
        <v>0</v>
      </c>
      <c r="W28" s="464"/>
      <c r="X28" s="433"/>
      <c r="Y28" s="433" t="s">
        <v>92</v>
      </c>
      <c r="Z28" s="433"/>
      <c r="AA28" s="433"/>
      <c r="AB28" s="433"/>
      <c r="AC28" s="433" t="s">
        <v>1401</v>
      </c>
      <c r="AD28" s="433"/>
      <c r="AE28" s="433" t="s">
        <v>111</v>
      </c>
      <c r="AF28" s="433" t="s">
        <v>299</v>
      </c>
      <c r="AG28" s="433"/>
      <c r="AH28" s="433"/>
      <c r="AI28" s="433"/>
      <c r="AJ28" s="433"/>
      <c r="AK28" s="433"/>
      <c r="AL28" s="433"/>
      <c r="AM28" s="433"/>
      <c r="AN28" s="433"/>
      <c r="AO28" s="433"/>
      <c r="AP28" s="433"/>
      <c r="AQ28" s="433"/>
      <c r="AR28" s="433"/>
      <c r="AS28" s="433" t="b">
        <v>0</v>
      </c>
      <c r="AT28" s="433"/>
      <c r="AU28" s="433"/>
      <c r="AV28" s="433"/>
      <c r="AW28" s="433"/>
      <c r="AX28" s="433"/>
      <c r="AY28" s="433"/>
      <c r="AZ28" s="433"/>
      <c r="BA28" s="433"/>
      <c r="BB28" s="433"/>
      <c r="BC28" s="433"/>
      <c r="BD28" s="433"/>
      <c r="BE28" s="433"/>
      <c r="BF28" s="433"/>
      <c r="BG28" s="433"/>
      <c r="BH28" s="433"/>
      <c r="BI28" s="433"/>
      <c r="BJ28" s="433"/>
      <c r="BK28" s="433"/>
      <c r="BL28" s="433"/>
      <c r="BM28" s="433"/>
      <c r="BN28" s="433"/>
      <c r="BO28" s="433"/>
      <c r="BP28" s="433"/>
      <c r="BQ28" s="433"/>
      <c r="BR28" s="433"/>
      <c r="BS28" s="433"/>
      <c r="BT28" s="433"/>
      <c r="BU28" s="399" t="str">
        <f t="shared" si="7"/>
        <v/>
      </c>
      <c r="BV28" s="433"/>
      <c r="BW28" s="433"/>
      <c r="BX28" s="433"/>
      <c r="BY28" s="433"/>
      <c r="BZ28" s="433"/>
      <c r="CA28" s="433"/>
      <c r="CB28" s="433"/>
      <c r="CC28" s="433"/>
      <c r="CD28" s="433"/>
      <c r="CE28" s="433"/>
      <c r="CF28" s="433"/>
      <c r="CG28" s="433"/>
      <c r="CH28" s="433"/>
      <c r="CI28" s="433"/>
      <c r="CJ28" s="433"/>
      <c r="CK28" s="433"/>
      <c r="CL28" s="433"/>
      <c r="CM28" s="433"/>
      <c r="CN28" s="433"/>
      <c r="CO28" s="433"/>
      <c r="CP28" s="433"/>
      <c r="CQ28" s="433"/>
      <c r="CR28" s="433"/>
      <c r="CS28" s="433"/>
      <c r="CT28" s="433"/>
      <c r="CU28" s="433"/>
      <c r="CV28" s="433"/>
      <c r="CW28" s="433"/>
      <c r="CX28" s="433"/>
      <c r="CY28" s="433"/>
      <c r="CZ28" s="399" t="str">
        <f t="shared" si="8"/>
        <v/>
      </c>
      <c r="DA28" s="399" t="str">
        <f t="shared" si="9"/>
        <v/>
      </c>
      <c r="DB28" s="399" t="str">
        <f t="shared" si="10"/>
        <v/>
      </c>
      <c r="DC28" s="399" t="str">
        <f t="shared" si="11"/>
        <v/>
      </c>
      <c r="DD28" s="399" t="str">
        <f t="shared" si="2"/>
        <v/>
      </c>
      <c r="DE28" s="399" t="str">
        <f t="shared" si="12"/>
        <v/>
      </c>
      <c r="DG28" s="434"/>
      <c r="DH28" s="434"/>
      <c r="DJ28" s="399"/>
    </row>
    <row r="29" spans="8:114" x14ac:dyDescent="0.25">
      <c r="H29" s="416" t="str">
        <f ca="1">IF(IMPORT!C42="","",IMPORT!C42)</f>
        <v/>
      </c>
      <c r="I29" s="416" t="str">
        <f ca="1">IF(IMPORT!D42="","",IMPORT!D42)</f>
        <v/>
      </c>
      <c r="J29" s="416" t="str">
        <f ca="1">IF(IMPORT!E42="","",IMPORT!E42)</f>
        <v/>
      </c>
      <c r="K29" s="416" t="str">
        <f ca="1">IF(IMPORT!F42="","",IMPORT!F42)</f>
        <v/>
      </c>
      <c r="L29" s="416" t="str">
        <f ca="1">IF(IMPORT!G42="","",IMPORT!G42)</f>
        <v/>
      </c>
      <c r="M29" s="416" t="str">
        <f>IF(IMPORT!H42="","",IMPORT!H42)</f>
        <v/>
      </c>
      <c r="N29" s="399" t="str">
        <f t="shared" si="3"/>
        <v/>
      </c>
      <c r="P29" s="406" t="str">
        <f t="shared" si="4"/>
        <v/>
      </c>
      <c r="Q29" s="406" t="str">
        <f t="array" ref="Q29">IFERROR(INDEX($N$1:$N$203,SMALL(IF($N$1:$N$203&lt;&gt;"",ROW($N$1:$N$203)),ROW(27:27))),"")</f>
        <v/>
      </c>
      <c r="R29" s="399" t="str">
        <f t="shared" si="0"/>
        <v/>
      </c>
      <c r="S29" s="399" t="str">
        <f t="shared" si="5"/>
        <v/>
      </c>
      <c r="T29" s="399" t="str">
        <f t="shared" si="6"/>
        <v/>
      </c>
      <c r="U29" s="419" t="str">
        <f t="shared" si="13"/>
        <v/>
      </c>
      <c r="V29" s="433" t="b">
        <v>0</v>
      </c>
      <c r="W29" s="464"/>
      <c r="X29" s="433"/>
      <c r="Y29" s="433" t="s">
        <v>92</v>
      </c>
      <c r="Z29" s="433"/>
      <c r="AA29" s="433"/>
      <c r="AB29" s="433"/>
      <c r="AC29" s="433" t="s">
        <v>1401</v>
      </c>
      <c r="AD29" s="433"/>
      <c r="AE29" s="433" t="s">
        <v>111</v>
      </c>
      <c r="AF29" s="433" t="s">
        <v>299</v>
      </c>
      <c r="AG29" s="433"/>
      <c r="AH29" s="433"/>
      <c r="AI29" s="433"/>
      <c r="AJ29" s="433"/>
      <c r="AK29" s="433"/>
      <c r="AL29" s="433"/>
      <c r="AM29" s="433"/>
      <c r="AN29" s="433"/>
      <c r="AO29" s="433"/>
      <c r="AP29" s="433"/>
      <c r="AQ29" s="433"/>
      <c r="AR29" s="433"/>
      <c r="AS29" s="433" t="b">
        <v>0</v>
      </c>
      <c r="AT29" s="433"/>
      <c r="AU29" s="433"/>
      <c r="AV29" s="433"/>
      <c r="AW29" s="433"/>
      <c r="AX29" s="433"/>
      <c r="AY29" s="433"/>
      <c r="AZ29" s="433"/>
      <c r="BA29" s="433"/>
      <c r="BB29" s="433"/>
      <c r="BC29" s="433"/>
      <c r="BD29" s="433"/>
      <c r="BE29" s="433"/>
      <c r="BF29" s="433"/>
      <c r="BG29" s="433"/>
      <c r="BH29" s="433"/>
      <c r="BI29" s="433"/>
      <c r="BJ29" s="433"/>
      <c r="BK29" s="433"/>
      <c r="BL29" s="433"/>
      <c r="BM29" s="433"/>
      <c r="BN29" s="433"/>
      <c r="BO29" s="433"/>
      <c r="BP29" s="433"/>
      <c r="BQ29" s="433"/>
      <c r="BR29" s="433"/>
      <c r="BS29" s="433"/>
      <c r="BT29" s="433"/>
      <c r="BU29" s="399" t="str">
        <f t="shared" si="7"/>
        <v/>
      </c>
      <c r="BV29" s="433"/>
      <c r="BW29" s="433"/>
      <c r="BX29" s="433"/>
      <c r="BY29" s="433"/>
      <c r="BZ29" s="433"/>
      <c r="CA29" s="433"/>
      <c r="CB29" s="433"/>
      <c r="CC29" s="433"/>
      <c r="CD29" s="433"/>
      <c r="CE29" s="433"/>
      <c r="CF29" s="433"/>
      <c r="CG29" s="433"/>
      <c r="CH29" s="433"/>
      <c r="CI29" s="433"/>
      <c r="CJ29" s="433"/>
      <c r="CK29" s="433"/>
      <c r="CL29" s="433"/>
      <c r="CM29" s="433"/>
      <c r="CN29" s="433"/>
      <c r="CO29" s="433"/>
      <c r="CP29" s="433"/>
      <c r="CQ29" s="433"/>
      <c r="CR29" s="433"/>
      <c r="CS29" s="433"/>
      <c r="CT29" s="433"/>
      <c r="CU29" s="433"/>
      <c r="CV29" s="433"/>
      <c r="CW29" s="433"/>
      <c r="CX29" s="433"/>
      <c r="CY29" s="433"/>
      <c r="CZ29" s="399" t="str">
        <f t="shared" si="8"/>
        <v/>
      </c>
      <c r="DA29" s="399" t="str">
        <f t="shared" si="9"/>
        <v/>
      </c>
      <c r="DB29" s="399" t="str">
        <f t="shared" si="10"/>
        <v/>
      </c>
      <c r="DC29" s="399" t="str">
        <f t="shared" si="11"/>
        <v/>
      </c>
      <c r="DD29" s="399" t="str">
        <f t="shared" si="2"/>
        <v/>
      </c>
      <c r="DE29" s="399" t="str">
        <f t="shared" si="12"/>
        <v/>
      </c>
      <c r="DG29" s="434"/>
      <c r="DH29" s="434"/>
      <c r="DJ29" s="399"/>
    </row>
    <row r="30" spans="8:114" x14ac:dyDescent="0.25">
      <c r="H30" s="416" t="str">
        <f ca="1">IF(IMPORT!C43="","",IMPORT!C43)</f>
        <v/>
      </c>
      <c r="I30" s="416" t="str">
        <f ca="1">IF(IMPORT!D43="","",IMPORT!D43)</f>
        <v/>
      </c>
      <c r="J30" s="416" t="str">
        <f ca="1">IF(IMPORT!E43="","",IMPORT!E43)</f>
        <v/>
      </c>
      <c r="K30" s="416" t="str">
        <f ca="1">IF(IMPORT!F43="","",IMPORT!F43)</f>
        <v/>
      </c>
      <c r="L30" s="416" t="str">
        <f ca="1">IF(IMPORT!G43="","",IMPORT!G43)</f>
        <v/>
      </c>
      <c r="M30" s="416" t="str">
        <f>IF(IMPORT!H43="","",IMPORT!H43)</f>
        <v/>
      </c>
      <c r="N30" s="399" t="str">
        <f t="shared" si="3"/>
        <v/>
      </c>
      <c r="P30" s="406" t="str">
        <f t="shared" si="4"/>
        <v/>
      </c>
      <c r="Q30" s="406" t="str">
        <f t="array" ref="Q30">IFERROR(INDEX($N$1:$N$203,SMALL(IF($N$1:$N$203&lt;&gt;"",ROW($N$1:$N$203)),ROW(28:28))),"")</f>
        <v/>
      </c>
      <c r="R30" s="399" t="str">
        <f t="shared" si="0"/>
        <v/>
      </c>
      <c r="S30" s="399" t="str">
        <f t="shared" si="5"/>
        <v/>
      </c>
      <c r="T30" s="399" t="str">
        <f t="shared" si="6"/>
        <v/>
      </c>
      <c r="U30" s="419" t="str">
        <f t="shared" si="13"/>
        <v/>
      </c>
      <c r="V30" s="433" t="b">
        <v>0</v>
      </c>
      <c r="W30" s="464"/>
      <c r="X30" s="433"/>
      <c r="Y30" s="433" t="s">
        <v>92</v>
      </c>
      <c r="Z30" s="433"/>
      <c r="AA30" s="433"/>
      <c r="AB30" s="433"/>
      <c r="AC30" s="433" t="s">
        <v>1401</v>
      </c>
      <c r="AD30" s="433"/>
      <c r="AE30" s="433" t="s">
        <v>111</v>
      </c>
      <c r="AF30" s="433" t="s">
        <v>299</v>
      </c>
      <c r="AG30" s="433"/>
      <c r="AH30" s="433"/>
      <c r="AI30" s="433"/>
      <c r="AJ30" s="433"/>
      <c r="AK30" s="433"/>
      <c r="AL30" s="433"/>
      <c r="AM30" s="433"/>
      <c r="AN30" s="433"/>
      <c r="AO30" s="433"/>
      <c r="AP30" s="433"/>
      <c r="AQ30" s="433"/>
      <c r="AR30" s="433"/>
      <c r="AS30" s="433" t="b">
        <v>0</v>
      </c>
      <c r="AT30" s="433"/>
      <c r="AU30" s="433"/>
      <c r="AV30" s="433"/>
      <c r="AW30" s="433"/>
      <c r="AX30" s="433"/>
      <c r="AY30" s="433"/>
      <c r="AZ30" s="433"/>
      <c r="BA30" s="433"/>
      <c r="BB30" s="433"/>
      <c r="BC30" s="433"/>
      <c r="BD30" s="433"/>
      <c r="BE30" s="433"/>
      <c r="BF30" s="433"/>
      <c r="BG30" s="433"/>
      <c r="BH30" s="433"/>
      <c r="BI30" s="433"/>
      <c r="BJ30" s="433"/>
      <c r="BK30" s="433"/>
      <c r="BL30" s="433"/>
      <c r="BM30" s="433"/>
      <c r="BN30" s="433"/>
      <c r="BO30" s="433"/>
      <c r="BP30" s="433"/>
      <c r="BQ30" s="433"/>
      <c r="BR30" s="433"/>
      <c r="BS30" s="433"/>
      <c r="BT30" s="433"/>
      <c r="BU30" s="399" t="str">
        <f t="shared" si="7"/>
        <v/>
      </c>
      <c r="BV30" s="433"/>
      <c r="BW30" s="433"/>
      <c r="BX30" s="433"/>
      <c r="BY30" s="433"/>
      <c r="BZ30" s="433"/>
      <c r="CA30" s="433"/>
      <c r="CB30" s="433"/>
      <c r="CC30" s="433"/>
      <c r="CD30" s="433"/>
      <c r="CE30" s="433"/>
      <c r="CF30" s="433"/>
      <c r="CG30" s="433"/>
      <c r="CH30" s="433"/>
      <c r="CI30" s="433"/>
      <c r="CJ30" s="433"/>
      <c r="CK30" s="433"/>
      <c r="CL30" s="433"/>
      <c r="CM30" s="433"/>
      <c r="CN30" s="433"/>
      <c r="CO30" s="433"/>
      <c r="CP30" s="433"/>
      <c r="CQ30" s="433"/>
      <c r="CR30" s="433"/>
      <c r="CS30" s="433"/>
      <c r="CT30" s="433"/>
      <c r="CU30" s="433"/>
      <c r="CV30" s="433"/>
      <c r="CW30" s="433"/>
      <c r="CX30" s="433"/>
      <c r="CY30" s="433"/>
      <c r="CZ30" s="399" t="str">
        <f t="shared" si="8"/>
        <v/>
      </c>
      <c r="DA30" s="399" t="str">
        <f t="shared" si="9"/>
        <v/>
      </c>
      <c r="DB30" s="399" t="str">
        <f t="shared" si="10"/>
        <v/>
      </c>
      <c r="DC30" s="399" t="str">
        <f t="shared" si="11"/>
        <v/>
      </c>
      <c r="DD30" s="399" t="str">
        <f t="shared" si="2"/>
        <v/>
      </c>
      <c r="DE30" s="399" t="str">
        <f t="shared" si="12"/>
        <v/>
      </c>
      <c r="DG30" s="434"/>
      <c r="DH30" s="434"/>
      <c r="DJ30" s="399"/>
    </row>
    <row r="31" spans="8:114" x14ac:dyDescent="0.25">
      <c r="H31" s="416" t="str">
        <f ca="1">IF(IMPORT!C44="","",IMPORT!C44)</f>
        <v/>
      </c>
      <c r="I31" s="416" t="str">
        <f ca="1">IF(IMPORT!D44="","",IMPORT!D44)</f>
        <v/>
      </c>
      <c r="J31" s="416" t="str">
        <f ca="1">IF(IMPORT!E44="","",IMPORT!E44)</f>
        <v/>
      </c>
      <c r="K31" s="416" t="str">
        <f ca="1">IF(IMPORT!F44="","",IMPORT!F44)</f>
        <v/>
      </c>
      <c r="L31" s="416" t="str">
        <f ca="1">IF(IMPORT!G44="","",IMPORT!G44)</f>
        <v/>
      </c>
      <c r="M31" s="416" t="str">
        <f>IF(IMPORT!H44="","",IMPORT!H44)</f>
        <v/>
      </c>
      <c r="N31" s="399" t="str">
        <f t="shared" si="3"/>
        <v/>
      </c>
      <c r="P31" s="406" t="str">
        <f t="shared" si="4"/>
        <v/>
      </c>
      <c r="Q31" s="406" t="str">
        <f t="array" ref="Q31">IFERROR(INDEX($N$1:$N$203,SMALL(IF($N$1:$N$203&lt;&gt;"",ROW($N$1:$N$203)),ROW(29:29))),"")</f>
        <v/>
      </c>
      <c r="R31" s="399" t="str">
        <f t="shared" si="0"/>
        <v/>
      </c>
      <c r="S31" s="399" t="str">
        <f t="shared" si="5"/>
        <v/>
      </c>
      <c r="T31" s="399" t="str">
        <f t="shared" si="6"/>
        <v/>
      </c>
      <c r="U31" s="419" t="str">
        <f t="shared" si="13"/>
        <v/>
      </c>
      <c r="V31" s="433" t="b">
        <v>0</v>
      </c>
      <c r="W31" s="464"/>
      <c r="X31" s="433"/>
      <c r="Y31" s="433" t="s">
        <v>92</v>
      </c>
      <c r="Z31" s="433"/>
      <c r="AA31" s="433"/>
      <c r="AB31" s="433"/>
      <c r="AC31" s="433" t="s">
        <v>1401</v>
      </c>
      <c r="AD31" s="433"/>
      <c r="AE31" s="433" t="s">
        <v>111</v>
      </c>
      <c r="AF31" s="433" t="s">
        <v>299</v>
      </c>
      <c r="AG31" s="433"/>
      <c r="AH31" s="433"/>
      <c r="AI31" s="433"/>
      <c r="AJ31" s="433"/>
      <c r="AK31" s="433"/>
      <c r="AL31" s="433"/>
      <c r="AM31" s="433"/>
      <c r="AN31" s="433"/>
      <c r="AO31" s="433"/>
      <c r="AP31" s="433"/>
      <c r="AQ31" s="433"/>
      <c r="AR31" s="433"/>
      <c r="AS31" s="433" t="b">
        <v>0</v>
      </c>
      <c r="AT31" s="433"/>
      <c r="AU31" s="433"/>
      <c r="AV31" s="433"/>
      <c r="AW31" s="433"/>
      <c r="AX31" s="433"/>
      <c r="AY31" s="433"/>
      <c r="AZ31" s="433"/>
      <c r="BA31" s="433"/>
      <c r="BB31" s="433"/>
      <c r="BC31" s="433"/>
      <c r="BD31" s="433"/>
      <c r="BE31" s="433"/>
      <c r="BF31" s="433"/>
      <c r="BG31" s="433"/>
      <c r="BH31" s="433"/>
      <c r="BI31" s="433"/>
      <c r="BJ31" s="433"/>
      <c r="BK31" s="433"/>
      <c r="BL31" s="433"/>
      <c r="BM31" s="433"/>
      <c r="BN31" s="433"/>
      <c r="BO31" s="433"/>
      <c r="BP31" s="433"/>
      <c r="BQ31" s="433"/>
      <c r="BR31" s="433"/>
      <c r="BS31" s="433"/>
      <c r="BT31" s="433"/>
      <c r="BU31" s="399" t="str">
        <f t="shared" si="7"/>
        <v/>
      </c>
      <c r="BV31" s="433"/>
      <c r="BW31" s="433"/>
      <c r="BX31" s="433"/>
      <c r="BY31" s="433"/>
      <c r="BZ31" s="433"/>
      <c r="CA31" s="433"/>
      <c r="CB31" s="433"/>
      <c r="CC31" s="433"/>
      <c r="CD31" s="433"/>
      <c r="CE31" s="433"/>
      <c r="CF31" s="433"/>
      <c r="CG31" s="433"/>
      <c r="CH31" s="433"/>
      <c r="CI31" s="433"/>
      <c r="CJ31" s="433"/>
      <c r="CK31" s="433"/>
      <c r="CL31" s="433"/>
      <c r="CM31" s="433"/>
      <c r="CN31" s="433"/>
      <c r="CO31" s="433"/>
      <c r="CP31" s="433"/>
      <c r="CQ31" s="433"/>
      <c r="CR31" s="433"/>
      <c r="CS31" s="433"/>
      <c r="CT31" s="433"/>
      <c r="CU31" s="433"/>
      <c r="CV31" s="433"/>
      <c r="CW31" s="433"/>
      <c r="CX31" s="433"/>
      <c r="CY31" s="433"/>
      <c r="CZ31" s="399" t="str">
        <f t="shared" si="8"/>
        <v/>
      </c>
      <c r="DA31" s="399" t="str">
        <f t="shared" si="9"/>
        <v/>
      </c>
      <c r="DB31" s="399" t="str">
        <f t="shared" si="10"/>
        <v/>
      </c>
      <c r="DC31" s="399" t="str">
        <f t="shared" si="11"/>
        <v/>
      </c>
      <c r="DD31" s="399" t="str">
        <f t="shared" si="2"/>
        <v/>
      </c>
      <c r="DE31" s="399" t="str">
        <f t="shared" si="12"/>
        <v/>
      </c>
      <c r="DG31" s="434"/>
      <c r="DH31" s="434"/>
      <c r="DJ31" s="399"/>
    </row>
    <row r="32" spans="8:114" x14ac:dyDescent="0.25">
      <c r="H32" s="416" t="str">
        <f ca="1">IF(IMPORT!C45="","",IMPORT!C45)</f>
        <v/>
      </c>
      <c r="I32" s="416" t="str">
        <f ca="1">IF(IMPORT!D45="","",IMPORT!D45)</f>
        <v/>
      </c>
      <c r="J32" s="416" t="str">
        <f ca="1">IF(IMPORT!E45="","",IMPORT!E45)</f>
        <v/>
      </c>
      <c r="K32" s="416" t="str">
        <f ca="1">IF(IMPORT!F45="","",IMPORT!F45)</f>
        <v/>
      </c>
      <c r="L32" s="416" t="str">
        <f ca="1">IF(IMPORT!G45="","",IMPORT!G45)</f>
        <v/>
      </c>
      <c r="M32" s="416" t="str">
        <f>IF(IMPORT!H45="","",IMPORT!H45)</f>
        <v/>
      </c>
      <c r="N32" s="399" t="str">
        <f t="shared" si="3"/>
        <v/>
      </c>
      <c r="P32" s="406" t="str">
        <f t="shared" si="4"/>
        <v/>
      </c>
      <c r="Q32" s="406" t="str">
        <f t="array" ref="Q32">IFERROR(INDEX($N$1:$N$203,SMALL(IF($N$1:$N$203&lt;&gt;"",ROW($N$1:$N$203)),ROW(30:30))),"")</f>
        <v/>
      </c>
      <c r="R32" s="399" t="str">
        <f t="shared" si="0"/>
        <v/>
      </c>
      <c r="S32" s="399" t="str">
        <f t="shared" si="5"/>
        <v/>
      </c>
      <c r="T32" s="399" t="str">
        <f t="shared" si="6"/>
        <v/>
      </c>
      <c r="U32" s="419" t="str">
        <f t="shared" si="13"/>
        <v/>
      </c>
      <c r="V32" s="433" t="b">
        <v>0</v>
      </c>
      <c r="W32" s="464"/>
      <c r="X32" s="433"/>
      <c r="Y32" s="433" t="s">
        <v>92</v>
      </c>
      <c r="Z32" s="433"/>
      <c r="AA32" s="433"/>
      <c r="AB32" s="433"/>
      <c r="AC32" s="433" t="s">
        <v>1401</v>
      </c>
      <c r="AD32" s="433"/>
      <c r="AE32" s="433" t="s">
        <v>111</v>
      </c>
      <c r="AF32" s="433" t="s">
        <v>299</v>
      </c>
      <c r="AG32" s="433"/>
      <c r="AH32" s="433"/>
      <c r="AI32" s="433"/>
      <c r="AJ32" s="433"/>
      <c r="AK32" s="433"/>
      <c r="AL32" s="433"/>
      <c r="AM32" s="433"/>
      <c r="AN32" s="433"/>
      <c r="AO32" s="433"/>
      <c r="AP32" s="433"/>
      <c r="AQ32" s="433"/>
      <c r="AR32" s="433"/>
      <c r="AS32" s="433" t="b">
        <v>0</v>
      </c>
      <c r="AT32" s="433"/>
      <c r="AU32" s="433"/>
      <c r="AV32" s="433"/>
      <c r="AW32" s="433"/>
      <c r="AX32" s="433"/>
      <c r="AY32" s="433"/>
      <c r="AZ32" s="433"/>
      <c r="BA32" s="433"/>
      <c r="BB32" s="433"/>
      <c r="BC32" s="433"/>
      <c r="BD32" s="433"/>
      <c r="BE32" s="433"/>
      <c r="BF32" s="433"/>
      <c r="BG32" s="433"/>
      <c r="BH32" s="433"/>
      <c r="BI32" s="433"/>
      <c r="BJ32" s="433"/>
      <c r="BK32" s="433"/>
      <c r="BL32" s="433"/>
      <c r="BM32" s="433"/>
      <c r="BN32" s="433"/>
      <c r="BO32" s="433"/>
      <c r="BP32" s="433"/>
      <c r="BQ32" s="433"/>
      <c r="BR32" s="433"/>
      <c r="BS32" s="433"/>
      <c r="BT32" s="433"/>
      <c r="BU32" s="399" t="str">
        <f t="shared" si="7"/>
        <v/>
      </c>
      <c r="BV32" s="433"/>
      <c r="BW32" s="433"/>
      <c r="BX32" s="433"/>
      <c r="BY32" s="433"/>
      <c r="BZ32" s="433"/>
      <c r="CA32" s="433"/>
      <c r="CB32" s="433"/>
      <c r="CC32" s="433"/>
      <c r="CD32" s="433"/>
      <c r="CE32" s="433"/>
      <c r="CF32" s="433"/>
      <c r="CG32" s="433"/>
      <c r="CH32" s="433"/>
      <c r="CI32" s="433"/>
      <c r="CJ32" s="433"/>
      <c r="CK32" s="433"/>
      <c r="CL32" s="433"/>
      <c r="CM32" s="433"/>
      <c r="CN32" s="433"/>
      <c r="CO32" s="433"/>
      <c r="CP32" s="433"/>
      <c r="CQ32" s="433"/>
      <c r="CR32" s="433"/>
      <c r="CS32" s="433"/>
      <c r="CT32" s="433"/>
      <c r="CU32" s="433"/>
      <c r="CV32" s="433"/>
      <c r="CW32" s="433"/>
      <c r="CX32" s="433"/>
      <c r="CY32" s="433"/>
      <c r="CZ32" s="399" t="str">
        <f t="shared" si="8"/>
        <v/>
      </c>
      <c r="DA32" s="399" t="str">
        <f t="shared" si="9"/>
        <v/>
      </c>
      <c r="DB32" s="399" t="str">
        <f t="shared" si="10"/>
        <v/>
      </c>
      <c r="DC32" s="399" t="str">
        <f t="shared" si="11"/>
        <v/>
      </c>
      <c r="DD32" s="399" t="str">
        <f t="shared" si="2"/>
        <v/>
      </c>
      <c r="DE32" s="399" t="str">
        <f t="shared" si="12"/>
        <v/>
      </c>
      <c r="DG32" s="434"/>
      <c r="DH32" s="434"/>
      <c r="DJ32" s="399"/>
    </row>
    <row r="33" spans="8:114" x14ac:dyDescent="0.25">
      <c r="H33" s="416" t="str">
        <f ca="1">IF(IMPORT!C46="","",IMPORT!C46)</f>
        <v/>
      </c>
      <c r="I33" s="416" t="str">
        <f ca="1">IF(IMPORT!D46="","",IMPORT!D46)</f>
        <v/>
      </c>
      <c r="J33" s="416" t="str">
        <f ca="1">IF(IMPORT!E46="","",IMPORT!E46)</f>
        <v/>
      </c>
      <c r="K33" s="416" t="str">
        <f ca="1">IF(IMPORT!F46="","",IMPORT!F46)</f>
        <v/>
      </c>
      <c r="L33" s="416" t="str">
        <f ca="1">IF(IMPORT!G46="","",IMPORT!G46)</f>
        <v/>
      </c>
      <c r="M33" s="416" t="str">
        <f>IF(IMPORT!H46="","",IMPORT!H46)</f>
        <v/>
      </c>
      <c r="N33" s="399" t="str">
        <f t="shared" si="3"/>
        <v/>
      </c>
      <c r="P33" s="406" t="str">
        <f t="shared" si="4"/>
        <v/>
      </c>
      <c r="Q33" s="406" t="str">
        <f t="array" ref="Q33">IFERROR(INDEX($N$1:$N$203,SMALL(IF($N$1:$N$203&lt;&gt;"",ROW($N$1:$N$203)),ROW(31:31))),"")</f>
        <v/>
      </c>
      <c r="R33" s="399" t="str">
        <f t="shared" si="0"/>
        <v/>
      </c>
      <c r="S33" s="399" t="str">
        <f t="shared" si="5"/>
        <v/>
      </c>
      <c r="T33" s="399" t="str">
        <f t="shared" si="6"/>
        <v/>
      </c>
      <c r="U33" s="419" t="str">
        <f t="shared" si="13"/>
        <v/>
      </c>
      <c r="V33" s="433" t="b">
        <v>0</v>
      </c>
      <c r="W33" s="464"/>
      <c r="X33" s="433"/>
      <c r="Y33" s="433" t="s">
        <v>92</v>
      </c>
      <c r="Z33" s="433"/>
      <c r="AA33" s="433"/>
      <c r="AB33" s="433"/>
      <c r="AC33" s="433" t="s">
        <v>1401</v>
      </c>
      <c r="AD33" s="433"/>
      <c r="AE33" s="433" t="s">
        <v>111</v>
      </c>
      <c r="AF33" s="433" t="s">
        <v>299</v>
      </c>
      <c r="AG33" s="433"/>
      <c r="AH33" s="433"/>
      <c r="AI33" s="433"/>
      <c r="AJ33" s="433"/>
      <c r="AK33" s="433"/>
      <c r="AL33" s="433"/>
      <c r="AM33" s="433"/>
      <c r="AN33" s="433"/>
      <c r="AO33" s="433"/>
      <c r="AP33" s="433"/>
      <c r="AQ33" s="433"/>
      <c r="AR33" s="433"/>
      <c r="AS33" s="433" t="b">
        <v>0</v>
      </c>
      <c r="AT33" s="433"/>
      <c r="AU33" s="433"/>
      <c r="AV33" s="433"/>
      <c r="AW33" s="433"/>
      <c r="AX33" s="433"/>
      <c r="AY33" s="433"/>
      <c r="AZ33" s="433"/>
      <c r="BA33" s="433"/>
      <c r="BB33" s="433"/>
      <c r="BC33" s="433"/>
      <c r="BD33" s="433"/>
      <c r="BE33" s="433"/>
      <c r="BF33" s="433"/>
      <c r="BG33" s="433"/>
      <c r="BH33" s="433"/>
      <c r="BI33" s="433"/>
      <c r="BJ33" s="433"/>
      <c r="BK33" s="433"/>
      <c r="BL33" s="433"/>
      <c r="BM33" s="433"/>
      <c r="BN33" s="433"/>
      <c r="BO33" s="433"/>
      <c r="BP33" s="433"/>
      <c r="BQ33" s="433"/>
      <c r="BR33" s="433"/>
      <c r="BS33" s="433"/>
      <c r="BT33" s="433"/>
      <c r="BU33" s="399" t="str">
        <f t="shared" si="7"/>
        <v/>
      </c>
      <c r="BV33" s="433"/>
      <c r="BW33" s="433"/>
      <c r="BX33" s="433"/>
      <c r="BY33" s="433"/>
      <c r="BZ33" s="433"/>
      <c r="CA33" s="433"/>
      <c r="CB33" s="433"/>
      <c r="CC33" s="433"/>
      <c r="CD33" s="433"/>
      <c r="CE33" s="433"/>
      <c r="CF33" s="433"/>
      <c r="CG33" s="433"/>
      <c r="CH33" s="433"/>
      <c r="CI33" s="433"/>
      <c r="CJ33" s="433"/>
      <c r="CK33" s="433"/>
      <c r="CL33" s="433"/>
      <c r="CM33" s="433"/>
      <c r="CN33" s="433"/>
      <c r="CO33" s="433"/>
      <c r="CP33" s="433"/>
      <c r="CQ33" s="433"/>
      <c r="CR33" s="433"/>
      <c r="CS33" s="433"/>
      <c r="CT33" s="433"/>
      <c r="CU33" s="433"/>
      <c r="CV33" s="433"/>
      <c r="CW33" s="433"/>
      <c r="CX33" s="433"/>
      <c r="CY33" s="433"/>
      <c r="CZ33" s="399" t="str">
        <f t="shared" si="8"/>
        <v/>
      </c>
      <c r="DA33" s="399" t="str">
        <f t="shared" si="9"/>
        <v/>
      </c>
      <c r="DB33" s="399" t="str">
        <f t="shared" si="10"/>
        <v/>
      </c>
      <c r="DC33" s="399" t="str">
        <f t="shared" si="11"/>
        <v/>
      </c>
      <c r="DD33" s="399" t="str">
        <f t="shared" si="2"/>
        <v/>
      </c>
      <c r="DE33" s="399" t="str">
        <f t="shared" si="12"/>
        <v/>
      </c>
      <c r="DG33" s="434"/>
      <c r="DH33" s="434"/>
      <c r="DJ33" s="399"/>
    </row>
    <row r="34" spans="8:114" x14ac:dyDescent="0.25">
      <c r="H34" s="416" t="str">
        <f ca="1">IF(IMPORT!C47="","",IMPORT!C47)</f>
        <v/>
      </c>
      <c r="I34" s="416" t="str">
        <f ca="1">IF(IMPORT!D47="","",IMPORT!D47)</f>
        <v/>
      </c>
      <c r="J34" s="416" t="str">
        <f ca="1">IF(IMPORT!E47="","",IMPORT!E47)</f>
        <v/>
      </c>
      <c r="K34" s="416" t="str">
        <f ca="1">IF(IMPORT!F47="","",IMPORT!F47)</f>
        <v/>
      </c>
      <c r="L34" s="416" t="str">
        <f ca="1">IF(IMPORT!G47="","",IMPORT!G47)</f>
        <v/>
      </c>
      <c r="M34" s="416" t="str">
        <f>IF(IMPORT!H47="","",IMPORT!H47)</f>
        <v/>
      </c>
      <c r="N34" s="399" t="str">
        <f t="shared" si="3"/>
        <v/>
      </c>
      <c r="P34" s="406" t="str">
        <f t="shared" si="4"/>
        <v/>
      </c>
      <c r="Q34" s="406" t="str">
        <f t="array" ref="Q34">IFERROR(INDEX($N$1:$N$203,SMALL(IF($N$1:$N$203&lt;&gt;"",ROW($N$1:$N$203)),ROW(32:32))),"")</f>
        <v/>
      </c>
      <c r="R34" s="399" t="str">
        <f t="shared" si="0"/>
        <v/>
      </c>
      <c r="S34" s="399" t="str">
        <f t="shared" si="5"/>
        <v/>
      </c>
      <c r="T34" s="399" t="str">
        <f t="shared" si="6"/>
        <v/>
      </c>
      <c r="U34" s="419" t="str">
        <f t="shared" si="13"/>
        <v/>
      </c>
      <c r="V34" s="433" t="b">
        <v>0</v>
      </c>
      <c r="W34" s="464"/>
      <c r="X34" s="433"/>
      <c r="Y34" s="433" t="s">
        <v>92</v>
      </c>
      <c r="Z34" s="433"/>
      <c r="AA34" s="433"/>
      <c r="AB34" s="433"/>
      <c r="AC34" s="433" t="s">
        <v>1401</v>
      </c>
      <c r="AD34" s="433"/>
      <c r="AE34" s="433" t="s">
        <v>111</v>
      </c>
      <c r="AF34" s="433" t="s">
        <v>299</v>
      </c>
      <c r="AG34" s="433"/>
      <c r="AH34" s="433"/>
      <c r="AI34" s="433"/>
      <c r="AJ34" s="433"/>
      <c r="AK34" s="433"/>
      <c r="AL34" s="433"/>
      <c r="AM34" s="433"/>
      <c r="AN34" s="433"/>
      <c r="AO34" s="433"/>
      <c r="AP34" s="433"/>
      <c r="AQ34" s="433"/>
      <c r="AR34" s="433"/>
      <c r="AS34" s="433" t="b">
        <v>0</v>
      </c>
      <c r="AT34" s="433"/>
      <c r="AU34" s="433"/>
      <c r="AV34" s="433"/>
      <c r="AW34" s="433"/>
      <c r="AX34" s="433"/>
      <c r="AY34" s="433"/>
      <c r="AZ34" s="433"/>
      <c r="BA34" s="433"/>
      <c r="BB34" s="433"/>
      <c r="BC34" s="433"/>
      <c r="BD34" s="433"/>
      <c r="BE34" s="433"/>
      <c r="BF34" s="433"/>
      <c r="BG34" s="433"/>
      <c r="BH34" s="433"/>
      <c r="BI34" s="433"/>
      <c r="BJ34" s="433"/>
      <c r="BK34" s="433"/>
      <c r="BL34" s="433"/>
      <c r="BM34" s="433"/>
      <c r="BN34" s="433"/>
      <c r="BO34" s="433"/>
      <c r="BP34" s="433"/>
      <c r="BQ34" s="433"/>
      <c r="BR34" s="433"/>
      <c r="BS34" s="433"/>
      <c r="BT34" s="433"/>
      <c r="BU34" s="399" t="str">
        <f t="shared" si="7"/>
        <v/>
      </c>
      <c r="BV34" s="433"/>
      <c r="BW34" s="433"/>
      <c r="BX34" s="433"/>
      <c r="BY34" s="433"/>
      <c r="BZ34" s="433"/>
      <c r="CA34" s="433"/>
      <c r="CB34" s="433"/>
      <c r="CC34" s="433"/>
      <c r="CD34" s="433"/>
      <c r="CE34" s="433"/>
      <c r="CF34" s="433"/>
      <c r="CG34" s="433"/>
      <c r="CH34" s="433"/>
      <c r="CI34" s="433"/>
      <c r="CJ34" s="433"/>
      <c r="CK34" s="433"/>
      <c r="CL34" s="433"/>
      <c r="CM34" s="433"/>
      <c r="CN34" s="433"/>
      <c r="CO34" s="433"/>
      <c r="CP34" s="433"/>
      <c r="CQ34" s="433"/>
      <c r="CR34" s="433"/>
      <c r="CS34" s="433"/>
      <c r="CT34" s="433"/>
      <c r="CU34" s="433"/>
      <c r="CV34" s="433"/>
      <c r="CW34" s="433"/>
      <c r="CX34" s="433"/>
      <c r="CY34" s="433"/>
      <c r="CZ34" s="399" t="str">
        <f t="shared" si="8"/>
        <v/>
      </c>
      <c r="DA34" s="399" t="str">
        <f t="shared" si="9"/>
        <v/>
      </c>
      <c r="DB34" s="399" t="str">
        <f t="shared" si="10"/>
        <v/>
      </c>
      <c r="DC34" s="399" t="str">
        <f t="shared" si="11"/>
        <v/>
      </c>
      <c r="DD34" s="399" t="str">
        <f t="shared" si="2"/>
        <v/>
      </c>
      <c r="DE34" s="399" t="str">
        <f t="shared" si="12"/>
        <v/>
      </c>
      <c r="DG34" s="434"/>
      <c r="DH34" s="434"/>
      <c r="DJ34" s="399"/>
    </row>
    <row r="35" spans="8:114" x14ac:dyDescent="0.25">
      <c r="H35" s="416" t="str">
        <f ca="1">IF(IMPORT!C48="","",IMPORT!C48)</f>
        <v/>
      </c>
      <c r="I35" s="416" t="str">
        <f ca="1">IF(IMPORT!D48="","",IMPORT!D48)</f>
        <v/>
      </c>
      <c r="J35" s="416" t="str">
        <f ca="1">IF(IMPORT!E48="","",IMPORT!E48)</f>
        <v/>
      </c>
      <c r="K35" s="416" t="str">
        <f ca="1">IF(IMPORT!F48="","",IMPORT!F48)</f>
        <v/>
      </c>
      <c r="L35" s="416" t="str">
        <f ca="1">IF(IMPORT!G48="","",IMPORT!G48)</f>
        <v/>
      </c>
      <c r="M35" s="416" t="str">
        <f>IF(IMPORT!H48="","",IMPORT!H48)</f>
        <v/>
      </c>
      <c r="N35" s="399" t="str">
        <f t="shared" si="3"/>
        <v/>
      </c>
      <c r="P35" s="406" t="str">
        <f t="shared" si="4"/>
        <v/>
      </c>
      <c r="Q35" s="406" t="str">
        <f t="array" ref="Q35">IFERROR(INDEX($N$1:$N$203,SMALL(IF($N$1:$N$203&lt;&gt;"",ROW($N$1:$N$203)),ROW(33:33))),"")</f>
        <v/>
      </c>
      <c r="R35" s="399" t="str">
        <f t="shared" si="0"/>
        <v/>
      </c>
      <c r="S35" s="399" t="str">
        <f t="shared" si="5"/>
        <v/>
      </c>
      <c r="T35" s="399" t="str">
        <f t="shared" si="6"/>
        <v/>
      </c>
      <c r="U35" s="419" t="str">
        <f t="shared" si="13"/>
        <v/>
      </c>
      <c r="V35" s="433" t="b">
        <v>0</v>
      </c>
      <c r="W35" s="464"/>
      <c r="X35" s="433"/>
      <c r="Y35" s="433" t="s">
        <v>92</v>
      </c>
      <c r="Z35" s="433"/>
      <c r="AA35" s="433"/>
      <c r="AB35" s="433"/>
      <c r="AC35" s="433" t="s">
        <v>1401</v>
      </c>
      <c r="AD35" s="433"/>
      <c r="AE35" s="433" t="s">
        <v>111</v>
      </c>
      <c r="AF35" s="433" t="s">
        <v>299</v>
      </c>
      <c r="AG35" s="433"/>
      <c r="AH35" s="433"/>
      <c r="AI35" s="433"/>
      <c r="AJ35" s="433"/>
      <c r="AK35" s="433"/>
      <c r="AL35" s="433"/>
      <c r="AM35" s="433"/>
      <c r="AN35" s="433"/>
      <c r="AO35" s="433"/>
      <c r="AP35" s="433"/>
      <c r="AQ35" s="433"/>
      <c r="AR35" s="433"/>
      <c r="AS35" s="433" t="b">
        <v>0</v>
      </c>
      <c r="AT35" s="433"/>
      <c r="AU35" s="433"/>
      <c r="AV35" s="433"/>
      <c r="AW35" s="433"/>
      <c r="AX35" s="433"/>
      <c r="AY35" s="433"/>
      <c r="AZ35" s="433"/>
      <c r="BA35" s="433"/>
      <c r="BB35" s="433"/>
      <c r="BC35" s="433"/>
      <c r="BD35" s="433"/>
      <c r="BE35" s="433"/>
      <c r="BF35" s="433"/>
      <c r="BG35" s="433"/>
      <c r="BH35" s="433"/>
      <c r="BI35" s="433"/>
      <c r="BJ35" s="433"/>
      <c r="BK35" s="433"/>
      <c r="BL35" s="433"/>
      <c r="BM35" s="433"/>
      <c r="BN35" s="433"/>
      <c r="BO35" s="433"/>
      <c r="BP35" s="433"/>
      <c r="BQ35" s="433"/>
      <c r="BR35" s="433"/>
      <c r="BS35" s="433"/>
      <c r="BT35" s="433"/>
      <c r="BU35" s="399" t="str">
        <f t="shared" si="7"/>
        <v/>
      </c>
      <c r="BV35" s="433"/>
      <c r="BW35" s="433"/>
      <c r="BX35" s="433"/>
      <c r="BY35" s="433"/>
      <c r="BZ35" s="433"/>
      <c r="CA35" s="433"/>
      <c r="CB35" s="433"/>
      <c r="CC35" s="433"/>
      <c r="CD35" s="433"/>
      <c r="CE35" s="433"/>
      <c r="CF35" s="433"/>
      <c r="CG35" s="433"/>
      <c r="CH35" s="433"/>
      <c r="CI35" s="433"/>
      <c r="CJ35" s="433"/>
      <c r="CK35" s="433"/>
      <c r="CL35" s="433"/>
      <c r="CM35" s="433"/>
      <c r="CN35" s="433"/>
      <c r="CO35" s="433"/>
      <c r="CP35" s="433"/>
      <c r="CQ35" s="433"/>
      <c r="CR35" s="433"/>
      <c r="CS35" s="433"/>
      <c r="CT35" s="433"/>
      <c r="CU35" s="433"/>
      <c r="CV35" s="433"/>
      <c r="CW35" s="433"/>
      <c r="CX35" s="433"/>
      <c r="CY35" s="433"/>
      <c r="CZ35" s="399" t="str">
        <f t="shared" si="8"/>
        <v/>
      </c>
      <c r="DA35" s="399" t="str">
        <f t="shared" si="9"/>
        <v/>
      </c>
      <c r="DB35" s="399" t="str">
        <f t="shared" si="10"/>
        <v/>
      </c>
      <c r="DC35" s="399" t="str">
        <f t="shared" si="11"/>
        <v/>
      </c>
      <c r="DD35" s="399" t="str">
        <f t="shared" si="2"/>
        <v/>
      </c>
      <c r="DE35" s="399" t="str">
        <f t="shared" si="12"/>
        <v/>
      </c>
      <c r="DG35" s="434"/>
      <c r="DH35" s="434"/>
      <c r="DJ35" s="399"/>
    </row>
    <row r="36" spans="8:114" x14ac:dyDescent="0.25">
      <c r="H36" s="416" t="str">
        <f ca="1">IF(IMPORT!C49="","",IMPORT!C49)</f>
        <v/>
      </c>
      <c r="I36" s="416" t="str">
        <f ca="1">IF(IMPORT!D49="","",IMPORT!D49)</f>
        <v/>
      </c>
      <c r="J36" s="416" t="str">
        <f ca="1">IF(IMPORT!E49="","",IMPORT!E49)</f>
        <v/>
      </c>
      <c r="K36" s="416" t="str">
        <f ca="1">IF(IMPORT!F49="","",IMPORT!F49)</f>
        <v/>
      </c>
      <c r="L36" s="416" t="str">
        <f ca="1">IF(IMPORT!G49="","",IMPORT!G49)</f>
        <v/>
      </c>
      <c r="M36" s="416" t="str">
        <f>IF(IMPORT!H49="","",IMPORT!H49)</f>
        <v/>
      </c>
      <c r="N36" s="399" t="str">
        <f t="shared" si="3"/>
        <v/>
      </c>
      <c r="P36" s="406" t="str">
        <f t="shared" si="4"/>
        <v/>
      </c>
      <c r="Q36" s="406" t="str">
        <f t="array" ref="Q36">IFERROR(INDEX($N$1:$N$203,SMALL(IF($N$1:$N$203&lt;&gt;"",ROW($N$1:$N$203)),ROW(34:34))),"")</f>
        <v/>
      </c>
      <c r="R36" s="399" t="str">
        <f t="shared" si="0"/>
        <v/>
      </c>
      <c r="S36" s="399" t="str">
        <f t="shared" si="5"/>
        <v/>
      </c>
      <c r="T36" s="399" t="str">
        <f t="shared" si="6"/>
        <v/>
      </c>
      <c r="U36" s="419" t="str">
        <f t="shared" si="13"/>
        <v/>
      </c>
      <c r="V36" s="433" t="b">
        <v>0</v>
      </c>
      <c r="W36" s="464"/>
      <c r="X36" s="433"/>
      <c r="Y36" s="433" t="s">
        <v>92</v>
      </c>
      <c r="Z36" s="433"/>
      <c r="AA36" s="433"/>
      <c r="AB36" s="433"/>
      <c r="AC36" s="433" t="s">
        <v>1401</v>
      </c>
      <c r="AD36" s="433"/>
      <c r="AE36" s="433" t="s">
        <v>111</v>
      </c>
      <c r="AF36" s="433" t="s">
        <v>299</v>
      </c>
      <c r="AG36" s="433"/>
      <c r="AH36" s="433"/>
      <c r="AI36" s="433"/>
      <c r="AJ36" s="433"/>
      <c r="AK36" s="433"/>
      <c r="AL36" s="433"/>
      <c r="AM36" s="433"/>
      <c r="AN36" s="433"/>
      <c r="AO36" s="433"/>
      <c r="AP36" s="433"/>
      <c r="AQ36" s="433"/>
      <c r="AR36" s="433"/>
      <c r="AS36" s="433" t="b">
        <v>0</v>
      </c>
      <c r="AT36" s="433"/>
      <c r="AU36" s="433"/>
      <c r="AV36" s="433"/>
      <c r="AW36" s="433"/>
      <c r="AX36" s="433"/>
      <c r="AY36" s="433"/>
      <c r="AZ36" s="433"/>
      <c r="BA36" s="433"/>
      <c r="BB36" s="433"/>
      <c r="BC36" s="433"/>
      <c r="BD36" s="433"/>
      <c r="BE36" s="433"/>
      <c r="BF36" s="433"/>
      <c r="BG36" s="433"/>
      <c r="BH36" s="433"/>
      <c r="BI36" s="433"/>
      <c r="BJ36" s="433"/>
      <c r="BK36" s="433"/>
      <c r="BL36" s="433"/>
      <c r="BM36" s="433"/>
      <c r="BN36" s="433"/>
      <c r="BO36" s="433"/>
      <c r="BP36" s="433"/>
      <c r="BQ36" s="433"/>
      <c r="BR36" s="433"/>
      <c r="BS36" s="433"/>
      <c r="BT36" s="433"/>
      <c r="BU36" s="399" t="str">
        <f t="shared" si="7"/>
        <v/>
      </c>
      <c r="BV36" s="433"/>
      <c r="BW36" s="433"/>
      <c r="BX36" s="433"/>
      <c r="BY36" s="433"/>
      <c r="BZ36" s="433"/>
      <c r="CA36" s="433"/>
      <c r="CB36" s="433"/>
      <c r="CC36" s="433"/>
      <c r="CD36" s="433"/>
      <c r="CE36" s="433"/>
      <c r="CF36" s="433"/>
      <c r="CG36" s="433"/>
      <c r="CH36" s="433"/>
      <c r="CI36" s="433"/>
      <c r="CJ36" s="433"/>
      <c r="CK36" s="433"/>
      <c r="CL36" s="433"/>
      <c r="CM36" s="433"/>
      <c r="CN36" s="433"/>
      <c r="CO36" s="433"/>
      <c r="CP36" s="433"/>
      <c r="CQ36" s="433"/>
      <c r="CR36" s="433"/>
      <c r="CS36" s="433"/>
      <c r="CT36" s="433"/>
      <c r="CU36" s="433"/>
      <c r="CV36" s="433"/>
      <c r="CW36" s="433"/>
      <c r="CX36" s="433"/>
      <c r="CY36" s="433"/>
      <c r="CZ36" s="399" t="str">
        <f t="shared" si="8"/>
        <v/>
      </c>
      <c r="DA36" s="399" t="str">
        <f t="shared" si="9"/>
        <v/>
      </c>
      <c r="DB36" s="399" t="str">
        <f t="shared" si="10"/>
        <v/>
      </c>
      <c r="DC36" s="399" t="str">
        <f t="shared" si="11"/>
        <v/>
      </c>
      <c r="DD36" s="399" t="str">
        <f t="shared" ref="DD36:DD67" si="14">IFERROR(IF($P36="","",VLOOKUP($DC36,MaterialGrades,4,0)),"A36")</f>
        <v/>
      </c>
      <c r="DE36" s="399" t="str">
        <f t="shared" si="12"/>
        <v/>
      </c>
      <c r="DG36" s="434"/>
      <c r="DH36" s="434"/>
      <c r="DJ36" s="399"/>
    </row>
    <row r="37" spans="8:114" x14ac:dyDescent="0.25">
      <c r="H37" s="416" t="str">
        <f ca="1">IF(IMPORT!C50="","",IMPORT!C50)</f>
        <v/>
      </c>
      <c r="I37" s="416" t="str">
        <f ca="1">IF(IMPORT!D50="","",IMPORT!D50)</f>
        <v/>
      </c>
      <c r="J37" s="416" t="str">
        <f ca="1">IF(IMPORT!E50="","",IMPORT!E50)</f>
        <v/>
      </c>
      <c r="K37" s="416" t="str">
        <f ca="1">IF(IMPORT!F50="","",IMPORT!F50)</f>
        <v/>
      </c>
      <c r="L37" s="416" t="str">
        <f ca="1">IF(IMPORT!G50="","",IMPORT!G50)</f>
        <v/>
      </c>
      <c r="M37" s="416" t="str">
        <f>IF(IMPORT!H50="","",IMPORT!H50)</f>
        <v/>
      </c>
      <c r="N37" s="399" t="str">
        <f t="shared" si="3"/>
        <v/>
      </c>
      <c r="P37" s="406" t="str">
        <f t="shared" si="4"/>
        <v/>
      </c>
      <c r="Q37" s="406" t="str">
        <f t="array" ref="Q37">IFERROR(INDEX($N$1:$N$203,SMALL(IF($N$1:$N$203&lt;&gt;"",ROW($N$1:$N$203)),ROW(35:35))),"")</f>
        <v/>
      </c>
      <c r="R37" s="399" t="str">
        <f t="shared" si="0"/>
        <v/>
      </c>
      <c r="S37" s="399" t="str">
        <f t="shared" si="5"/>
        <v/>
      </c>
      <c r="T37" s="399" t="str">
        <f t="shared" si="6"/>
        <v/>
      </c>
      <c r="U37" s="419" t="str">
        <f t="shared" si="13"/>
        <v/>
      </c>
      <c r="V37" s="433" t="b">
        <v>0</v>
      </c>
      <c r="W37" s="464"/>
      <c r="X37" s="433"/>
      <c r="Y37" s="433" t="s">
        <v>92</v>
      </c>
      <c r="Z37" s="433"/>
      <c r="AA37" s="433"/>
      <c r="AB37" s="433"/>
      <c r="AC37" s="433" t="s">
        <v>1401</v>
      </c>
      <c r="AD37" s="433"/>
      <c r="AE37" s="433" t="s">
        <v>111</v>
      </c>
      <c r="AF37" s="433" t="s">
        <v>299</v>
      </c>
      <c r="AG37" s="433"/>
      <c r="AH37" s="433"/>
      <c r="AI37" s="433"/>
      <c r="AJ37" s="433"/>
      <c r="AK37" s="433"/>
      <c r="AL37" s="433"/>
      <c r="AM37" s="433"/>
      <c r="AN37" s="433"/>
      <c r="AO37" s="433"/>
      <c r="AP37" s="433"/>
      <c r="AQ37" s="433"/>
      <c r="AR37" s="433"/>
      <c r="AS37" s="433" t="b">
        <v>0</v>
      </c>
      <c r="AT37" s="433"/>
      <c r="AU37" s="433"/>
      <c r="AV37" s="433"/>
      <c r="AW37" s="433"/>
      <c r="AX37" s="433"/>
      <c r="AY37" s="433"/>
      <c r="AZ37" s="433"/>
      <c r="BA37" s="433"/>
      <c r="BB37" s="433"/>
      <c r="BC37" s="433"/>
      <c r="BD37" s="433"/>
      <c r="BE37" s="433"/>
      <c r="BF37" s="433"/>
      <c r="BG37" s="433"/>
      <c r="BH37" s="433"/>
      <c r="BI37" s="433"/>
      <c r="BJ37" s="433"/>
      <c r="BK37" s="433"/>
      <c r="BL37" s="433"/>
      <c r="BM37" s="433"/>
      <c r="BN37" s="433"/>
      <c r="BO37" s="433"/>
      <c r="BP37" s="433"/>
      <c r="BQ37" s="433"/>
      <c r="BR37" s="433"/>
      <c r="BS37" s="433"/>
      <c r="BT37" s="433"/>
      <c r="BU37" s="399" t="str">
        <f t="shared" si="7"/>
        <v/>
      </c>
      <c r="BV37" s="433"/>
      <c r="BW37" s="433"/>
      <c r="BX37" s="433"/>
      <c r="BY37" s="433"/>
      <c r="BZ37" s="433"/>
      <c r="CA37" s="433"/>
      <c r="CB37" s="433"/>
      <c r="CC37" s="433"/>
      <c r="CD37" s="433"/>
      <c r="CE37" s="433"/>
      <c r="CF37" s="433"/>
      <c r="CG37" s="433"/>
      <c r="CH37" s="433"/>
      <c r="CI37" s="433"/>
      <c r="CJ37" s="433"/>
      <c r="CK37" s="433"/>
      <c r="CL37" s="433"/>
      <c r="CM37" s="433"/>
      <c r="CN37" s="433"/>
      <c r="CO37" s="433"/>
      <c r="CP37" s="433"/>
      <c r="CQ37" s="433"/>
      <c r="CR37" s="433"/>
      <c r="CS37" s="433"/>
      <c r="CT37" s="433"/>
      <c r="CU37" s="433"/>
      <c r="CV37" s="433"/>
      <c r="CW37" s="433"/>
      <c r="CX37" s="433"/>
      <c r="CY37" s="433"/>
      <c r="CZ37" s="399" t="str">
        <f t="shared" si="8"/>
        <v/>
      </c>
      <c r="DA37" s="399" t="str">
        <f t="shared" si="9"/>
        <v/>
      </c>
      <c r="DB37" s="399" t="str">
        <f t="shared" si="10"/>
        <v/>
      </c>
      <c r="DC37" s="399" t="str">
        <f t="shared" si="11"/>
        <v/>
      </c>
      <c r="DD37" s="399" t="str">
        <f t="shared" si="14"/>
        <v/>
      </c>
      <c r="DE37" s="399" t="str">
        <f t="shared" si="12"/>
        <v/>
      </c>
      <c r="DG37" s="434"/>
      <c r="DH37" s="434"/>
      <c r="DJ37" s="399"/>
    </row>
    <row r="38" spans="8:114" x14ac:dyDescent="0.25">
      <c r="H38" s="416" t="str">
        <f ca="1">IF(IMPORT!C51="","",IMPORT!C51)</f>
        <v/>
      </c>
      <c r="I38" s="416" t="str">
        <f ca="1">IF(IMPORT!D51="","",IMPORT!D51)</f>
        <v/>
      </c>
      <c r="J38" s="416" t="str">
        <f ca="1">IF(IMPORT!E51="","",IMPORT!E51)</f>
        <v/>
      </c>
      <c r="K38" s="416" t="str">
        <f ca="1">IF(IMPORT!F51="","",IMPORT!F51)</f>
        <v/>
      </c>
      <c r="L38" s="416" t="str">
        <f ca="1">IF(IMPORT!G51="","",IMPORT!G51)</f>
        <v/>
      </c>
      <c r="M38" s="416" t="str">
        <f>IF(IMPORT!H51="","",IMPORT!H51)</f>
        <v/>
      </c>
      <c r="N38" s="399" t="str">
        <f t="shared" si="3"/>
        <v/>
      </c>
      <c r="P38" s="406" t="str">
        <f t="shared" si="4"/>
        <v/>
      </c>
      <c r="Q38" s="406" t="str">
        <f t="array" ref="Q38">IFERROR(INDEX($N$1:$N$203,SMALL(IF($N$1:$N$203&lt;&gt;"",ROW($N$1:$N$203)),ROW(36:36))),"")</f>
        <v/>
      </c>
      <c r="R38" s="399" t="str">
        <f t="shared" si="0"/>
        <v/>
      </c>
      <c r="S38" s="399" t="str">
        <f t="shared" si="5"/>
        <v/>
      </c>
      <c r="T38" s="399" t="str">
        <f t="shared" si="6"/>
        <v/>
      </c>
      <c r="U38" s="419" t="str">
        <f t="shared" si="13"/>
        <v/>
      </c>
      <c r="V38" s="433" t="b">
        <v>0</v>
      </c>
      <c r="W38" s="464"/>
      <c r="X38" s="433"/>
      <c r="Y38" s="433" t="s">
        <v>92</v>
      </c>
      <c r="Z38" s="433"/>
      <c r="AA38" s="433"/>
      <c r="AB38" s="433"/>
      <c r="AC38" s="433" t="s">
        <v>1401</v>
      </c>
      <c r="AD38" s="433"/>
      <c r="AE38" s="433" t="s">
        <v>111</v>
      </c>
      <c r="AF38" s="433" t="s">
        <v>299</v>
      </c>
      <c r="AG38" s="433"/>
      <c r="AH38" s="433"/>
      <c r="AI38" s="433"/>
      <c r="AJ38" s="433"/>
      <c r="AK38" s="433"/>
      <c r="AL38" s="433"/>
      <c r="AM38" s="433"/>
      <c r="AN38" s="433"/>
      <c r="AO38" s="433"/>
      <c r="AP38" s="433"/>
      <c r="AQ38" s="433"/>
      <c r="AR38" s="433"/>
      <c r="AS38" s="433" t="b">
        <v>0</v>
      </c>
      <c r="AT38" s="433"/>
      <c r="AU38" s="433"/>
      <c r="AV38" s="433"/>
      <c r="AW38" s="433"/>
      <c r="AX38" s="433"/>
      <c r="AY38" s="433"/>
      <c r="AZ38" s="433"/>
      <c r="BA38" s="433"/>
      <c r="BB38" s="433"/>
      <c r="BC38" s="433"/>
      <c r="BD38" s="433"/>
      <c r="BE38" s="433"/>
      <c r="BF38" s="433"/>
      <c r="BG38" s="433"/>
      <c r="BH38" s="433"/>
      <c r="BI38" s="433"/>
      <c r="BJ38" s="433"/>
      <c r="BK38" s="433"/>
      <c r="BL38" s="433"/>
      <c r="BM38" s="433"/>
      <c r="BN38" s="433"/>
      <c r="BO38" s="433"/>
      <c r="BP38" s="433"/>
      <c r="BQ38" s="433"/>
      <c r="BR38" s="433"/>
      <c r="BS38" s="433"/>
      <c r="BT38" s="433"/>
      <c r="BU38" s="399" t="str">
        <f t="shared" si="7"/>
        <v/>
      </c>
      <c r="BV38" s="433"/>
      <c r="BW38" s="433"/>
      <c r="BX38" s="433"/>
      <c r="BY38" s="433"/>
      <c r="BZ38" s="433"/>
      <c r="CA38" s="433"/>
      <c r="CB38" s="433"/>
      <c r="CC38" s="433"/>
      <c r="CD38" s="433"/>
      <c r="CE38" s="433"/>
      <c r="CF38" s="433"/>
      <c r="CG38" s="433"/>
      <c r="CH38" s="433"/>
      <c r="CI38" s="433"/>
      <c r="CJ38" s="433"/>
      <c r="CK38" s="433"/>
      <c r="CL38" s="433"/>
      <c r="CM38" s="433"/>
      <c r="CN38" s="433"/>
      <c r="CO38" s="433"/>
      <c r="CP38" s="433"/>
      <c r="CQ38" s="433"/>
      <c r="CR38" s="433"/>
      <c r="CS38" s="433"/>
      <c r="CT38" s="433"/>
      <c r="CU38" s="433"/>
      <c r="CV38" s="433"/>
      <c r="CW38" s="433"/>
      <c r="CX38" s="433"/>
      <c r="CY38" s="433"/>
      <c r="CZ38" s="399" t="str">
        <f t="shared" si="8"/>
        <v/>
      </c>
      <c r="DA38" s="399" t="str">
        <f t="shared" si="9"/>
        <v/>
      </c>
      <c r="DB38" s="399" t="str">
        <f t="shared" si="10"/>
        <v/>
      </c>
      <c r="DC38" s="399" t="str">
        <f t="shared" si="11"/>
        <v/>
      </c>
      <c r="DD38" s="399" t="str">
        <f t="shared" si="14"/>
        <v/>
      </c>
      <c r="DE38" s="399" t="str">
        <f t="shared" si="12"/>
        <v/>
      </c>
      <c r="DG38" s="434"/>
      <c r="DH38" s="434"/>
      <c r="DJ38" s="399"/>
    </row>
    <row r="39" spans="8:114" x14ac:dyDescent="0.25">
      <c r="H39" s="416" t="str">
        <f ca="1">IF(IMPORT!C52="","",IMPORT!C52)</f>
        <v/>
      </c>
      <c r="I39" s="416" t="str">
        <f ca="1">IF(IMPORT!D52="","",IMPORT!D52)</f>
        <v/>
      </c>
      <c r="J39" s="416" t="str">
        <f ca="1">IF(IMPORT!E52="","",IMPORT!E52)</f>
        <v/>
      </c>
      <c r="K39" s="416" t="str">
        <f ca="1">IF(IMPORT!F52="","",IMPORT!F52)</f>
        <v/>
      </c>
      <c r="L39" s="416" t="str">
        <f ca="1">IF(IMPORT!G52="","",IMPORT!G52)</f>
        <v/>
      </c>
      <c r="M39" s="416" t="str">
        <f>IF(IMPORT!H52="","",IMPORT!H52)</f>
        <v/>
      </c>
      <c r="N39" s="399" t="str">
        <f t="shared" si="3"/>
        <v/>
      </c>
      <c r="P39" s="406" t="str">
        <f t="shared" si="4"/>
        <v/>
      </c>
      <c r="Q39" s="406" t="str">
        <f t="array" ref="Q39">IFERROR(INDEX($N$1:$N$203,SMALL(IF($N$1:$N$203&lt;&gt;"",ROW($N$1:$N$203)),ROW(37:37))),"")</f>
        <v/>
      </c>
      <c r="R39" s="399" t="str">
        <f t="shared" si="0"/>
        <v/>
      </c>
      <c r="S39" s="399" t="str">
        <f t="shared" si="5"/>
        <v/>
      </c>
      <c r="T39" s="399" t="str">
        <f t="shared" si="6"/>
        <v/>
      </c>
      <c r="U39" s="419" t="str">
        <f t="shared" si="13"/>
        <v/>
      </c>
      <c r="V39" s="433" t="b">
        <v>0</v>
      </c>
      <c r="W39" s="464"/>
      <c r="X39" s="433"/>
      <c r="Y39" s="433" t="s">
        <v>92</v>
      </c>
      <c r="Z39" s="433"/>
      <c r="AA39" s="433"/>
      <c r="AB39" s="433"/>
      <c r="AC39" s="433" t="s">
        <v>1401</v>
      </c>
      <c r="AD39" s="433"/>
      <c r="AE39" s="433" t="s">
        <v>111</v>
      </c>
      <c r="AF39" s="433" t="s">
        <v>299</v>
      </c>
      <c r="AG39" s="433"/>
      <c r="AH39" s="433"/>
      <c r="AI39" s="433"/>
      <c r="AJ39" s="433"/>
      <c r="AK39" s="433"/>
      <c r="AL39" s="433"/>
      <c r="AM39" s="433"/>
      <c r="AN39" s="433"/>
      <c r="AO39" s="433"/>
      <c r="AP39" s="433"/>
      <c r="AQ39" s="433"/>
      <c r="AR39" s="433"/>
      <c r="AS39" s="433" t="b">
        <v>0</v>
      </c>
      <c r="AT39" s="433"/>
      <c r="AU39" s="433"/>
      <c r="AV39" s="433"/>
      <c r="AW39" s="433"/>
      <c r="AX39" s="433"/>
      <c r="AY39" s="433"/>
      <c r="AZ39" s="433"/>
      <c r="BA39" s="433"/>
      <c r="BB39" s="433"/>
      <c r="BC39" s="433"/>
      <c r="BD39" s="433"/>
      <c r="BE39" s="433"/>
      <c r="BF39" s="433"/>
      <c r="BG39" s="433"/>
      <c r="BH39" s="433"/>
      <c r="BI39" s="433"/>
      <c r="BJ39" s="433"/>
      <c r="BK39" s="433"/>
      <c r="BL39" s="433"/>
      <c r="BM39" s="433"/>
      <c r="BN39" s="433"/>
      <c r="BO39" s="433"/>
      <c r="BP39" s="433"/>
      <c r="BQ39" s="433"/>
      <c r="BR39" s="433"/>
      <c r="BS39" s="433"/>
      <c r="BT39" s="433"/>
      <c r="BU39" s="399" t="str">
        <f t="shared" si="7"/>
        <v/>
      </c>
      <c r="BV39" s="433"/>
      <c r="BW39" s="433"/>
      <c r="BX39" s="433"/>
      <c r="BY39" s="433"/>
      <c r="BZ39" s="433"/>
      <c r="CA39" s="433"/>
      <c r="CB39" s="433"/>
      <c r="CC39" s="433"/>
      <c r="CD39" s="433"/>
      <c r="CE39" s="433"/>
      <c r="CF39" s="433"/>
      <c r="CG39" s="433"/>
      <c r="CH39" s="433"/>
      <c r="CI39" s="433"/>
      <c r="CJ39" s="433"/>
      <c r="CK39" s="433"/>
      <c r="CL39" s="433"/>
      <c r="CM39" s="433"/>
      <c r="CN39" s="433"/>
      <c r="CO39" s="433"/>
      <c r="CP39" s="433"/>
      <c r="CQ39" s="433"/>
      <c r="CR39" s="433"/>
      <c r="CS39" s="433"/>
      <c r="CT39" s="433"/>
      <c r="CU39" s="433"/>
      <c r="CV39" s="433"/>
      <c r="CW39" s="433"/>
      <c r="CX39" s="433"/>
      <c r="CY39" s="433"/>
      <c r="CZ39" s="399" t="str">
        <f t="shared" si="8"/>
        <v/>
      </c>
      <c r="DA39" s="399" t="str">
        <f t="shared" si="9"/>
        <v/>
      </c>
      <c r="DB39" s="399" t="str">
        <f t="shared" si="10"/>
        <v/>
      </c>
      <c r="DC39" s="399" t="str">
        <f t="shared" si="11"/>
        <v/>
      </c>
      <c r="DD39" s="399" t="str">
        <f t="shared" si="14"/>
        <v/>
      </c>
      <c r="DE39" s="399" t="str">
        <f t="shared" si="12"/>
        <v/>
      </c>
      <c r="DG39" s="434"/>
      <c r="DH39" s="434"/>
      <c r="DJ39" s="399"/>
    </row>
    <row r="40" spans="8:114" x14ac:dyDescent="0.25">
      <c r="H40" s="416" t="str">
        <f ca="1">IF(IMPORT!C53="","",IMPORT!C53)</f>
        <v/>
      </c>
      <c r="I40" s="416" t="str">
        <f ca="1">IF(IMPORT!D53="","",IMPORT!D53)</f>
        <v/>
      </c>
      <c r="J40" s="416" t="str">
        <f ca="1">IF(IMPORT!E53="","",IMPORT!E53)</f>
        <v/>
      </c>
      <c r="K40" s="416" t="str">
        <f ca="1">IF(IMPORT!F53="","",IMPORT!F53)</f>
        <v/>
      </c>
      <c r="L40" s="416" t="str">
        <f ca="1">IF(IMPORT!G53="","",IMPORT!G53)</f>
        <v/>
      </c>
      <c r="M40" s="416" t="str">
        <f>IF(IMPORT!H53="","",IMPORT!H53)</f>
        <v/>
      </c>
      <c r="N40" s="399" t="str">
        <f t="shared" si="3"/>
        <v/>
      </c>
      <c r="P40" s="406" t="str">
        <f t="shared" si="4"/>
        <v/>
      </c>
      <c r="Q40" s="406" t="str">
        <f t="array" ref="Q40">IFERROR(INDEX($N$1:$N$203,SMALL(IF($N$1:$N$203&lt;&gt;"",ROW($N$1:$N$203)),ROW(38:38))),"")</f>
        <v/>
      </c>
      <c r="R40" s="399" t="str">
        <f t="shared" si="0"/>
        <v/>
      </c>
      <c r="S40" s="399" t="str">
        <f t="shared" si="5"/>
        <v/>
      </c>
      <c r="T40" s="399" t="str">
        <f t="shared" si="6"/>
        <v/>
      </c>
      <c r="U40" s="419" t="str">
        <f t="shared" si="13"/>
        <v/>
      </c>
      <c r="V40" s="433" t="b">
        <v>0</v>
      </c>
      <c r="W40" s="464"/>
      <c r="X40" s="433"/>
      <c r="Y40" s="433" t="s">
        <v>92</v>
      </c>
      <c r="Z40" s="433"/>
      <c r="AA40" s="433"/>
      <c r="AB40" s="433"/>
      <c r="AC40" s="433" t="s">
        <v>1401</v>
      </c>
      <c r="AD40" s="433"/>
      <c r="AE40" s="433" t="s">
        <v>111</v>
      </c>
      <c r="AF40" s="433" t="s">
        <v>299</v>
      </c>
      <c r="AG40" s="433"/>
      <c r="AH40" s="433"/>
      <c r="AI40" s="433"/>
      <c r="AJ40" s="433"/>
      <c r="AK40" s="433"/>
      <c r="AL40" s="433"/>
      <c r="AM40" s="433"/>
      <c r="AN40" s="433"/>
      <c r="AO40" s="433"/>
      <c r="AP40" s="433"/>
      <c r="AQ40" s="433"/>
      <c r="AR40" s="433"/>
      <c r="AS40" s="433" t="b">
        <v>0</v>
      </c>
      <c r="AT40" s="433"/>
      <c r="AU40" s="433"/>
      <c r="AV40" s="433"/>
      <c r="AW40" s="433"/>
      <c r="AX40" s="433"/>
      <c r="AY40" s="433"/>
      <c r="AZ40" s="433"/>
      <c r="BA40" s="433"/>
      <c r="BB40" s="433"/>
      <c r="BC40" s="433"/>
      <c r="BD40" s="433"/>
      <c r="BE40" s="433"/>
      <c r="BF40" s="433"/>
      <c r="BG40" s="433"/>
      <c r="BH40" s="433"/>
      <c r="BI40" s="433"/>
      <c r="BJ40" s="433"/>
      <c r="BK40" s="433"/>
      <c r="BL40" s="433"/>
      <c r="BM40" s="433"/>
      <c r="BN40" s="433"/>
      <c r="BO40" s="433"/>
      <c r="BP40" s="433"/>
      <c r="BQ40" s="433"/>
      <c r="BR40" s="433"/>
      <c r="BS40" s="433"/>
      <c r="BT40" s="433"/>
      <c r="BU40" s="399" t="str">
        <f t="shared" si="7"/>
        <v/>
      </c>
      <c r="BV40" s="433"/>
      <c r="BW40" s="433"/>
      <c r="BX40" s="433"/>
      <c r="BY40" s="433"/>
      <c r="BZ40" s="433"/>
      <c r="CA40" s="433"/>
      <c r="CB40" s="433"/>
      <c r="CC40" s="433"/>
      <c r="CD40" s="433"/>
      <c r="CE40" s="433"/>
      <c r="CF40" s="433"/>
      <c r="CG40" s="433"/>
      <c r="CH40" s="433"/>
      <c r="CI40" s="433"/>
      <c r="CJ40" s="433"/>
      <c r="CK40" s="433"/>
      <c r="CL40" s="433"/>
      <c r="CM40" s="433"/>
      <c r="CN40" s="433"/>
      <c r="CO40" s="433"/>
      <c r="CP40" s="433"/>
      <c r="CQ40" s="433"/>
      <c r="CR40" s="433"/>
      <c r="CS40" s="433"/>
      <c r="CT40" s="433"/>
      <c r="CU40" s="433"/>
      <c r="CV40" s="433"/>
      <c r="CW40" s="433"/>
      <c r="CX40" s="433"/>
      <c r="CY40" s="433"/>
      <c r="CZ40" s="399" t="str">
        <f t="shared" si="8"/>
        <v/>
      </c>
      <c r="DA40" s="399" t="str">
        <f t="shared" si="9"/>
        <v/>
      </c>
      <c r="DB40" s="399" t="str">
        <f t="shared" si="10"/>
        <v/>
      </c>
      <c r="DC40" s="399" t="str">
        <f t="shared" si="11"/>
        <v/>
      </c>
      <c r="DD40" s="399" t="str">
        <f t="shared" si="14"/>
        <v/>
      </c>
      <c r="DE40" s="399" t="str">
        <f t="shared" si="12"/>
        <v/>
      </c>
      <c r="DG40" s="434"/>
      <c r="DH40" s="434"/>
      <c r="DJ40" s="399"/>
    </row>
    <row r="41" spans="8:114" x14ac:dyDescent="0.25">
      <c r="H41" s="416" t="str">
        <f ca="1">IF(IMPORT!C54="","",IMPORT!C54)</f>
        <v/>
      </c>
      <c r="I41" s="416" t="str">
        <f ca="1">IF(IMPORT!D54="","",IMPORT!D54)</f>
        <v/>
      </c>
      <c r="J41" s="416" t="str">
        <f ca="1">IF(IMPORT!E54="","",IMPORT!E54)</f>
        <v/>
      </c>
      <c r="K41" s="416" t="str">
        <f ca="1">IF(IMPORT!F54="","",IMPORT!F54)</f>
        <v/>
      </c>
      <c r="L41" s="416" t="str">
        <f ca="1">IF(IMPORT!G54="","",IMPORT!G54)</f>
        <v/>
      </c>
      <c r="M41" s="416" t="str">
        <f>IF(IMPORT!H54="","",IMPORT!H54)</f>
        <v/>
      </c>
      <c r="N41" s="399" t="str">
        <f t="shared" si="3"/>
        <v/>
      </c>
      <c r="P41" s="406" t="str">
        <f t="shared" si="4"/>
        <v/>
      </c>
      <c r="Q41" s="406" t="str">
        <f t="array" ref="Q41">IFERROR(INDEX($N$1:$N$203,SMALL(IF($N$1:$N$203&lt;&gt;"",ROW($N$1:$N$203)),ROW(39:39))),"")</f>
        <v/>
      </c>
      <c r="R41" s="399" t="str">
        <f t="shared" si="0"/>
        <v/>
      </c>
      <c r="S41" s="399" t="str">
        <f t="shared" si="5"/>
        <v/>
      </c>
      <c r="T41" s="399" t="str">
        <f t="shared" si="6"/>
        <v/>
      </c>
      <c r="U41" s="419" t="str">
        <f t="shared" si="13"/>
        <v/>
      </c>
      <c r="V41" s="433" t="b">
        <v>0</v>
      </c>
      <c r="W41" s="464"/>
      <c r="X41" s="433"/>
      <c r="Y41" s="433" t="s">
        <v>92</v>
      </c>
      <c r="Z41" s="433"/>
      <c r="AA41" s="433"/>
      <c r="AB41" s="433"/>
      <c r="AC41" s="433" t="s">
        <v>1401</v>
      </c>
      <c r="AD41" s="433"/>
      <c r="AE41" s="433" t="s">
        <v>111</v>
      </c>
      <c r="AF41" s="433" t="s">
        <v>299</v>
      </c>
      <c r="AG41" s="433"/>
      <c r="AH41" s="433"/>
      <c r="AI41" s="433"/>
      <c r="AJ41" s="433"/>
      <c r="AK41" s="433"/>
      <c r="AL41" s="433"/>
      <c r="AM41" s="433"/>
      <c r="AN41" s="433"/>
      <c r="AO41" s="433"/>
      <c r="AP41" s="433"/>
      <c r="AQ41" s="433"/>
      <c r="AR41" s="433"/>
      <c r="AS41" s="433" t="b">
        <v>0</v>
      </c>
      <c r="AT41" s="433"/>
      <c r="AU41" s="433"/>
      <c r="AV41" s="433"/>
      <c r="AW41" s="433"/>
      <c r="AX41" s="433"/>
      <c r="AY41" s="433"/>
      <c r="AZ41" s="433"/>
      <c r="BA41" s="433"/>
      <c r="BB41" s="433"/>
      <c r="BC41" s="433"/>
      <c r="BD41" s="433"/>
      <c r="BE41" s="433"/>
      <c r="BF41" s="433"/>
      <c r="BG41" s="433"/>
      <c r="BH41" s="433"/>
      <c r="BI41" s="433"/>
      <c r="BJ41" s="433"/>
      <c r="BK41" s="433"/>
      <c r="BL41" s="433"/>
      <c r="BM41" s="433"/>
      <c r="BN41" s="433"/>
      <c r="BO41" s="433"/>
      <c r="BP41" s="433"/>
      <c r="BQ41" s="433"/>
      <c r="BR41" s="433"/>
      <c r="BS41" s="433"/>
      <c r="BT41" s="433"/>
      <c r="BU41" s="399" t="str">
        <f t="shared" si="7"/>
        <v/>
      </c>
      <c r="BV41" s="433"/>
      <c r="BW41" s="433"/>
      <c r="BX41" s="433"/>
      <c r="BY41" s="433"/>
      <c r="BZ41" s="433"/>
      <c r="CA41" s="433"/>
      <c r="CB41" s="433"/>
      <c r="CC41" s="433"/>
      <c r="CD41" s="433"/>
      <c r="CE41" s="433"/>
      <c r="CF41" s="433"/>
      <c r="CG41" s="433"/>
      <c r="CH41" s="433"/>
      <c r="CI41" s="433"/>
      <c r="CJ41" s="433"/>
      <c r="CK41" s="433"/>
      <c r="CL41" s="433"/>
      <c r="CM41" s="433"/>
      <c r="CN41" s="433"/>
      <c r="CO41" s="433"/>
      <c r="CP41" s="433"/>
      <c r="CQ41" s="433"/>
      <c r="CR41" s="433"/>
      <c r="CS41" s="433"/>
      <c r="CT41" s="433"/>
      <c r="CU41" s="433"/>
      <c r="CV41" s="433"/>
      <c r="CW41" s="433"/>
      <c r="CX41" s="433"/>
      <c r="CY41" s="433"/>
      <c r="CZ41" s="399" t="str">
        <f t="shared" si="8"/>
        <v/>
      </c>
      <c r="DA41" s="399" t="str">
        <f t="shared" si="9"/>
        <v/>
      </c>
      <c r="DB41" s="399" t="str">
        <f t="shared" si="10"/>
        <v/>
      </c>
      <c r="DC41" s="399" t="str">
        <f t="shared" si="11"/>
        <v/>
      </c>
      <c r="DD41" s="399" t="str">
        <f t="shared" si="14"/>
        <v/>
      </c>
      <c r="DE41" s="399" t="str">
        <f t="shared" si="12"/>
        <v/>
      </c>
      <c r="DG41" s="434"/>
      <c r="DH41" s="434"/>
      <c r="DJ41" s="399"/>
    </row>
    <row r="42" spans="8:114" x14ac:dyDescent="0.25">
      <c r="H42" s="416" t="str">
        <f ca="1">IF(IMPORT!C55="","",IMPORT!C55)</f>
        <v/>
      </c>
      <c r="I42" s="416" t="str">
        <f ca="1">IF(IMPORT!D55="","",IMPORT!D55)</f>
        <v/>
      </c>
      <c r="J42" s="416" t="str">
        <f ca="1">IF(IMPORT!E55="","",IMPORT!E55)</f>
        <v/>
      </c>
      <c r="K42" s="416" t="str">
        <f ca="1">IF(IMPORT!F55="","",IMPORT!F55)</f>
        <v/>
      </c>
      <c r="L42" s="416" t="str">
        <f ca="1">IF(IMPORT!G55="","",IMPORT!G55)</f>
        <v/>
      </c>
      <c r="M42" s="416" t="str">
        <f>IF(IMPORT!H55="","",IMPORT!H55)</f>
        <v/>
      </c>
      <c r="N42" s="399" t="str">
        <f t="shared" si="3"/>
        <v/>
      </c>
      <c r="P42" s="406" t="str">
        <f t="shared" si="4"/>
        <v/>
      </c>
      <c r="Q42" s="406" t="str">
        <f t="array" ref="Q42">IFERROR(INDEX($N$1:$N$203,SMALL(IF($N$1:$N$203&lt;&gt;"",ROW($N$1:$N$203)),ROW(40:40))),"")</f>
        <v/>
      </c>
      <c r="R42" s="399" t="str">
        <f t="shared" si="0"/>
        <v/>
      </c>
      <c r="S42" s="399" t="str">
        <f t="shared" si="5"/>
        <v/>
      </c>
      <c r="T42" s="399" t="str">
        <f t="shared" si="6"/>
        <v/>
      </c>
      <c r="U42" s="419" t="str">
        <f t="shared" si="13"/>
        <v/>
      </c>
      <c r="V42" s="433" t="b">
        <v>0</v>
      </c>
      <c r="W42" s="464"/>
      <c r="X42" s="433"/>
      <c r="Y42" s="433" t="s">
        <v>92</v>
      </c>
      <c r="Z42" s="433"/>
      <c r="AA42" s="433"/>
      <c r="AB42" s="433"/>
      <c r="AC42" s="433" t="s">
        <v>1401</v>
      </c>
      <c r="AD42" s="433"/>
      <c r="AE42" s="433" t="s">
        <v>111</v>
      </c>
      <c r="AF42" s="433" t="s">
        <v>299</v>
      </c>
      <c r="AG42" s="433"/>
      <c r="AH42" s="433"/>
      <c r="AI42" s="433"/>
      <c r="AJ42" s="433"/>
      <c r="AK42" s="433"/>
      <c r="AL42" s="433"/>
      <c r="AM42" s="433"/>
      <c r="AN42" s="433"/>
      <c r="AO42" s="433"/>
      <c r="AP42" s="433"/>
      <c r="AQ42" s="433"/>
      <c r="AR42" s="433"/>
      <c r="AS42" s="433" t="b">
        <v>0</v>
      </c>
      <c r="AT42" s="433"/>
      <c r="AU42" s="433"/>
      <c r="AV42" s="433"/>
      <c r="AW42" s="433"/>
      <c r="AX42" s="433"/>
      <c r="AY42" s="433"/>
      <c r="AZ42" s="433"/>
      <c r="BA42" s="433"/>
      <c r="BB42" s="433"/>
      <c r="BC42" s="433"/>
      <c r="BD42" s="433"/>
      <c r="BE42" s="433"/>
      <c r="BF42" s="433"/>
      <c r="BG42" s="433"/>
      <c r="BH42" s="433"/>
      <c r="BI42" s="433"/>
      <c r="BJ42" s="433"/>
      <c r="BK42" s="433"/>
      <c r="BL42" s="433"/>
      <c r="BM42" s="433"/>
      <c r="BN42" s="433"/>
      <c r="BO42" s="433"/>
      <c r="BP42" s="433"/>
      <c r="BQ42" s="433"/>
      <c r="BR42" s="433"/>
      <c r="BS42" s="433"/>
      <c r="BT42" s="433"/>
      <c r="BU42" s="399" t="str">
        <f t="shared" si="7"/>
        <v/>
      </c>
      <c r="BV42" s="433"/>
      <c r="BW42" s="433"/>
      <c r="BX42" s="433"/>
      <c r="BY42" s="433"/>
      <c r="BZ42" s="433"/>
      <c r="CA42" s="433"/>
      <c r="CB42" s="433"/>
      <c r="CC42" s="433"/>
      <c r="CD42" s="433"/>
      <c r="CE42" s="433"/>
      <c r="CF42" s="433"/>
      <c r="CG42" s="433"/>
      <c r="CH42" s="433"/>
      <c r="CI42" s="433"/>
      <c r="CJ42" s="433"/>
      <c r="CK42" s="433"/>
      <c r="CL42" s="433"/>
      <c r="CM42" s="433"/>
      <c r="CN42" s="433"/>
      <c r="CO42" s="433"/>
      <c r="CP42" s="433"/>
      <c r="CQ42" s="433"/>
      <c r="CR42" s="433"/>
      <c r="CS42" s="433"/>
      <c r="CT42" s="433"/>
      <c r="CU42" s="433"/>
      <c r="CV42" s="433"/>
      <c r="CW42" s="433"/>
      <c r="CX42" s="433"/>
      <c r="CY42" s="433"/>
      <c r="CZ42" s="399" t="str">
        <f t="shared" si="8"/>
        <v/>
      </c>
      <c r="DA42" s="399" t="str">
        <f t="shared" si="9"/>
        <v/>
      </c>
      <c r="DB42" s="399" t="str">
        <f t="shared" si="10"/>
        <v/>
      </c>
      <c r="DC42" s="399" t="str">
        <f t="shared" si="11"/>
        <v/>
      </c>
      <c r="DD42" s="399" t="str">
        <f t="shared" si="14"/>
        <v/>
      </c>
      <c r="DE42" s="399" t="str">
        <f t="shared" si="12"/>
        <v/>
      </c>
      <c r="DG42" s="434"/>
      <c r="DH42" s="434"/>
      <c r="DJ42" s="399"/>
    </row>
    <row r="43" spans="8:114" x14ac:dyDescent="0.25">
      <c r="H43" s="416" t="str">
        <f ca="1">IF(IMPORT!C56="","",IMPORT!C56)</f>
        <v/>
      </c>
      <c r="I43" s="416" t="str">
        <f ca="1">IF(IMPORT!D56="","",IMPORT!D56)</f>
        <v/>
      </c>
      <c r="J43" s="416" t="str">
        <f ca="1">IF(IMPORT!E56="","",IMPORT!E56)</f>
        <v/>
      </c>
      <c r="K43" s="416" t="str">
        <f ca="1">IF(IMPORT!F56="","",IMPORT!F56)</f>
        <v/>
      </c>
      <c r="L43" s="416" t="str">
        <f ca="1">IF(IMPORT!G56="","",IMPORT!G56)</f>
        <v/>
      </c>
      <c r="M43" s="416" t="str">
        <f>IF(IMPORT!H56="","",IMPORT!H56)</f>
        <v/>
      </c>
      <c r="N43" s="399" t="str">
        <f t="shared" si="3"/>
        <v/>
      </c>
      <c r="P43" s="406" t="str">
        <f t="shared" si="4"/>
        <v/>
      </c>
      <c r="Q43" s="406" t="str">
        <f t="array" ref="Q43">IFERROR(INDEX($N$1:$N$203,SMALL(IF($N$1:$N$203&lt;&gt;"",ROW($N$1:$N$203)),ROW(41:41))),"")</f>
        <v/>
      </c>
      <c r="R43" s="399" t="str">
        <f t="shared" si="0"/>
        <v/>
      </c>
      <c r="S43" s="399" t="str">
        <f t="shared" si="5"/>
        <v/>
      </c>
      <c r="T43" s="399" t="str">
        <f t="shared" si="6"/>
        <v/>
      </c>
      <c r="U43" s="419" t="str">
        <f t="shared" si="13"/>
        <v/>
      </c>
      <c r="V43" s="433" t="b">
        <v>0</v>
      </c>
      <c r="W43" s="464"/>
      <c r="X43" s="433"/>
      <c r="Y43" s="433" t="s">
        <v>92</v>
      </c>
      <c r="Z43" s="433"/>
      <c r="AA43" s="433"/>
      <c r="AB43" s="433"/>
      <c r="AC43" s="433" t="s">
        <v>1401</v>
      </c>
      <c r="AD43" s="433"/>
      <c r="AE43" s="433" t="s">
        <v>111</v>
      </c>
      <c r="AF43" s="433" t="s">
        <v>299</v>
      </c>
      <c r="AG43" s="433"/>
      <c r="AH43" s="433"/>
      <c r="AI43" s="433"/>
      <c r="AJ43" s="433"/>
      <c r="AK43" s="433"/>
      <c r="AL43" s="433"/>
      <c r="AM43" s="433"/>
      <c r="AN43" s="433"/>
      <c r="AO43" s="433"/>
      <c r="AP43" s="433"/>
      <c r="AQ43" s="433"/>
      <c r="AR43" s="433"/>
      <c r="AS43" s="433" t="b">
        <v>0</v>
      </c>
      <c r="AT43" s="433"/>
      <c r="AU43" s="433"/>
      <c r="AV43" s="433"/>
      <c r="AW43" s="433"/>
      <c r="AX43" s="433"/>
      <c r="AY43" s="433"/>
      <c r="AZ43" s="433"/>
      <c r="BA43" s="433"/>
      <c r="BB43" s="433"/>
      <c r="BC43" s="433"/>
      <c r="BD43" s="433"/>
      <c r="BE43" s="433"/>
      <c r="BF43" s="433"/>
      <c r="BG43" s="433"/>
      <c r="BH43" s="433"/>
      <c r="BI43" s="433"/>
      <c r="BJ43" s="433"/>
      <c r="BK43" s="433"/>
      <c r="BL43" s="433"/>
      <c r="BM43" s="433"/>
      <c r="BN43" s="433"/>
      <c r="BO43" s="433"/>
      <c r="BP43" s="433"/>
      <c r="BQ43" s="433"/>
      <c r="BR43" s="433"/>
      <c r="BS43" s="433"/>
      <c r="BT43" s="433"/>
      <c r="BU43" s="399" t="str">
        <f t="shared" si="7"/>
        <v/>
      </c>
      <c r="BV43" s="433"/>
      <c r="BW43" s="433"/>
      <c r="BX43" s="433"/>
      <c r="BY43" s="433"/>
      <c r="BZ43" s="433"/>
      <c r="CA43" s="433"/>
      <c r="CB43" s="433"/>
      <c r="CC43" s="433"/>
      <c r="CD43" s="433"/>
      <c r="CE43" s="433"/>
      <c r="CF43" s="433"/>
      <c r="CG43" s="433"/>
      <c r="CH43" s="433"/>
      <c r="CI43" s="433"/>
      <c r="CJ43" s="433"/>
      <c r="CK43" s="433"/>
      <c r="CL43" s="433"/>
      <c r="CM43" s="433"/>
      <c r="CN43" s="433"/>
      <c r="CO43" s="433"/>
      <c r="CP43" s="433"/>
      <c r="CQ43" s="433"/>
      <c r="CR43" s="433"/>
      <c r="CS43" s="433"/>
      <c r="CT43" s="433"/>
      <c r="CU43" s="433"/>
      <c r="CV43" s="433"/>
      <c r="CW43" s="433"/>
      <c r="CX43" s="433"/>
      <c r="CY43" s="433"/>
      <c r="CZ43" s="399" t="str">
        <f t="shared" si="8"/>
        <v/>
      </c>
      <c r="DA43" s="399" t="str">
        <f t="shared" si="9"/>
        <v/>
      </c>
      <c r="DB43" s="399" t="str">
        <f t="shared" si="10"/>
        <v/>
      </c>
      <c r="DC43" s="399" t="str">
        <f t="shared" si="11"/>
        <v/>
      </c>
      <c r="DD43" s="399" t="str">
        <f t="shared" si="14"/>
        <v/>
      </c>
      <c r="DE43" s="399" t="str">
        <f t="shared" si="12"/>
        <v/>
      </c>
      <c r="DG43" s="434"/>
      <c r="DH43" s="434"/>
      <c r="DJ43" s="399"/>
    </row>
    <row r="44" spans="8:114" x14ac:dyDescent="0.25">
      <c r="H44" s="416" t="str">
        <f ca="1">IF(IMPORT!C57="","",IMPORT!C57)</f>
        <v/>
      </c>
      <c r="I44" s="416" t="str">
        <f ca="1">IF(IMPORT!D57="","",IMPORT!D57)</f>
        <v/>
      </c>
      <c r="J44" s="416" t="str">
        <f ca="1">IF(IMPORT!E57="","",IMPORT!E57)</f>
        <v/>
      </c>
      <c r="K44" s="416" t="str">
        <f ca="1">IF(IMPORT!F57="","",IMPORT!F57)</f>
        <v/>
      </c>
      <c r="L44" s="416" t="str">
        <f ca="1">IF(IMPORT!G57="","",IMPORT!G57)</f>
        <v/>
      </c>
      <c r="M44" s="416" t="str">
        <f>IF(IMPORT!H57="","",IMPORT!H57)</f>
        <v/>
      </c>
      <c r="N44" s="399" t="str">
        <f t="shared" si="3"/>
        <v/>
      </c>
      <c r="P44" s="406" t="str">
        <f t="shared" si="4"/>
        <v/>
      </c>
      <c r="Q44" s="406" t="str">
        <f t="array" ref="Q44">IFERROR(INDEX($N$1:$N$203,SMALL(IF($N$1:$N$203&lt;&gt;"",ROW($N$1:$N$203)),ROW(42:42))),"")</f>
        <v/>
      </c>
      <c r="R44" s="399" t="str">
        <f t="shared" si="0"/>
        <v/>
      </c>
      <c r="S44" s="399" t="str">
        <f t="shared" si="5"/>
        <v/>
      </c>
      <c r="T44" s="399" t="str">
        <f t="shared" si="6"/>
        <v/>
      </c>
      <c r="U44" s="419" t="str">
        <f t="shared" si="13"/>
        <v/>
      </c>
      <c r="V44" s="433" t="b">
        <v>0</v>
      </c>
      <c r="W44" s="464"/>
      <c r="X44" s="433"/>
      <c r="Y44" s="433" t="s">
        <v>92</v>
      </c>
      <c r="Z44" s="433"/>
      <c r="AA44" s="433"/>
      <c r="AB44" s="433"/>
      <c r="AC44" s="433" t="s">
        <v>1401</v>
      </c>
      <c r="AD44" s="433"/>
      <c r="AE44" s="433" t="s">
        <v>111</v>
      </c>
      <c r="AF44" s="433" t="s">
        <v>299</v>
      </c>
      <c r="AG44" s="433"/>
      <c r="AH44" s="433"/>
      <c r="AI44" s="433"/>
      <c r="AJ44" s="433"/>
      <c r="AK44" s="433"/>
      <c r="AL44" s="433"/>
      <c r="AM44" s="433"/>
      <c r="AN44" s="433"/>
      <c r="AO44" s="433"/>
      <c r="AP44" s="433"/>
      <c r="AQ44" s="433"/>
      <c r="AR44" s="433"/>
      <c r="AS44" s="433" t="b">
        <v>0</v>
      </c>
      <c r="AT44" s="433"/>
      <c r="AU44" s="433"/>
      <c r="AV44" s="433"/>
      <c r="AW44" s="433"/>
      <c r="AX44" s="433"/>
      <c r="AY44" s="433"/>
      <c r="AZ44" s="433"/>
      <c r="BA44" s="433"/>
      <c r="BB44" s="433"/>
      <c r="BC44" s="433"/>
      <c r="BD44" s="433"/>
      <c r="BE44" s="433"/>
      <c r="BF44" s="433"/>
      <c r="BG44" s="433"/>
      <c r="BH44" s="433"/>
      <c r="BI44" s="433"/>
      <c r="BJ44" s="433"/>
      <c r="BK44" s="433"/>
      <c r="BL44" s="433"/>
      <c r="BM44" s="433"/>
      <c r="BN44" s="433"/>
      <c r="BO44" s="433"/>
      <c r="BP44" s="433"/>
      <c r="BQ44" s="433"/>
      <c r="BR44" s="433"/>
      <c r="BS44" s="433"/>
      <c r="BT44" s="433"/>
      <c r="BU44" s="399" t="str">
        <f t="shared" si="7"/>
        <v/>
      </c>
      <c r="BV44" s="433"/>
      <c r="BW44" s="433"/>
      <c r="BX44" s="433"/>
      <c r="BY44" s="433"/>
      <c r="BZ44" s="433"/>
      <c r="CA44" s="433"/>
      <c r="CB44" s="433"/>
      <c r="CC44" s="433"/>
      <c r="CD44" s="433"/>
      <c r="CE44" s="433"/>
      <c r="CF44" s="433"/>
      <c r="CG44" s="433"/>
      <c r="CH44" s="433"/>
      <c r="CI44" s="433"/>
      <c r="CJ44" s="433"/>
      <c r="CK44" s="433"/>
      <c r="CL44" s="433"/>
      <c r="CM44" s="433"/>
      <c r="CN44" s="433"/>
      <c r="CO44" s="433"/>
      <c r="CP44" s="433"/>
      <c r="CQ44" s="433"/>
      <c r="CR44" s="433"/>
      <c r="CS44" s="433"/>
      <c r="CT44" s="433"/>
      <c r="CU44" s="433"/>
      <c r="CV44" s="433"/>
      <c r="CW44" s="433"/>
      <c r="CX44" s="433"/>
      <c r="CY44" s="433"/>
      <c r="CZ44" s="399" t="str">
        <f t="shared" si="8"/>
        <v/>
      </c>
      <c r="DA44" s="399" t="str">
        <f t="shared" si="9"/>
        <v/>
      </c>
      <c r="DB44" s="399" t="str">
        <f t="shared" si="10"/>
        <v/>
      </c>
      <c r="DC44" s="399" t="str">
        <f t="shared" si="11"/>
        <v/>
      </c>
      <c r="DD44" s="399" t="str">
        <f t="shared" si="14"/>
        <v/>
      </c>
      <c r="DE44" s="399" t="str">
        <f t="shared" si="12"/>
        <v/>
      </c>
      <c r="DG44" s="434"/>
      <c r="DH44" s="434"/>
      <c r="DJ44" s="399"/>
    </row>
    <row r="45" spans="8:114" x14ac:dyDescent="0.25">
      <c r="H45" s="416" t="str">
        <f ca="1">IF(IMPORT!C58="","",IMPORT!C58)</f>
        <v/>
      </c>
      <c r="I45" s="416" t="str">
        <f ca="1">IF(IMPORT!D58="","",IMPORT!D58)</f>
        <v/>
      </c>
      <c r="J45" s="416" t="str">
        <f ca="1">IF(IMPORT!E58="","",IMPORT!E58)</f>
        <v/>
      </c>
      <c r="K45" s="416" t="str">
        <f ca="1">IF(IMPORT!F58="","",IMPORT!F58)</f>
        <v/>
      </c>
      <c r="L45" s="416" t="str">
        <f ca="1">IF(IMPORT!G58="","",IMPORT!G58)</f>
        <v/>
      </c>
      <c r="M45" s="416" t="str">
        <f>IF(IMPORT!H58="","",IMPORT!H58)</f>
        <v/>
      </c>
      <c r="N45" s="399" t="str">
        <f t="shared" si="3"/>
        <v/>
      </c>
      <c r="P45" s="406" t="str">
        <f t="shared" si="4"/>
        <v/>
      </c>
      <c r="Q45" s="406" t="str">
        <f t="array" ref="Q45">IFERROR(INDEX($N$1:$N$203,SMALL(IF($N$1:$N$203&lt;&gt;"",ROW($N$1:$N$203)),ROW(43:43))),"")</f>
        <v/>
      </c>
      <c r="R45" s="399" t="str">
        <f t="shared" si="0"/>
        <v/>
      </c>
      <c r="S45" s="399" t="str">
        <f t="shared" si="5"/>
        <v/>
      </c>
      <c r="T45" s="399" t="str">
        <f t="shared" si="6"/>
        <v/>
      </c>
      <c r="U45" s="419" t="str">
        <f t="shared" si="13"/>
        <v/>
      </c>
      <c r="V45" s="433" t="b">
        <v>0</v>
      </c>
      <c r="W45" s="464"/>
      <c r="X45" s="433"/>
      <c r="Y45" s="433" t="s">
        <v>92</v>
      </c>
      <c r="Z45" s="433"/>
      <c r="AA45" s="433"/>
      <c r="AB45" s="433"/>
      <c r="AC45" s="433" t="s">
        <v>1401</v>
      </c>
      <c r="AD45" s="433"/>
      <c r="AE45" s="433" t="s">
        <v>111</v>
      </c>
      <c r="AF45" s="433" t="s">
        <v>299</v>
      </c>
      <c r="AG45" s="433"/>
      <c r="AH45" s="433"/>
      <c r="AI45" s="433"/>
      <c r="AJ45" s="433"/>
      <c r="AK45" s="433"/>
      <c r="AL45" s="433"/>
      <c r="AM45" s="433"/>
      <c r="AN45" s="433"/>
      <c r="AO45" s="433"/>
      <c r="AP45" s="433"/>
      <c r="AQ45" s="433"/>
      <c r="AR45" s="433"/>
      <c r="AS45" s="433" t="b">
        <v>0</v>
      </c>
      <c r="AT45" s="433"/>
      <c r="AU45" s="433"/>
      <c r="AV45" s="433"/>
      <c r="AW45" s="433"/>
      <c r="AX45" s="433"/>
      <c r="AY45" s="433"/>
      <c r="AZ45" s="433"/>
      <c r="BA45" s="433"/>
      <c r="BB45" s="433"/>
      <c r="BC45" s="433"/>
      <c r="BD45" s="433"/>
      <c r="BE45" s="433"/>
      <c r="BF45" s="433"/>
      <c r="BG45" s="433"/>
      <c r="BH45" s="433"/>
      <c r="BI45" s="433"/>
      <c r="BJ45" s="433"/>
      <c r="BK45" s="433"/>
      <c r="BL45" s="433"/>
      <c r="BM45" s="433"/>
      <c r="BN45" s="433"/>
      <c r="BO45" s="433"/>
      <c r="BP45" s="433"/>
      <c r="BQ45" s="433"/>
      <c r="BR45" s="433"/>
      <c r="BS45" s="433"/>
      <c r="BT45" s="433"/>
      <c r="BU45" s="399" t="str">
        <f t="shared" si="7"/>
        <v/>
      </c>
      <c r="BV45" s="433"/>
      <c r="BW45" s="433"/>
      <c r="BX45" s="433"/>
      <c r="BY45" s="433"/>
      <c r="BZ45" s="433"/>
      <c r="CA45" s="433"/>
      <c r="CB45" s="433"/>
      <c r="CC45" s="433"/>
      <c r="CD45" s="433"/>
      <c r="CE45" s="433"/>
      <c r="CF45" s="433"/>
      <c r="CG45" s="433"/>
      <c r="CH45" s="433"/>
      <c r="CI45" s="433"/>
      <c r="CJ45" s="433"/>
      <c r="CK45" s="433"/>
      <c r="CL45" s="433"/>
      <c r="CM45" s="433"/>
      <c r="CN45" s="433"/>
      <c r="CO45" s="433"/>
      <c r="CP45" s="433"/>
      <c r="CQ45" s="433"/>
      <c r="CR45" s="433"/>
      <c r="CS45" s="433"/>
      <c r="CT45" s="433"/>
      <c r="CU45" s="433"/>
      <c r="CV45" s="433"/>
      <c r="CW45" s="433"/>
      <c r="CX45" s="433"/>
      <c r="CY45" s="433"/>
      <c r="CZ45" s="399" t="str">
        <f t="shared" si="8"/>
        <v/>
      </c>
      <c r="DA45" s="399" t="str">
        <f t="shared" si="9"/>
        <v/>
      </c>
      <c r="DB45" s="399" t="str">
        <f t="shared" si="10"/>
        <v/>
      </c>
      <c r="DC45" s="399" t="str">
        <f t="shared" si="11"/>
        <v/>
      </c>
      <c r="DD45" s="399" t="str">
        <f t="shared" si="14"/>
        <v/>
      </c>
      <c r="DE45" s="399" t="str">
        <f t="shared" si="12"/>
        <v/>
      </c>
      <c r="DG45" s="434"/>
      <c r="DH45" s="434"/>
      <c r="DJ45" s="399"/>
    </row>
    <row r="46" spans="8:114" x14ac:dyDescent="0.25">
      <c r="H46" s="416" t="str">
        <f ca="1">IF(IMPORT!C59="","",IMPORT!C59)</f>
        <v/>
      </c>
      <c r="I46" s="416" t="str">
        <f ca="1">IF(IMPORT!D59="","",IMPORT!D59)</f>
        <v/>
      </c>
      <c r="J46" s="416" t="str">
        <f ca="1">IF(IMPORT!E59="","",IMPORT!E59)</f>
        <v/>
      </c>
      <c r="K46" s="416" t="str">
        <f ca="1">IF(IMPORT!F59="","",IMPORT!F59)</f>
        <v/>
      </c>
      <c r="L46" s="416" t="str">
        <f ca="1">IF(IMPORT!G59="","",IMPORT!G59)</f>
        <v/>
      </c>
      <c r="M46" s="416" t="str">
        <f>IF(IMPORT!H59="","",IMPORT!H59)</f>
        <v/>
      </c>
      <c r="N46" s="399" t="str">
        <f t="shared" si="3"/>
        <v/>
      </c>
      <c r="P46" s="406" t="str">
        <f t="shared" si="4"/>
        <v/>
      </c>
      <c r="Q46" s="406" t="str">
        <f t="array" ref="Q46">IFERROR(INDEX($N$1:$N$203,SMALL(IF($N$1:$N$203&lt;&gt;"",ROW($N$1:$N$203)),ROW(44:44))),"")</f>
        <v/>
      </c>
      <c r="R46" s="399" t="str">
        <f t="shared" si="0"/>
        <v/>
      </c>
      <c r="S46" s="399" t="str">
        <f t="shared" si="5"/>
        <v/>
      </c>
      <c r="T46" s="399" t="str">
        <f t="shared" si="6"/>
        <v/>
      </c>
      <c r="U46" s="419" t="str">
        <f t="shared" si="13"/>
        <v/>
      </c>
      <c r="V46" s="433" t="b">
        <v>0</v>
      </c>
      <c r="W46" s="464"/>
      <c r="X46" s="433"/>
      <c r="Y46" s="433" t="s">
        <v>92</v>
      </c>
      <c r="Z46" s="433"/>
      <c r="AA46" s="433"/>
      <c r="AB46" s="433"/>
      <c r="AC46" s="433" t="s">
        <v>1401</v>
      </c>
      <c r="AD46" s="433"/>
      <c r="AE46" s="433" t="s">
        <v>111</v>
      </c>
      <c r="AF46" s="433" t="s">
        <v>299</v>
      </c>
      <c r="AG46" s="433"/>
      <c r="AH46" s="433"/>
      <c r="AI46" s="433"/>
      <c r="AJ46" s="433"/>
      <c r="AK46" s="433"/>
      <c r="AL46" s="433"/>
      <c r="AM46" s="433"/>
      <c r="AN46" s="433"/>
      <c r="AO46" s="433"/>
      <c r="AP46" s="433"/>
      <c r="AQ46" s="433"/>
      <c r="AR46" s="433"/>
      <c r="AS46" s="433" t="b">
        <v>0</v>
      </c>
      <c r="AT46" s="433"/>
      <c r="AU46" s="433"/>
      <c r="AV46" s="433"/>
      <c r="AW46" s="433"/>
      <c r="AX46" s="433"/>
      <c r="AY46" s="433"/>
      <c r="AZ46" s="433"/>
      <c r="BA46" s="433"/>
      <c r="BB46" s="433"/>
      <c r="BC46" s="433"/>
      <c r="BD46" s="433"/>
      <c r="BE46" s="433"/>
      <c r="BF46" s="433"/>
      <c r="BG46" s="433"/>
      <c r="BH46" s="433"/>
      <c r="BI46" s="433"/>
      <c r="BJ46" s="433"/>
      <c r="BK46" s="433"/>
      <c r="BL46" s="433"/>
      <c r="BM46" s="433"/>
      <c r="BN46" s="433"/>
      <c r="BO46" s="433"/>
      <c r="BP46" s="433"/>
      <c r="BQ46" s="433"/>
      <c r="BR46" s="433"/>
      <c r="BS46" s="433"/>
      <c r="BT46" s="433"/>
      <c r="BU46" s="399" t="str">
        <f t="shared" si="7"/>
        <v/>
      </c>
      <c r="BV46" s="433"/>
      <c r="BW46" s="433"/>
      <c r="BX46" s="433"/>
      <c r="BY46" s="433"/>
      <c r="BZ46" s="433"/>
      <c r="CA46" s="433"/>
      <c r="CB46" s="433"/>
      <c r="CC46" s="433"/>
      <c r="CD46" s="433"/>
      <c r="CE46" s="433"/>
      <c r="CF46" s="433"/>
      <c r="CG46" s="433"/>
      <c r="CH46" s="433"/>
      <c r="CI46" s="433"/>
      <c r="CJ46" s="433"/>
      <c r="CK46" s="433"/>
      <c r="CL46" s="433"/>
      <c r="CM46" s="433"/>
      <c r="CN46" s="433"/>
      <c r="CO46" s="433"/>
      <c r="CP46" s="433"/>
      <c r="CQ46" s="433"/>
      <c r="CR46" s="433"/>
      <c r="CS46" s="433"/>
      <c r="CT46" s="433"/>
      <c r="CU46" s="433"/>
      <c r="CV46" s="433"/>
      <c r="CW46" s="433"/>
      <c r="CX46" s="433"/>
      <c r="CY46" s="433"/>
      <c r="CZ46" s="399" t="str">
        <f t="shared" si="8"/>
        <v/>
      </c>
      <c r="DA46" s="399" t="str">
        <f t="shared" si="9"/>
        <v/>
      </c>
      <c r="DB46" s="399" t="str">
        <f t="shared" si="10"/>
        <v/>
      </c>
      <c r="DC46" s="399" t="str">
        <f t="shared" si="11"/>
        <v/>
      </c>
      <c r="DD46" s="399" t="str">
        <f t="shared" si="14"/>
        <v/>
      </c>
      <c r="DE46" s="399" t="str">
        <f t="shared" si="12"/>
        <v/>
      </c>
      <c r="DG46" s="434"/>
      <c r="DH46" s="434"/>
      <c r="DJ46" s="399"/>
    </row>
    <row r="47" spans="8:114" x14ac:dyDescent="0.25">
      <c r="H47" s="416" t="str">
        <f ca="1">IF(IMPORT!C60="","",IMPORT!C60)</f>
        <v/>
      </c>
      <c r="I47" s="416" t="str">
        <f ca="1">IF(IMPORT!D60="","",IMPORT!D60)</f>
        <v/>
      </c>
      <c r="J47" s="416" t="str">
        <f ca="1">IF(IMPORT!E60="","",IMPORT!E60)</f>
        <v/>
      </c>
      <c r="K47" s="416" t="str">
        <f ca="1">IF(IMPORT!F60="","",IMPORT!F60)</f>
        <v/>
      </c>
      <c r="L47" s="416" t="str">
        <f ca="1">IF(IMPORT!G60="","",IMPORT!G60)</f>
        <v/>
      </c>
      <c r="M47" s="416" t="str">
        <f>IF(IMPORT!H60="","",IMPORT!H60)</f>
        <v/>
      </c>
      <c r="N47" s="399" t="str">
        <f t="shared" si="3"/>
        <v/>
      </c>
      <c r="P47" s="406" t="str">
        <f t="shared" si="4"/>
        <v/>
      </c>
      <c r="Q47" s="406" t="str">
        <f t="array" ref="Q47">IFERROR(INDEX($N$1:$N$203,SMALL(IF($N$1:$N$203&lt;&gt;"",ROW($N$1:$N$203)),ROW(45:45))),"")</f>
        <v/>
      </c>
      <c r="R47" s="399" t="str">
        <f t="shared" si="0"/>
        <v/>
      </c>
      <c r="S47" s="399" t="str">
        <f t="shared" si="5"/>
        <v/>
      </c>
      <c r="T47" s="399" t="str">
        <f t="shared" si="6"/>
        <v/>
      </c>
      <c r="U47" s="419" t="str">
        <f t="shared" si="13"/>
        <v/>
      </c>
      <c r="V47" s="433" t="b">
        <v>0</v>
      </c>
      <c r="W47" s="464"/>
      <c r="X47" s="433"/>
      <c r="Y47" s="433" t="s">
        <v>92</v>
      </c>
      <c r="Z47" s="433"/>
      <c r="AA47" s="433"/>
      <c r="AB47" s="433"/>
      <c r="AC47" s="433" t="s">
        <v>1401</v>
      </c>
      <c r="AD47" s="433"/>
      <c r="AE47" s="433" t="s">
        <v>111</v>
      </c>
      <c r="AF47" s="433" t="s">
        <v>299</v>
      </c>
      <c r="AG47" s="433"/>
      <c r="AH47" s="433"/>
      <c r="AI47" s="433"/>
      <c r="AJ47" s="433"/>
      <c r="AK47" s="433"/>
      <c r="AL47" s="433"/>
      <c r="AM47" s="433"/>
      <c r="AN47" s="433"/>
      <c r="AO47" s="433"/>
      <c r="AP47" s="433"/>
      <c r="AQ47" s="433"/>
      <c r="AR47" s="433"/>
      <c r="AS47" s="433" t="b">
        <v>0</v>
      </c>
      <c r="AT47" s="433"/>
      <c r="AU47" s="433"/>
      <c r="AV47" s="433"/>
      <c r="AW47" s="433"/>
      <c r="AX47" s="433"/>
      <c r="AY47" s="433"/>
      <c r="AZ47" s="433"/>
      <c r="BA47" s="433"/>
      <c r="BB47" s="433"/>
      <c r="BC47" s="433"/>
      <c r="BD47" s="433"/>
      <c r="BE47" s="433"/>
      <c r="BF47" s="433"/>
      <c r="BG47" s="433"/>
      <c r="BH47" s="433"/>
      <c r="BI47" s="433"/>
      <c r="BJ47" s="433"/>
      <c r="BK47" s="433"/>
      <c r="BL47" s="433"/>
      <c r="BM47" s="433"/>
      <c r="BN47" s="433"/>
      <c r="BO47" s="433"/>
      <c r="BP47" s="433"/>
      <c r="BQ47" s="433"/>
      <c r="BR47" s="433"/>
      <c r="BS47" s="433"/>
      <c r="BT47" s="433"/>
      <c r="BU47" s="399" t="str">
        <f t="shared" si="7"/>
        <v/>
      </c>
      <c r="BV47" s="433"/>
      <c r="BW47" s="433"/>
      <c r="BX47" s="433"/>
      <c r="BY47" s="433"/>
      <c r="BZ47" s="433"/>
      <c r="CA47" s="433"/>
      <c r="CB47" s="433"/>
      <c r="CC47" s="433"/>
      <c r="CD47" s="433"/>
      <c r="CE47" s="433"/>
      <c r="CF47" s="433"/>
      <c r="CG47" s="433"/>
      <c r="CH47" s="433"/>
      <c r="CI47" s="433"/>
      <c r="CJ47" s="433"/>
      <c r="CK47" s="433"/>
      <c r="CL47" s="433"/>
      <c r="CM47" s="433"/>
      <c r="CN47" s="433"/>
      <c r="CO47" s="433"/>
      <c r="CP47" s="433"/>
      <c r="CQ47" s="433"/>
      <c r="CR47" s="433"/>
      <c r="CS47" s="433"/>
      <c r="CT47" s="433"/>
      <c r="CU47" s="433"/>
      <c r="CV47" s="433"/>
      <c r="CW47" s="433"/>
      <c r="CX47" s="433"/>
      <c r="CY47" s="433"/>
      <c r="CZ47" s="399" t="str">
        <f t="shared" si="8"/>
        <v/>
      </c>
      <c r="DA47" s="399" t="str">
        <f t="shared" si="9"/>
        <v/>
      </c>
      <c r="DB47" s="399" t="str">
        <f t="shared" si="10"/>
        <v/>
      </c>
      <c r="DC47" s="399" t="str">
        <f t="shared" si="11"/>
        <v/>
      </c>
      <c r="DD47" s="399" t="str">
        <f t="shared" si="14"/>
        <v/>
      </c>
      <c r="DE47" s="399" t="str">
        <f t="shared" si="12"/>
        <v/>
      </c>
      <c r="DG47" s="434"/>
      <c r="DH47" s="434"/>
      <c r="DJ47" s="399"/>
    </row>
    <row r="48" spans="8:114" x14ac:dyDescent="0.25">
      <c r="H48" s="416" t="str">
        <f ca="1">IF(IMPORT!C61="","",IMPORT!C61)</f>
        <v/>
      </c>
      <c r="I48" s="416" t="str">
        <f ca="1">IF(IMPORT!D61="","",IMPORT!D61)</f>
        <v/>
      </c>
      <c r="J48" s="416" t="str">
        <f ca="1">IF(IMPORT!E61="","",IMPORT!E61)</f>
        <v/>
      </c>
      <c r="K48" s="416" t="str">
        <f ca="1">IF(IMPORT!F61="","",IMPORT!F61)</f>
        <v/>
      </c>
      <c r="L48" s="416" t="str">
        <f ca="1">IF(IMPORT!G61="","",IMPORT!G61)</f>
        <v/>
      </c>
      <c r="M48" s="416" t="str">
        <f>IF(IMPORT!H61="","",IMPORT!H61)</f>
        <v/>
      </c>
      <c r="N48" s="399" t="str">
        <f t="shared" si="3"/>
        <v/>
      </c>
      <c r="P48" s="406" t="str">
        <f t="shared" si="4"/>
        <v/>
      </c>
      <c r="Q48" s="406" t="str">
        <f t="array" ref="Q48">IFERROR(INDEX($N$1:$N$203,SMALL(IF($N$1:$N$203&lt;&gt;"",ROW($N$1:$N$203)),ROW(46:46))),"")</f>
        <v/>
      </c>
      <c r="R48" s="399" t="str">
        <f t="shared" si="0"/>
        <v/>
      </c>
      <c r="S48" s="399" t="str">
        <f t="shared" si="5"/>
        <v/>
      </c>
      <c r="T48" s="399" t="str">
        <f t="shared" si="6"/>
        <v/>
      </c>
      <c r="U48" s="419" t="str">
        <f t="shared" si="13"/>
        <v/>
      </c>
      <c r="V48" s="433" t="b">
        <v>0</v>
      </c>
      <c r="W48" s="464"/>
      <c r="X48" s="433"/>
      <c r="Y48" s="433" t="s">
        <v>92</v>
      </c>
      <c r="Z48" s="433"/>
      <c r="AA48" s="433"/>
      <c r="AB48" s="433"/>
      <c r="AC48" s="433" t="s">
        <v>1401</v>
      </c>
      <c r="AD48" s="433"/>
      <c r="AE48" s="433" t="s">
        <v>111</v>
      </c>
      <c r="AF48" s="433" t="s">
        <v>299</v>
      </c>
      <c r="AG48" s="433"/>
      <c r="AH48" s="433"/>
      <c r="AI48" s="433"/>
      <c r="AJ48" s="433"/>
      <c r="AK48" s="433"/>
      <c r="AL48" s="433"/>
      <c r="AM48" s="433"/>
      <c r="AN48" s="433"/>
      <c r="AO48" s="433"/>
      <c r="AP48" s="433"/>
      <c r="AQ48" s="433"/>
      <c r="AR48" s="433"/>
      <c r="AS48" s="433" t="b">
        <v>0</v>
      </c>
      <c r="AT48" s="433"/>
      <c r="AU48" s="433"/>
      <c r="AV48" s="433"/>
      <c r="AW48" s="433"/>
      <c r="AX48" s="433"/>
      <c r="AY48" s="433"/>
      <c r="AZ48" s="433"/>
      <c r="BA48" s="433"/>
      <c r="BB48" s="433"/>
      <c r="BC48" s="433"/>
      <c r="BD48" s="433"/>
      <c r="BE48" s="433"/>
      <c r="BF48" s="433"/>
      <c r="BG48" s="433"/>
      <c r="BH48" s="433"/>
      <c r="BI48" s="433"/>
      <c r="BJ48" s="433"/>
      <c r="BK48" s="433"/>
      <c r="BL48" s="433"/>
      <c r="BM48" s="433"/>
      <c r="BN48" s="433"/>
      <c r="BO48" s="433"/>
      <c r="BP48" s="433"/>
      <c r="BQ48" s="433"/>
      <c r="BR48" s="433"/>
      <c r="BS48" s="433"/>
      <c r="BT48" s="433"/>
      <c r="BU48" s="399" t="str">
        <f t="shared" si="7"/>
        <v/>
      </c>
      <c r="BV48" s="433"/>
      <c r="BW48" s="433"/>
      <c r="BX48" s="433"/>
      <c r="BY48" s="433"/>
      <c r="BZ48" s="433"/>
      <c r="CA48" s="433"/>
      <c r="CB48" s="433"/>
      <c r="CC48" s="433"/>
      <c r="CD48" s="433"/>
      <c r="CE48" s="433"/>
      <c r="CF48" s="433"/>
      <c r="CG48" s="433"/>
      <c r="CH48" s="433"/>
      <c r="CI48" s="433"/>
      <c r="CJ48" s="433"/>
      <c r="CK48" s="433"/>
      <c r="CL48" s="433"/>
      <c r="CM48" s="433"/>
      <c r="CN48" s="433"/>
      <c r="CO48" s="433"/>
      <c r="CP48" s="433"/>
      <c r="CQ48" s="433"/>
      <c r="CR48" s="433"/>
      <c r="CS48" s="433"/>
      <c r="CT48" s="433"/>
      <c r="CU48" s="433"/>
      <c r="CV48" s="433"/>
      <c r="CW48" s="433"/>
      <c r="CX48" s="433"/>
      <c r="CY48" s="433"/>
      <c r="CZ48" s="399" t="str">
        <f t="shared" si="8"/>
        <v/>
      </c>
      <c r="DA48" s="399" t="str">
        <f t="shared" si="9"/>
        <v/>
      </c>
      <c r="DB48" s="399" t="str">
        <f t="shared" si="10"/>
        <v/>
      </c>
      <c r="DC48" s="399" t="str">
        <f t="shared" si="11"/>
        <v/>
      </c>
      <c r="DD48" s="399" t="str">
        <f t="shared" si="14"/>
        <v/>
      </c>
      <c r="DE48" s="399" t="str">
        <f t="shared" si="12"/>
        <v/>
      </c>
      <c r="DG48" s="434"/>
      <c r="DH48" s="434"/>
      <c r="DJ48" s="399"/>
    </row>
    <row r="49" spans="8:114" x14ac:dyDescent="0.25">
      <c r="H49" s="416" t="str">
        <f ca="1">IF(IMPORT!C62="","",IMPORT!C62)</f>
        <v/>
      </c>
      <c r="I49" s="416" t="str">
        <f ca="1">IF(IMPORT!D62="","",IMPORT!D62)</f>
        <v/>
      </c>
      <c r="J49" s="416" t="str">
        <f ca="1">IF(IMPORT!E62="","",IMPORT!E62)</f>
        <v/>
      </c>
      <c r="K49" s="416" t="str">
        <f ca="1">IF(IMPORT!F62="","",IMPORT!F62)</f>
        <v/>
      </c>
      <c r="L49" s="416" t="str">
        <f ca="1">IF(IMPORT!G62="","",IMPORT!G62)</f>
        <v/>
      </c>
      <c r="M49" s="416" t="str">
        <f>IF(IMPORT!H62="","",IMPORT!H62)</f>
        <v/>
      </c>
      <c r="N49" s="399" t="str">
        <f t="shared" si="3"/>
        <v/>
      </c>
      <c r="P49" s="406" t="str">
        <f t="shared" si="4"/>
        <v/>
      </c>
      <c r="Q49" s="406" t="str">
        <f t="array" ref="Q49">IFERROR(INDEX($N$1:$N$203,SMALL(IF($N$1:$N$203&lt;&gt;"",ROW($N$1:$N$203)),ROW(47:47))),"")</f>
        <v/>
      </c>
      <c r="R49" s="399" t="str">
        <f t="shared" si="0"/>
        <v/>
      </c>
      <c r="S49" s="399" t="str">
        <f t="shared" si="5"/>
        <v/>
      </c>
      <c r="T49" s="399" t="str">
        <f t="shared" si="6"/>
        <v/>
      </c>
      <c r="U49" s="419" t="str">
        <f t="shared" si="13"/>
        <v/>
      </c>
      <c r="V49" s="433" t="b">
        <v>0</v>
      </c>
      <c r="W49" s="464"/>
      <c r="X49" s="433"/>
      <c r="Y49" s="433" t="s">
        <v>92</v>
      </c>
      <c r="Z49" s="433"/>
      <c r="AA49" s="433"/>
      <c r="AB49" s="433"/>
      <c r="AC49" s="433" t="s">
        <v>1401</v>
      </c>
      <c r="AD49" s="433"/>
      <c r="AE49" s="433" t="s">
        <v>111</v>
      </c>
      <c r="AF49" s="433" t="s">
        <v>299</v>
      </c>
      <c r="AG49" s="433"/>
      <c r="AH49" s="433"/>
      <c r="AI49" s="433"/>
      <c r="AJ49" s="433"/>
      <c r="AK49" s="433"/>
      <c r="AL49" s="433"/>
      <c r="AM49" s="433"/>
      <c r="AN49" s="433"/>
      <c r="AO49" s="433"/>
      <c r="AP49" s="433"/>
      <c r="AQ49" s="433"/>
      <c r="AR49" s="433"/>
      <c r="AS49" s="433" t="b">
        <v>0</v>
      </c>
      <c r="AT49" s="433"/>
      <c r="AU49" s="433"/>
      <c r="AV49" s="433"/>
      <c r="AW49" s="433"/>
      <c r="AX49" s="433"/>
      <c r="AY49" s="433"/>
      <c r="AZ49" s="433"/>
      <c r="BA49" s="433"/>
      <c r="BB49" s="433"/>
      <c r="BC49" s="433"/>
      <c r="BD49" s="433"/>
      <c r="BE49" s="433"/>
      <c r="BF49" s="433"/>
      <c r="BG49" s="433"/>
      <c r="BH49" s="433"/>
      <c r="BI49" s="433"/>
      <c r="BJ49" s="433"/>
      <c r="BK49" s="433"/>
      <c r="BL49" s="433"/>
      <c r="BM49" s="433"/>
      <c r="BN49" s="433"/>
      <c r="BO49" s="433"/>
      <c r="BP49" s="433"/>
      <c r="BQ49" s="433"/>
      <c r="BR49" s="433"/>
      <c r="BS49" s="433"/>
      <c r="BT49" s="433"/>
      <c r="BU49" s="399" t="str">
        <f t="shared" si="7"/>
        <v/>
      </c>
      <c r="BV49" s="433"/>
      <c r="BW49" s="433"/>
      <c r="BX49" s="433"/>
      <c r="BY49" s="433"/>
      <c r="BZ49" s="433"/>
      <c r="CA49" s="433"/>
      <c r="CB49" s="433"/>
      <c r="CC49" s="433"/>
      <c r="CD49" s="433"/>
      <c r="CE49" s="433"/>
      <c r="CF49" s="433"/>
      <c r="CG49" s="433"/>
      <c r="CH49" s="433"/>
      <c r="CI49" s="433"/>
      <c r="CJ49" s="433"/>
      <c r="CK49" s="433"/>
      <c r="CL49" s="433"/>
      <c r="CM49" s="433"/>
      <c r="CN49" s="433"/>
      <c r="CO49" s="433"/>
      <c r="CP49" s="433"/>
      <c r="CQ49" s="433"/>
      <c r="CR49" s="433"/>
      <c r="CS49" s="433"/>
      <c r="CT49" s="433"/>
      <c r="CU49" s="433"/>
      <c r="CV49" s="433"/>
      <c r="CW49" s="433"/>
      <c r="CX49" s="433"/>
      <c r="CY49" s="433"/>
      <c r="CZ49" s="399" t="str">
        <f t="shared" si="8"/>
        <v/>
      </c>
      <c r="DA49" s="399" t="str">
        <f t="shared" si="9"/>
        <v/>
      </c>
      <c r="DB49" s="399" t="str">
        <f t="shared" si="10"/>
        <v/>
      </c>
      <c r="DC49" s="399" t="str">
        <f t="shared" si="11"/>
        <v/>
      </c>
      <c r="DD49" s="399" t="str">
        <f t="shared" si="14"/>
        <v/>
      </c>
      <c r="DE49" s="399" t="str">
        <f t="shared" si="12"/>
        <v/>
      </c>
      <c r="DG49" s="434"/>
      <c r="DH49" s="434"/>
      <c r="DJ49" s="399"/>
    </row>
    <row r="50" spans="8:114" x14ac:dyDescent="0.25">
      <c r="H50" s="416" t="str">
        <f ca="1">IF(IMPORT!C63="","",IMPORT!C63)</f>
        <v/>
      </c>
      <c r="I50" s="416" t="str">
        <f ca="1">IF(IMPORT!D63="","",IMPORT!D63)</f>
        <v/>
      </c>
      <c r="J50" s="416" t="str">
        <f ca="1">IF(IMPORT!E63="","",IMPORT!E63)</f>
        <v/>
      </c>
      <c r="K50" s="416" t="str">
        <f ca="1">IF(IMPORT!F63="","",IMPORT!F63)</f>
        <v/>
      </c>
      <c r="L50" s="416" t="str">
        <f ca="1">IF(IMPORT!G63="","",IMPORT!G63)</f>
        <v/>
      </c>
      <c r="M50" s="416" t="str">
        <f>IF(IMPORT!H63="","",IMPORT!H63)</f>
        <v/>
      </c>
      <c r="N50" s="399" t="str">
        <f t="shared" si="3"/>
        <v/>
      </c>
      <c r="P50" s="406" t="str">
        <f t="shared" si="4"/>
        <v/>
      </c>
      <c r="Q50" s="406" t="str">
        <f t="array" ref="Q50">IFERROR(INDEX($N$1:$N$203,SMALL(IF($N$1:$N$203&lt;&gt;"",ROW($N$1:$N$203)),ROW(48:48))),"")</f>
        <v/>
      </c>
      <c r="R50" s="399" t="str">
        <f t="shared" si="0"/>
        <v/>
      </c>
      <c r="S50" s="399" t="str">
        <f t="shared" si="5"/>
        <v/>
      </c>
      <c r="T50" s="399" t="str">
        <f t="shared" si="6"/>
        <v/>
      </c>
      <c r="U50" s="419" t="str">
        <f t="shared" si="13"/>
        <v/>
      </c>
      <c r="V50" s="433" t="b">
        <v>0</v>
      </c>
      <c r="W50" s="464"/>
      <c r="X50" s="433"/>
      <c r="Y50" s="433" t="s">
        <v>92</v>
      </c>
      <c r="Z50" s="433"/>
      <c r="AA50" s="433"/>
      <c r="AB50" s="433"/>
      <c r="AC50" s="433" t="s">
        <v>1401</v>
      </c>
      <c r="AD50" s="433"/>
      <c r="AE50" s="433" t="s">
        <v>111</v>
      </c>
      <c r="AF50" s="433" t="s">
        <v>299</v>
      </c>
      <c r="AG50" s="433"/>
      <c r="AH50" s="433"/>
      <c r="AI50" s="433"/>
      <c r="AJ50" s="433"/>
      <c r="AK50" s="433"/>
      <c r="AL50" s="433"/>
      <c r="AM50" s="433"/>
      <c r="AN50" s="433"/>
      <c r="AO50" s="433"/>
      <c r="AP50" s="433"/>
      <c r="AQ50" s="433"/>
      <c r="AR50" s="433"/>
      <c r="AS50" s="433" t="b">
        <v>0</v>
      </c>
      <c r="AT50" s="433"/>
      <c r="AU50" s="433"/>
      <c r="AV50" s="433"/>
      <c r="AW50" s="433"/>
      <c r="AX50" s="433"/>
      <c r="AY50" s="433"/>
      <c r="AZ50" s="433"/>
      <c r="BA50" s="433"/>
      <c r="BB50" s="433"/>
      <c r="BC50" s="433"/>
      <c r="BD50" s="433"/>
      <c r="BE50" s="433"/>
      <c r="BF50" s="433"/>
      <c r="BG50" s="433"/>
      <c r="BH50" s="433"/>
      <c r="BI50" s="433"/>
      <c r="BJ50" s="433"/>
      <c r="BK50" s="433"/>
      <c r="BL50" s="433"/>
      <c r="BM50" s="433"/>
      <c r="BN50" s="433"/>
      <c r="BO50" s="433"/>
      <c r="BP50" s="433"/>
      <c r="BQ50" s="433"/>
      <c r="BR50" s="433"/>
      <c r="BS50" s="433"/>
      <c r="BT50" s="433"/>
      <c r="BU50" s="399" t="str">
        <f t="shared" si="7"/>
        <v/>
      </c>
      <c r="BV50" s="433"/>
      <c r="BW50" s="433"/>
      <c r="BX50" s="433"/>
      <c r="BY50" s="433"/>
      <c r="BZ50" s="433"/>
      <c r="CA50" s="433"/>
      <c r="CB50" s="433"/>
      <c r="CC50" s="433"/>
      <c r="CD50" s="433"/>
      <c r="CE50" s="433"/>
      <c r="CF50" s="433"/>
      <c r="CG50" s="433"/>
      <c r="CH50" s="433"/>
      <c r="CI50" s="433"/>
      <c r="CJ50" s="433"/>
      <c r="CK50" s="433"/>
      <c r="CL50" s="433"/>
      <c r="CM50" s="433"/>
      <c r="CN50" s="433"/>
      <c r="CO50" s="433"/>
      <c r="CP50" s="433"/>
      <c r="CQ50" s="433"/>
      <c r="CR50" s="433"/>
      <c r="CS50" s="433"/>
      <c r="CT50" s="433"/>
      <c r="CU50" s="433"/>
      <c r="CV50" s="433"/>
      <c r="CW50" s="433"/>
      <c r="CX50" s="433"/>
      <c r="CY50" s="433"/>
      <c r="CZ50" s="399" t="str">
        <f t="shared" si="8"/>
        <v/>
      </c>
      <c r="DA50" s="399" t="str">
        <f t="shared" si="9"/>
        <v/>
      </c>
      <c r="DB50" s="399" t="str">
        <f t="shared" si="10"/>
        <v/>
      </c>
      <c r="DC50" s="399" t="str">
        <f t="shared" si="11"/>
        <v/>
      </c>
      <c r="DD50" s="399" t="str">
        <f t="shared" si="14"/>
        <v/>
      </c>
      <c r="DE50" s="399" t="str">
        <f t="shared" si="12"/>
        <v/>
      </c>
      <c r="DG50" s="434"/>
      <c r="DH50" s="434"/>
      <c r="DJ50" s="399"/>
    </row>
    <row r="51" spans="8:114" x14ac:dyDescent="0.25">
      <c r="H51" s="416" t="str">
        <f ca="1">IF(IMPORT!C64="","",IMPORT!C64)</f>
        <v/>
      </c>
      <c r="I51" s="416" t="str">
        <f ca="1">IF(IMPORT!D64="","",IMPORT!D64)</f>
        <v/>
      </c>
      <c r="J51" s="416" t="str">
        <f ca="1">IF(IMPORT!E64="","",IMPORT!E64)</f>
        <v/>
      </c>
      <c r="K51" s="416" t="str">
        <f ca="1">IF(IMPORT!F64="","",IMPORT!F64)</f>
        <v/>
      </c>
      <c r="L51" s="416" t="str">
        <f ca="1">IF(IMPORT!G64="","",IMPORT!G64)</f>
        <v/>
      </c>
      <c r="M51" s="416" t="str">
        <f>IF(IMPORT!H64="","",IMPORT!H64)</f>
        <v/>
      </c>
      <c r="N51" s="399" t="str">
        <f t="shared" si="3"/>
        <v/>
      </c>
      <c r="P51" s="406" t="str">
        <f t="shared" si="4"/>
        <v/>
      </c>
      <c r="Q51" s="406" t="str">
        <f t="array" ref="Q51">IFERROR(INDEX($N$1:$N$203,SMALL(IF($N$1:$N$203&lt;&gt;"",ROW($N$1:$N$203)),ROW(49:49))),"")</f>
        <v/>
      </c>
      <c r="R51" s="399" t="str">
        <f t="shared" si="0"/>
        <v/>
      </c>
      <c r="S51" s="399" t="str">
        <f t="shared" si="5"/>
        <v/>
      </c>
      <c r="T51" s="399" t="str">
        <f t="shared" si="6"/>
        <v/>
      </c>
      <c r="U51" s="419" t="str">
        <f t="shared" si="13"/>
        <v/>
      </c>
      <c r="V51" s="433" t="b">
        <v>0</v>
      </c>
      <c r="W51" s="464"/>
      <c r="X51" s="433"/>
      <c r="Y51" s="433" t="s">
        <v>92</v>
      </c>
      <c r="Z51" s="433"/>
      <c r="AA51" s="433"/>
      <c r="AB51" s="433"/>
      <c r="AC51" s="433" t="s">
        <v>1401</v>
      </c>
      <c r="AD51" s="433"/>
      <c r="AE51" s="433" t="s">
        <v>111</v>
      </c>
      <c r="AF51" s="433" t="s">
        <v>299</v>
      </c>
      <c r="AG51" s="433"/>
      <c r="AH51" s="433"/>
      <c r="AI51" s="433"/>
      <c r="AJ51" s="433"/>
      <c r="AK51" s="433"/>
      <c r="AL51" s="433"/>
      <c r="AM51" s="433"/>
      <c r="AN51" s="433"/>
      <c r="AO51" s="433"/>
      <c r="AP51" s="433"/>
      <c r="AQ51" s="433"/>
      <c r="AR51" s="433"/>
      <c r="AS51" s="433" t="b">
        <v>0</v>
      </c>
      <c r="AT51" s="433"/>
      <c r="AU51" s="433"/>
      <c r="AV51" s="433"/>
      <c r="AW51" s="433"/>
      <c r="AX51" s="433"/>
      <c r="AY51" s="433"/>
      <c r="AZ51" s="433"/>
      <c r="BA51" s="433"/>
      <c r="BB51" s="433"/>
      <c r="BC51" s="433"/>
      <c r="BD51" s="433"/>
      <c r="BE51" s="433"/>
      <c r="BF51" s="433"/>
      <c r="BG51" s="433"/>
      <c r="BH51" s="433"/>
      <c r="BI51" s="433"/>
      <c r="BJ51" s="433"/>
      <c r="BK51" s="433"/>
      <c r="BL51" s="433"/>
      <c r="BM51" s="433"/>
      <c r="BN51" s="433"/>
      <c r="BO51" s="433"/>
      <c r="BP51" s="433"/>
      <c r="BQ51" s="433"/>
      <c r="BR51" s="433"/>
      <c r="BS51" s="433"/>
      <c r="BT51" s="433"/>
      <c r="BU51" s="399" t="str">
        <f t="shared" si="7"/>
        <v/>
      </c>
      <c r="BV51" s="433"/>
      <c r="BW51" s="433"/>
      <c r="BX51" s="433"/>
      <c r="BY51" s="433"/>
      <c r="BZ51" s="433"/>
      <c r="CA51" s="433"/>
      <c r="CB51" s="433"/>
      <c r="CC51" s="433"/>
      <c r="CD51" s="433"/>
      <c r="CE51" s="433"/>
      <c r="CF51" s="433"/>
      <c r="CG51" s="433"/>
      <c r="CH51" s="433"/>
      <c r="CI51" s="433"/>
      <c r="CJ51" s="433"/>
      <c r="CK51" s="433"/>
      <c r="CL51" s="433"/>
      <c r="CM51" s="433"/>
      <c r="CN51" s="433"/>
      <c r="CO51" s="433"/>
      <c r="CP51" s="433"/>
      <c r="CQ51" s="433"/>
      <c r="CR51" s="433"/>
      <c r="CS51" s="433"/>
      <c r="CT51" s="433"/>
      <c r="CU51" s="433"/>
      <c r="CV51" s="433"/>
      <c r="CW51" s="433"/>
      <c r="CX51" s="433"/>
      <c r="CY51" s="433"/>
      <c r="CZ51" s="399" t="str">
        <f t="shared" si="8"/>
        <v/>
      </c>
      <c r="DA51" s="399" t="str">
        <f t="shared" si="9"/>
        <v/>
      </c>
      <c r="DB51" s="399" t="str">
        <f t="shared" si="10"/>
        <v/>
      </c>
      <c r="DC51" s="399" t="str">
        <f t="shared" si="11"/>
        <v/>
      </c>
      <c r="DD51" s="399" t="str">
        <f t="shared" si="14"/>
        <v/>
      </c>
      <c r="DE51" s="399" t="str">
        <f t="shared" si="12"/>
        <v/>
      </c>
      <c r="DG51" s="434"/>
      <c r="DH51" s="434"/>
      <c r="DJ51" s="399"/>
    </row>
    <row r="52" spans="8:114" x14ac:dyDescent="0.25">
      <c r="H52" s="416" t="str">
        <f ca="1">IF(IMPORT!C65="","",IMPORT!C65)</f>
        <v/>
      </c>
      <c r="I52" s="416" t="str">
        <f ca="1">IF(IMPORT!D65="","",IMPORT!D65)</f>
        <v/>
      </c>
      <c r="J52" s="416" t="str">
        <f ca="1">IF(IMPORT!E65="","",IMPORT!E65)</f>
        <v/>
      </c>
      <c r="K52" s="416" t="str">
        <f ca="1">IF(IMPORT!F65="","",IMPORT!F65)</f>
        <v/>
      </c>
      <c r="L52" s="416" t="str">
        <f ca="1">IF(IMPORT!G65="","",IMPORT!G65)</f>
        <v/>
      </c>
      <c r="M52" s="416" t="str">
        <f>IF(IMPORT!H65="","",IMPORT!H65)</f>
        <v/>
      </c>
      <c r="N52" s="399" t="str">
        <f t="shared" si="3"/>
        <v/>
      </c>
      <c r="P52" s="406" t="str">
        <f t="shared" si="4"/>
        <v/>
      </c>
      <c r="Q52" s="406" t="str">
        <f t="array" ref="Q52">IFERROR(INDEX($N$1:$N$203,SMALL(IF($N$1:$N$203&lt;&gt;"",ROW($N$1:$N$203)),ROW(50:50))),"")</f>
        <v/>
      </c>
      <c r="R52" s="399" t="str">
        <f t="shared" si="0"/>
        <v/>
      </c>
      <c r="S52" s="399" t="str">
        <f t="shared" si="5"/>
        <v/>
      </c>
      <c r="T52" s="399" t="str">
        <f t="shared" si="6"/>
        <v/>
      </c>
      <c r="U52" s="419" t="str">
        <f t="shared" si="13"/>
        <v/>
      </c>
      <c r="V52" s="433" t="b">
        <v>0</v>
      </c>
      <c r="W52" s="464"/>
      <c r="X52" s="433"/>
      <c r="Y52" s="433" t="s">
        <v>92</v>
      </c>
      <c r="Z52" s="433"/>
      <c r="AA52" s="433"/>
      <c r="AB52" s="433"/>
      <c r="AC52" s="433" t="s">
        <v>1401</v>
      </c>
      <c r="AD52" s="433"/>
      <c r="AE52" s="433" t="s">
        <v>111</v>
      </c>
      <c r="AF52" s="433" t="s">
        <v>299</v>
      </c>
      <c r="AG52" s="433"/>
      <c r="AH52" s="433"/>
      <c r="AI52" s="433"/>
      <c r="AJ52" s="433"/>
      <c r="AK52" s="433"/>
      <c r="AL52" s="433"/>
      <c r="AM52" s="433"/>
      <c r="AN52" s="433"/>
      <c r="AO52" s="433"/>
      <c r="AP52" s="433"/>
      <c r="AQ52" s="433"/>
      <c r="AR52" s="433"/>
      <c r="AS52" s="433" t="b">
        <v>0</v>
      </c>
      <c r="AT52" s="433"/>
      <c r="AU52" s="433"/>
      <c r="AV52" s="433"/>
      <c r="AW52" s="433"/>
      <c r="AX52" s="433"/>
      <c r="AY52" s="433"/>
      <c r="AZ52" s="433"/>
      <c r="BA52" s="433"/>
      <c r="BB52" s="433"/>
      <c r="BC52" s="433"/>
      <c r="BD52" s="433"/>
      <c r="BE52" s="433"/>
      <c r="BF52" s="433"/>
      <c r="BG52" s="433"/>
      <c r="BH52" s="433"/>
      <c r="BI52" s="433"/>
      <c r="BJ52" s="433"/>
      <c r="BK52" s="433"/>
      <c r="BL52" s="433"/>
      <c r="BM52" s="433"/>
      <c r="BN52" s="433"/>
      <c r="BO52" s="433"/>
      <c r="BP52" s="433"/>
      <c r="BQ52" s="433"/>
      <c r="BR52" s="433"/>
      <c r="BS52" s="433"/>
      <c r="BT52" s="433"/>
      <c r="BU52" s="399" t="str">
        <f t="shared" si="7"/>
        <v/>
      </c>
      <c r="BV52" s="433"/>
      <c r="BW52" s="433"/>
      <c r="BX52" s="433"/>
      <c r="BY52" s="433"/>
      <c r="BZ52" s="433"/>
      <c r="CA52" s="433"/>
      <c r="CB52" s="433"/>
      <c r="CC52" s="433"/>
      <c r="CD52" s="433"/>
      <c r="CE52" s="433"/>
      <c r="CF52" s="433"/>
      <c r="CG52" s="433"/>
      <c r="CH52" s="433"/>
      <c r="CI52" s="433"/>
      <c r="CJ52" s="433"/>
      <c r="CK52" s="433"/>
      <c r="CL52" s="433"/>
      <c r="CM52" s="433"/>
      <c r="CN52" s="433"/>
      <c r="CO52" s="433"/>
      <c r="CP52" s="433"/>
      <c r="CQ52" s="433"/>
      <c r="CR52" s="433"/>
      <c r="CS52" s="433"/>
      <c r="CT52" s="433"/>
      <c r="CU52" s="433"/>
      <c r="CV52" s="433"/>
      <c r="CW52" s="433"/>
      <c r="CX52" s="433"/>
      <c r="CY52" s="433"/>
      <c r="CZ52" s="399" t="str">
        <f t="shared" si="8"/>
        <v/>
      </c>
      <c r="DA52" s="399" t="str">
        <f t="shared" si="9"/>
        <v/>
      </c>
      <c r="DB52" s="399" t="str">
        <f t="shared" si="10"/>
        <v/>
      </c>
      <c r="DC52" s="399" t="str">
        <f t="shared" si="11"/>
        <v/>
      </c>
      <c r="DD52" s="399" t="str">
        <f t="shared" si="14"/>
        <v/>
      </c>
      <c r="DE52" s="399" t="str">
        <f t="shared" si="12"/>
        <v/>
      </c>
      <c r="DG52" s="434"/>
      <c r="DH52" s="434"/>
      <c r="DJ52" s="399"/>
    </row>
    <row r="53" spans="8:114" x14ac:dyDescent="0.25">
      <c r="H53" s="416" t="str">
        <f ca="1">IF(IMPORT!C66="","",IMPORT!C66)</f>
        <v/>
      </c>
      <c r="I53" s="416" t="str">
        <f ca="1">IF(IMPORT!D66="","",IMPORT!D66)</f>
        <v/>
      </c>
      <c r="J53" s="416" t="str">
        <f ca="1">IF(IMPORT!E66="","",IMPORT!E66)</f>
        <v/>
      </c>
      <c r="K53" s="416" t="str">
        <f ca="1">IF(IMPORT!F66="","",IMPORT!F66)</f>
        <v/>
      </c>
      <c r="L53" s="416" t="str">
        <f ca="1">IF(IMPORT!G66="","",IMPORT!G66)</f>
        <v/>
      </c>
      <c r="M53" s="416" t="str">
        <f>IF(IMPORT!H66="","",IMPORT!H66)</f>
        <v/>
      </c>
      <c r="N53" s="399" t="str">
        <f t="shared" si="3"/>
        <v/>
      </c>
      <c r="P53" s="406" t="str">
        <f t="shared" si="4"/>
        <v/>
      </c>
      <c r="Q53" s="406" t="str">
        <f t="array" ref="Q53">IFERROR(INDEX($N$1:$N$203,SMALL(IF($N$1:$N$203&lt;&gt;"",ROW($N$1:$N$203)),ROW(51:51))),"")</f>
        <v/>
      </c>
      <c r="R53" s="399" t="str">
        <f t="shared" si="0"/>
        <v/>
      </c>
      <c r="S53" s="399" t="str">
        <f t="shared" si="5"/>
        <v/>
      </c>
      <c r="T53" s="399" t="str">
        <f t="shared" si="6"/>
        <v/>
      </c>
      <c r="U53" s="419" t="str">
        <f t="shared" si="13"/>
        <v/>
      </c>
      <c r="V53" s="433" t="b">
        <v>0</v>
      </c>
      <c r="W53" s="464"/>
      <c r="X53" s="433"/>
      <c r="Y53" s="433" t="s">
        <v>92</v>
      </c>
      <c r="Z53" s="433"/>
      <c r="AA53" s="433"/>
      <c r="AB53" s="433"/>
      <c r="AC53" s="433" t="s">
        <v>1401</v>
      </c>
      <c r="AD53" s="433"/>
      <c r="AE53" s="433" t="s">
        <v>111</v>
      </c>
      <c r="AF53" s="433" t="s">
        <v>299</v>
      </c>
      <c r="AG53" s="433"/>
      <c r="AH53" s="433"/>
      <c r="AI53" s="433"/>
      <c r="AJ53" s="433"/>
      <c r="AK53" s="433"/>
      <c r="AL53" s="433"/>
      <c r="AM53" s="433"/>
      <c r="AN53" s="433"/>
      <c r="AO53" s="433"/>
      <c r="AP53" s="433"/>
      <c r="AQ53" s="433"/>
      <c r="AR53" s="433"/>
      <c r="AS53" s="433" t="b">
        <v>0</v>
      </c>
      <c r="AT53" s="433"/>
      <c r="AU53" s="433"/>
      <c r="AV53" s="433"/>
      <c r="AW53" s="433"/>
      <c r="AX53" s="433"/>
      <c r="AY53" s="433"/>
      <c r="AZ53" s="433"/>
      <c r="BA53" s="433"/>
      <c r="BB53" s="433"/>
      <c r="BC53" s="433"/>
      <c r="BD53" s="433"/>
      <c r="BE53" s="433"/>
      <c r="BF53" s="433"/>
      <c r="BG53" s="433"/>
      <c r="BH53" s="433"/>
      <c r="BI53" s="433"/>
      <c r="BJ53" s="433"/>
      <c r="BK53" s="433"/>
      <c r="BL53" s="433"/>
      <c r="BM53" s="433"/>
      <c r="BN53" s="433"/>
      <c r="BO53" s="433"/>
      <c r="BP53" s="433"/>
      <c r="BQ53" s="433"/>
      <c r="BR53" s="433"/>
      <c r="BS53" s="433"/>
      <c r="BT53" s="433"/>
      <c r="BU53" s="399" t="str">
        <f t="shared" si="7"/>
        <v/>
      </c>
      <c r="BV53" s="433"/>
      <c r="BW53" s="433"/>
      <c r="BX53" s="433"/>
      <c r="BY53" s="433"/>
      <c r="BZ53" s="433"/>
      <c r="CA53" s="433"/>
      <c r="CB53" s="433"/>
      <c r="CC53" s="433"/>
      <c r="CD53" s="433"/>
      <c r="CE53" s="433"/>
      <c r="CF53" s="433"/>
      <c r="CG53" s="433"/>
      <c r="CH53" s="433"/>
      <c r="CI53" s="433"/>
      <c r="CJ53" s="433"/>
      <c r="CK53" s="433"/>
      <c r="CL53" s="433"/>
      <c r="CM53" s="433"/>
      <c r="CN53" s="433"/>
      <c r="CO53" s="433"/>
      <c r="CP53" s="433"/>
      <c r="CQ53" s="433"/>
      <c r="CR53" s="433"/>
      <c r="CS53" s="433"/>
      <c r="CT53" s="433"/>
      <c r="CU53" s="433"/>
      <c r="CV53" s="433"/>
      <c r="CW53" s="433"/>
      <c r="CX53" s="433"/>
      <c r="CY53" s="433"/>
      <c r="CZ53" s="399" t="str">
        <f t="shared" si="8"/>
        <v/>
      </c>
      <c r="DA53" s="399" t="str">
        <f t="shared" si="9"/>
        <v/>
      </c>
      <c r="DB53" s="399" t="str">
        <f t="shared" si="10"/>
        <v/>
      </c>
      <c r="DC53" s="399" t="str">
        <f t="shared" si="11"/>
        <v/>
      </c>
      <c r="DD53" s="399" t="str">
        <f t="shared" si="14"/>
        <v/>
      </c>
      <c r="DE53" s="399" t="str">
        <f t="shared" si="12"/>
        <v/>
      </c>
      <c r="DG53" s="434"/>
      <c r="DH53" s="434"/>
      <c r="DJ53" s="399"/>
    </row>
    <row r="54" spans="8:114" x14ac:dyDescent="0.25">
      <c r="H54" s="416" t="str">
        <f ca="1">IF(IMPORT!C67="","",IMPORT!C67)</f>
        <v/>
      </c>
      <c r="I54" s="416" t="str">
        <f ca="1">IF(IMPORT!D67="","",IMPORT!D67)</f>
        <v/>
      </c>
      <c r="J54" s="416" t="str">
        <f ca="1">IF(IMPORT!E67="","",IMPORT!E67)</f>
        <v/>
      </c>
      <c r="K54" s="416" t="str">
        <f ca="1">IF(IMPORT!F67="","",IMPORT!F67)</f>
        <v/>
      </c>
      <c r="L54" s="416" t="str">
        <f ca="1">IF(IMPORT!G67="","",IMPORT!G67)</f>
        <v/>
      </c>
      <c r="M54" s="416" t="str">
        <f>IF(IMPORT!H67="","",IMPORT!H67)</f>
        <v/>
      </c>
      <c r="N54" s="399" t="str">
        <f t="shared" si="3"/>
        <v/>
      </c>
      <c r="P54" s="406" t="str">
        <f t="shared" si="4"/>
        <v/>
      </c>
      <c r="Q54" s="406" t="str">
        <f t="array" ref="Q54">IFERROR(INDEX($N$1:$N$203,SMALL(IF($N$1:$N$203&lt;&gt;"",ROW($N$1:$N$203)),ROW(52:52))),"")</f>
        <v/>
      </c>
      <c r="R54" s="399" t="str">
        <f t="shared" si="0"/>
        <v/>
      </c>
      <c r="S54" s="399" t="str">
        <f t="shared" si="5"/>
        <v/>
      </c>
      <c r="T54" s="399" t="str">
        <f t="shared" si="6"/>
        <v/>
      </c>
      <c r="U54" s="419" t="str">
        <f t="shared" si="13"/>
        <v/>
      </c>
      <c r="V54" s="433" t="b">
        <v>0</v>
      </c>
      <c r="W54" s="464"/>
      <c r="X54" s="433"/>
      <c r="Y54" s="433" t="s">
        <v>92</v>
      </c>
      <c r="Z54" s="433"/>
      <c r="AA54" s="433"/>
      <c r="AB54" s="433"/>
      <c r="AC54" s="433" t="s">
        <v>1401</v>
      </c>
      <c r="AD54" s="433"/>
      <c r="AE54" s="433" t="s">
        <v>111</v>
      </c>
      <c r="AF54" s="433" t="s">
        <v>299</v>
      </c>
      <c r="AG54" s="433"/>
      <c r="AH54" s="433"/>
      <c r="AI54" s="433"/>
      <c r="AJ54" s="433"/>
      <c r="AK54" s="433"/>
      <c r="AL54" s="433"/>
      <c r="AM54" s="433"/>
      <c r="AN54" s="433"/>
      <c r="AO54" s="433"/>
      <c r="AP54" s="433"/>
      <c r="AQ54" s="433"/>
      <c r="AR54" s="433"/>
      <c r="AS54" s="433" t="b">
        <v>0</v>
      </c>
      <c r="AT54" s="433"/>
      <c r="AU54" s="433"/>
      <c r="AV54" s="433"/>
      <c r="AW54" s="433"/>
      <c r="AX54" s="433"/>
      <c r="AY54" s="433"/>
      <c r="AZ54" s="433"/>
      <c r="BA54" s="433"/>
      <c r="BB54" s="433"/>
      <c r="BC54" s="433"/>
      <c r="BD54" s="433"/>
      <c r="BE54" s="433"/>
      <c r="BF54" s="433"/>
      <c r="BG54" s="433"/>
      <c r="BH54" s="433"/>
      <c r="BI54" s="433"/>
      <c r="BJ54" s="433"/>
      <c r="BK54" s="433"/>
      <c r="BL54" s="433"/>
      <c r="BM54" s="433"/>
      <c r="BN54" s="433"/>
      <c r="BO54" s="433"/>
      <c r="BP54" s="433"/>
      <c r="BQ54" s="433"/>
      <c r="BR54" s="433"/>
      <c r="BS54" s="433"/>
      <c r="BT54" s="433"/>
      <c r="BU54" s="399" t="str">
        <f t="shared" si="7"/>
        <v/>
      </c>
      <c r="BV54" s="433"/>
      <c r="BW54" s="433"/>
      <c r="BX54" s="433"/>
      <c r="BY54" s="433"/>
      <c r="BZ54" s="433"/>
      <c r="CA54" s="433"/>
      <c r="CB54" s="433"/>
      <c r="CC54" s="433"/>
      <c r="CD54" s="433"/>
      <c r="CE54" s="433"/>
      <c r="CF54" s="433"/>
      <c r="CG54" s="433"/>
      <c r="CH54" s="433"/>
      <c r="CI54" s="433"/>
      <c r="CJ54" s="433"/>
      <c r="CK54" s="433"/>
      <c r="CL54" s="433"/>
      <c r="CM54" s="433"/>
      <c r="CN54" s="433"/>
      <c r="CO54" s="433"/>
      <c r="CP54" s="433"/>
      <c r="CQ54" s="433"/>
      <c r="CR54" s="433"/>
      <c r="CS54" s="433"/>
      <c r="CT54" s="433"/>
      <c r="CU54" s="433"/>
      <c r="CV54" s="433"/>
      <c r="CW54" s="433"/>
      <c r="CX54" s="433"/>
      <c r="CY54" s="433"/>
      <c r="CZ54" s="399" t="str">
        <f t="shared" si="8"/>
        <v/>
      </c>
      <c r="DA54" s="399" t="str">
        <f t="shared" si="9"/>
        <v/>
      </c>
      <c r="DB54" s="399" t="str">
        <f t="shared" si="10"/>
        <v/>
      </c>
      <c r="DC54" s="399" t="str">
        <f t="shared" si="11"/>
        <v/>
      </c>
      <c r="DD54" s="399" t="str">
        <f t="shared" si="14"/>
        <v/>
      </c>
      <c r="DE54" s="399" t="str">
        <f t="shared" si="12"/>
        <v/>
      </c>
      <c r="DG54" s="434"/>
      <c r="DH54" s="434"/>
      <c r="DJ54" s="399"/>
    </row>
    <row r="55" spans="8:114" x14ac:dyDescent="0.25">
      <c r="H55" s="416" t="str">
        <f ca="1">IF(IMPORT!C68="","",IMPORT!C68)</f>
        <v/>
      </c>
      <c r="I55" s="416" t="str">
        <f ca="1">IF(IMPORT!D68="","",IMPORT!D68)</f>
        <v/>
      </c>
      <c r="J55" s="416" t="str">
        <f ca="1">IF(IMPORT!E68="","",IMPORT!E68)</f>
        <v/>
      </c>
      <c r="K55" s="416" t="str">
        <f ca="1">IF(IMPORT!F68="","",IMPORT!F68)</f>
        <v/>
      </c>
      <c r="L55" s="416" t="str">
        <f ca="1">IF(IMPORT!G68="","",IMPORT!G68)</f>
        <v/>
      </c>
      <c r="M55" s="416" t="str">
        <f>IF(IMPORT!H68="","",IMPORT!H68)</f>
        <v/>
      </c>
      <c r="N55" s="399" t="str">
        <f t="shared" si="3"/>
        <v/>
      </c>
      <c r="P55" s="406" t="str">
        <f t="shared" si="4"/>
        <v/>
      </c>
      <c r="Q55" s="406" t="str">
        <f t="array" ref="Q55">IFERROR(INDEX($N$1:$N$203,SMALL(IF($N$1:$N$203&lt;&gt;"",ROW($N$1:$N$203)),ROW(53:53))),"")</f>
        <v/>
      </c>
      <c r="R55" s="399" t="str">
        <f t="shared" si="0"/>
        <v/>
      </c>
      <c r="S55" s="399" t="str">
        <f t="shared" si="5"/>
        <v/>
      </c>
      <c r="T55" s="399" t="str">
        <f t="shared" si="6"/>
        <v/>
      </c>
      <c r="U55" s="419" t="str">
        <f t="shared" si="13"/>
        <v/>
      </c>
      <c r="V55" s="433" t="b">
        <v>0</v>
      </c>
      <c r="W55" s="464"/>
      <c r="X55" s="433"/>
      <c r="Y55" s="433" t="s">
        <v>92</v>
      </c>
      <c r="Z55" s="433"/>
      <c r="AA55" s="433"/>
      <c r="AB55" s="433"/>
      <c r="AC55" s="433" t="s">
        <v>1401</v>
      </c>
      <c r="AD55" s="433"/>
      <c r="AE55" s="433" t="s">
        <v>111</v>
      </c>
      <c r="AF55" s="433" t="s">
        <v>299</v>
      </c>
      <c r="AG55" s="433"/>
      <c r="AH55" s="433"/>
      <c r="AI55" s="433"/>
      <c r="AJ55" s="433"/>
      <c r="AK55" s="433"/>
      <c r="AL55" s="433"/>
      <c r="AM55" s="433"/>
      <c r="AN55" s="433"/>
      <c r="AO55" s="433"/>
      <c r="AP55" s="433"/>
      <c r="AQ55" s="433"/>
      <c r="AR55" s="433"/>
      <c r="AS55" s="433" t="b">
        <v>0</v>
      </c>
      <c r="AT55" s="433"/>
      <c r="AU55" s="433"/>
      <c r="AV55" s="433"/>
      <c r="AW55" s="433"/>
      <c r="AX55" s="433"/>
      <c r="AY55" s="433"/>
      <c r="AZ55" s="433"/>
      <c r="BA55" s="433"/>
      <c r="BB55" s="433"/>
      <c r="BC55" s="433"/>
      <c r="BD55" s="433"/>
      <c r="BE55" s="433"/>
      <c r="BF55" s="433"/>
      <c r="BG55" s="433"/>
      <c r="BH55" s="433"/>
      <c r="BI55" s="433"/>
      <c r="BJ55" s="433"/>
      <c r="BK55" s="433"/>
      <c r="BL55" s="433"/>
      <c r="BM55" s="433"/>
      <c r="BN55" s="433"/>
      <c r="BO55" s="433"/>
      <c r="BP55" s="433"/>
      <c r="BQ55" s="433"/>
      <c r="BR55" s="433"/>
      <c r="BS55" s="433"/>
      <c r="BT55" s="433"/>
      <c r="BU55" s="399" t="str">
        <f t="shared" si="7"/>
        <v/>
      </c>
      <c r="BV55" s="433"/>
      <c r="BW55" s="433"/>
      <c r="BX55" s="433"/>
      <c r="BY55" s="433"/>
      <c r="BZ55" s="433"/>
      <c r="CA55" s="433"/>
      <c r="CB55" s="433"/>
      <c r="CC55" s="433"/>
      <c r="CD55" s="433"/>
      <c r="CE55" s="433"/>
      <c r="CF55" s="433"/>
      <c r="CG55" s="433"/>
      <c r="CH55" s="433"/>
      <c r="CI55" s="433"/>
      <c r="CJ55" s="433"/>
      <c r="CK55" s="433"/>
      <c r="CL55" s="433"/>
      <c r="CM55" s="433"/>
      <c r="CN55" s="433"/>
      <c r="CO55" s="433"/>
      <c r="CP55" s="433"/>
      <c r="CQ55" s="433"/>
      <c r="CR55" s="433"/>
      <c r="CS55" s="433"/>
      <c r="CT55" s="433"/>
      <c r="CU55" s="433"/>
      <c r="CV55" s="433"/>
      <c r="CW55" s="433"/>
      <c r="CX55" s="433"/>
      <c r="CY55" s="433"/>
      <c r="CZ55" s="399" t="str">
        <f t="shared" si="8"/>
        <v/>
      </c>
      <c r="DA55" s="399" t="str">
        <f t="shared" si="9"/>
        <v/>
      </c>
      <c r="DB55" s="399" t="str">
        <f t="shared" si="10"/>
        <v/>
      </c>
      <c r="DC55" s="399" t="str">
        <f t="shared" si="11"/>
        <v/>
      </c>
      <c r="DD55" s="399" t="str">
        <f t="shared" si="14"/>
        <v/>
      </c>
      <c r="DE55" s="399" t="str">
        <f t="shared" si="12"/>
        <v/>
      </c>
      <c r="DG55" s="434"/>
      <c r="DH55" s="434"/>
      <c r="DJ55" s="399"/>
    </row>
    <row r="56" spans="8:114" x14ac:dyDescent="0.25">
      <c r="H56" s="416" t="str">
        <f ca="1">IF(IMPORT!C69="","",IMPORT!C69)</f>
        <v/>
      </c>
      <c r="I56" s="416" t="str">
        <f ca="1">IF(IMPORT!D69="","",IMPORT!D69)</f>
        <v/>
      </c>
      <c r="J56" s="416" t="str">
        <f ca="1">IF(IMPORT!E69="","",IMPORT!E69)</f>
        <v/>
      </c>
      <c r="K56" s="416" t="str">
        <f ca="1">IF(IMPORT!F69="","",IMPORT!F69)</f>
        <v/>
      </c>
      <c r="L56" s="416" t="str">
        <f ca="1">IF(IMPORT!G69="","",IMPORT!G69)</f>
        <v/>
      </c>
      <c r="M56" s="416" t="str">
        <f>IF(IMPORT!H69="","",IMPORT!H69)</f>
        <v/>
      </c>
      <c r="N56" s="399" t="str">
        <f t="shared" si="3"/>
        <v/>
      </c>
      <c r="P56" s="406" t="str">
        <f t="shared" si="4"/>
        <v/>
      </c>
      <c r="Q56" s="406" t="str">
        <f t="array" ref="Q56">IFERROR(INDEX($N$1:$N$203,SMALL(IF($N$1:$N$203&lt;&gt;"",ROW($N$1:$N$203)),ROW(54:54))),"")</f>
        <v/>
      </c>
      <c r="R56" s="399" t="str">
        <f t="shared" si="0"/>
        <v/>
      </c>
      <c r="S56" s="399" t="str">
        <f t="shared" si="5"/>
        <v/>
      </c>
      <c r="T56" s="399" t="str">
        <f t="shared" si="6"/>
        <v/>
      </c>
      <c r="U56" s="419" t="str">
        <f t="shared" si="13"/>
        <v/>
      </c>
      <c r="V56" s="433" t="b">
        <v>0</v>
      </c>
      <c r="W56" s="464"/>
      <c r="X56" s="433"/>
      <c r="Y56" s="433" t="s">
        <v>92</v>
      </c>
      <c r="Z56" s="433"/>
      <c r="AA56" s="433"/>
      <c r="AB56" s="433"/>
      <c r="AC56" s="433" t="s">
        <v>1401</v>
      </c>
      <c r="AD56" s="433"/>
      <c r="AE56" s="433" t="s">
        <v>111</v>
      </c>
      <c r="AF56" s="433" t="s">
        <v>299</v>
      </c>
      <c r="AG56" s="433"/>
      <c r="AH56" s="433"/>
      <c r="AI56" s="433"/>
      <c r="AJ56" s="433"/>
      <c r="AK56" s="433"/>
      <c r="AL56" s="433"/>
      <c r="AM56" s="433"/>
      <c r="AN56" s="433"/>
      <c r="AO56" s="433"/>
      <c r="AP56" s="433"/>
      <c r="AQ56" s="433"/>
      <c r="AR56" s="433"/>
      <c r="AS56" s="433" t="b">
        <v>0</v>
      </c>
      <c r="AT56" s="433"/>
      <c r="AU56" s="433"/>
      <c r="AV56" s="433"/>
      <c r="AW56" s="433"/>
      <c r="AX56" s="433"/>
      <c r="AY56" s="433"/>
      <c r="AZ56" s="433"/>
      <c r="BA56" s="433"/>
      <c r="BB56" s="433"/>
      <c r="BC56" s="433"/>
      <c r="BD56" s="433"/>
      <c r="BE56" s="433"/>
      <c r="BF56" s="433"/>
      <c r="BG56" s="433"/>
      <c r="BH56" s="433"/>
      <c r="BI56" s="433"/>
      <c r="BJ56" s="433"/>
      <c r="BK56" s="433"/>
      <c r="BL56" s="433"/>
      <c r="BM56" s="433"/>
      <c r="BN56" s="433"/>
      <c r="BO56" s="433"/>
      <c r="BP56" s="433"/>
      <c r="BQ56" s="433"/>
      <c r="BR56" s="433"/>
      <c r="BS56" s="433"/>
      <c r="BT56" s="433"/>
      <c r="BU56" s="399" t="str">
        <f t="shared" si="7"/>
        <v/>
      </c>
      <c r="BV56" s="433"/>
      <c r="BW56" s="433"/>
      <c r="BX56" s="433"/>
      <c r="BY56" s="433"/>
      <c r="BZ56" s="433"/>
      <c r="CA56" s="433"/>
      <c r="CB56" s="433"/>
      <c r="CC56" s="433"/>
      <c r="CD56" s="433"/>
      <c r="CE56" s="433"/>
      <c r="CF56" s="433"/>
      <c r="CG56" s="433"/>
      <c r="CH56" s="433"/>
      <c r="CI56" s="433"/>
      <c r="CJ56" s="433"/>
      <c r="CK56" s="433"/>
      <c r="CL56" s="433"/>
      <c r="CM56" s="433"/>
      <c r="CN56" s="433"/>
      <c r="CO56" s="433"/>
      <c r="CP56" s="433"/>
      <c r="CQ56" s="433"/>
      <c r="CR56" s="433"/>
      <c r="CS56" s="433"/>
      <c r="CT56" s="433"/>
      <c r="CU56" s="433"/>
      <c r="CV56" s="433"/>
      <c r="CW56" s="433"/>
      <c r="CX56" s="433"/>
      <c r="CY56" s="433"/>
      <c r="CZ56" s="399" t="str">
        <f t="shared" si="8"/>
        <v/>
      </c>
      <c r="DA56" s="399" t="str">
        <f t="shared" si="9"/>
        <v/>
      </c>
      <c r="DB56" s="399" t="str">
        <f t="shared" si="10"/>
        <v/>
      </c>
      <c r="DC56" s="399" t="str">
        <f t="shared" si="11"/>
        <v/>
      </c>
      <c r="DD56" s="399" t="str">
        <f t="shared" si="14"/>
        <v/>
      </c>
      <c r="DE56" s="399" t="str">
        <f t="shared" si="12"/>
        <v/>
      </c>
      <c r="DG56" s="434"/>
      <c r="DH56" s="434"/>
      <c r="DJ56" s="399"/>
    </row>
    <row r="57" spans="8:114" x14ac:dyDescent="0.25">
      <c r="H57" s="416" t="str">
        <f ca="1">IF(IMPORT!C70="","",IMPORT!C70)</f>
        <v/>
      </c>
      <c r="I57" s="416" t="str">
        <f ca="1">IF(IMPORT!D70="","",IMPORT!D70)</f>
        <v/>
      </c>
      <c r="J57" s="416" t="str">
        <f ca="1">IF(IMPORT!E70="","",IMPORT!E70)</f>
        <v/>
      </c>
      <c r="K57" s="416" t="str">
        <f ca="1">IF(IMPORT!F70="","",IMPORT!F70)</f>
        <v/>
      </c>
      <c r="L57" s="416" t="str">
        <f ca="1">IF(IMPORT!G70="","",IMPORT!G70)</f>
        <v/>
      </c>
      <c r="M57" s="416" t="str">
        <f>IF(IMPORT!H70="","",IMPORT!H70)</f>
        <v/>
      </c>
      <c r="N57" s="399" t="str">
        <f t="shared" si="3"/>
        <v/>
      </c>
      <c r="P57" s="406" t="str">
        <f t="shared" si="4"/>
        <v/>
      </c>
      <c r="Q57" s="406" t="str">
        <f t="array" ref="Q57">IFERROR(INDEX($N$1:$N$203,SMALL(IF($N$1:$N$203&lt;&gt;"",ROW($N$1:$N$203)),ROW(55:55))),"")</f>
        <v/>
      </c>
      <c r="R57" s="399" t="str">
        <f t="shared" si="0"/>
        <v/>
      </c>
      <c r="S57" s="399" t="str">
        <f t="shared" si="5"/>
        <v/>
      </c>
      <c r="T57" s="399" t="str">
        <f t="shared" si="6"/>
        <v/>
      </c>
      <c r="U57" s="419" t="str">
        <f t="shared" si="13"/>
        <v/>
      </c>
      <c r="V57" s="433" t="b">
        <v>0</v>
      </c>
      <c r="W57" s="464"/>
      <c r="X57" s="433"/>
      <c r="Y57" s="433" t="s">
        <v>92</v>
      </c>
      <c r="Z57" s="433"/>
      <c r="AA57" s="433"/>
      <c r="AB57" s="433"/>
      <c r="AC57" s="433" t="s">
        <v>1401</v>
      </c>
      <c r="AD57" s="433"/>
      <c r="AE57" s="433" t="s">
        <v>111</v>
      </c>
      <c r="AF57" s="433" t="s">
        <v>299</v>
      </c>
      <c r="AG57" s="433"/>
      <c r="AH57" s="433"/>
      <c r="AI57" s="433"/>
      <c r="AJ57" s="433"/>
      <c r="AK57" s="433"/>
      <c r="AL57" s="433"/>
      <c r="AM57" s="433"/>
      <c r="AN57" s="433"/>
      <c r="AO57" s="433"/>
      <c r="AP57" s="433"/>
      <c r="AQ57" s="433"/>
      <c r="AR57" s="433"/>
      <c r="AS57" s="433" t="b">
        <v>0</v>
      </c>
      <c r="AT57" s="433"/>
      <c r="AU57" s="433"/>
      <c r="AV57" s="433"/>
      <c r="AW57" s="433"/>
      <c r="AX57" s="433"/>
      <c r="AY57" s="433"/>
      <c r="AZ57" s="433"/>
      <c r="BA57" s="433"/>
      <c r="BB57" s="433"/>
      <c r="BC57" s="433"/>
      <c r="BD57" s="433"/>
      <c r="BE57" s="433"/>
      <c r="BF57" s="433"/>
      <c r="BG57" s="433"/>
      <c r="BH57" s="433"/>
      <c r="BI57" s="433"/>
      <c r="BJ57" s="433"/>
      <c r="BK57" s="433"/>
      <c r="BL57" s="433"/>
      <c r="BM57" s="433"/>
      <c r="BN57" s="433"/>
      <c r="BO57" s="433"/>
      <c r="BP57" s="433"/>
      <c r="BQ57" s="433"/>
      <c r="BR57" s="433"/>
      <c r="BS57" s="433"/>
      <c r="BT57" s="433"/>
      <c r="BU57" s="399" t="str">
        <f t="shared" si="7"/>
        <v/>
      </c>
      <c r="BV57" s="433"/>
      <c r="BW57" s="433"/>
      <c r="BX57" s="433"/>
      <c r="BY57" s="433"/>
      <c r="BZ57" s="433"/>
      <c r="CA57" s="433"/>
      <c r="CB57" s="433"/>
      <c r="CC57" s="433"/>
      <c r="CD57" s="433"/>
      <c r="CE57" s="433"/>
      <c r="CF57" s="433"/>
      <c r="CG57" s="433"/>
      <c r="CH57" s="433"/>
      <c r="CI57" s="433"/>
      <c r="CJ57" s="433"/>
      <c r="CK57" s="433"/>
      <c r="CL57" s="433"/>
      <c r="CM57" s="433"/>
      <c r="CN57" s="433"/>
      <c r="CO57" s="433"/>
      <c r="CP57" s="433"/>
      <c r="CQ57" s="433"/>
      <c r="CR57" s="433"/>
      <c r="CS57" s="433"/>
      <c r="CT57" s="433"/>
      <c r="CU57" s="433"/>
      <c r="CV57" s="433"/>
      <c r="CW57" s="433"/>
      <c r="CX57" s="433"/>
      <c r="CY57" s="433"/>
      <c r="CZ57" s="399" t="str">
        <f t="shared" si="8"/>
        <v/>
      </c>
      <c r="DA57" s="399" t="str">
        <f t="shared" si="9"/>
        <v/>
      </c>
      <c r="DB57" s="399" t="str">
        <f t="shared" si="10"/>
        <v/>
      </c>
      <c r="DC57" s="399" t="str">
        <f t="shared" si="11"/>
        <v/>
      </c>
      <c r="DD57" s="399" t="str">
        <f t="shared" si="14"/>
        <v/>
      </c>
      <c r="DE57" s="399" t="str">
        <f t="shared" si="12"/>
        <v/>
      </c>
      <c r="DG57" s="434"/>
      <c r="DH57" s="434"/>
      <c r="DJ57" s="399"/>
    </row>
    <row r="58" spans="8:114" x14ac:dyDescent="0.25">
      <c r="H58" s="416" t="str">
        <f ca="1">IF(IMPORT!C71="","",IMPORT!C71)</f>
        <v/>
      </c>
      <c r="I58" s="416" t="str">
        <f ca="1">IF(IMPORT!D71="","",IMPORT!D71)</f>
        <v/>
      </c>
      <c r="J58" s="416" t="str">
        <f ca="1">IF(IMPORT!E71="","",IMPORT!E71)</f>
        <v/>
      </c>
      <c r="K58" s="416" t="str">
        <f ca="1">IF(IMPORT!F71="","",IMPORT!F71)</f>
        <v/>
      </c>
      <c r="L58" s="416" t="str">
        <f ca="1">IF(IMPORT!G71="","",IMPORT!G71)</f>
        <v/>
      </c>
      <c r="M58" s="416" t="str">
        <f>IF(IMPORT!H71="","",IMPORT!H71)</f>
        <v/>
      </c>
      <c r="N58" s="399" t="str">
        <f t="shared" si="3"/>
        <v/>
      </c>
      <c r="P58" s="406" t="str">
        <f t="shared" si="4"/>
        <v/>
      </c>
      <c r="Q58" s="406" t="str">
        <f t="array" ref="Q58">IFERROR(INDEX($N$1:$N$203,SMALL(IF($N$1:$N$203&lt;&gt;"",ROW($N$1:$N$203)),ROW(56:56))),"")</f>
        <v/>
      </c>
      <c r="R58" s="399" t="str">
        <f t="shared" si="0"/>
        <v/>
      </c>
      <c r="S58" s="399" t="str">
        <f t="shared" si="5"/>
        <v/>
      </c>
      <c r="T58" s="399" t="str">
        <f t="shared" si="6"/>
        <v/>
      </c>
      <c r="U58" s="419" t="str">
        <f t="shared" si="13"/>
        <v/>
      </c>
      <c r="V58" s="433" t="b">
        <v>0</v>
      </c>
      <c r="W58" s="464"/>
      <c r="X58" s="433"/>
      <c r="Y58" s="433" t="s">
        <v>92</v>
      </c>
      <c r="Z58" s="433"/>
      <c r="AA58" s="433"/>
      <c r="AB58" s="433"/>
      <c r="AC58" s="433" t="s">
        <v>1401</v>
      </c>
      <c r="AD58" s="433"/>
      <c r="AE58" s="433" t="s">
        <v>111</v>
      </c>
      <c r="AF58" s="433" t="s">
        <v>299</v>
      </c>
      <c r="AG58" s="433"/>
      <c r="AH58" s="433"/>
      <c r="AI58" s="433"/>
      <c r="AJ58" s="433"/>
      <c r="AK58" s="433"/>
      <c r="AL58" s="433"/>
      <c r="AM58" s="433"/>
      <c r="AN58" s="433"/>
      <c r="AO58" s="433"/>
      <c r="AP58" s="433"/>
      <c r="AQ58" s="433"/>
      <c r="AR58" s="433"/>
      <c r="AS58" s="433" t="b">
        <v>0</v>
      </c>
      <c r="AT58" s="433"/>
      <c r="AU58" s="433"/>
      <c r="AV58" s="433"/>
      <c r="AW58" s="433"/>
      <c r="AX58" s="433"/>
      <c r="AY58" s="433"/>
      <c r="AZ58" s="433"/>
      <c r="BA58" s="433"/>
      <c r="BB58" s="433"/>
      <c r="BC58" s="433"/>
      <c r="BD58" s="433"/>
      <c r="BE58" s="433"/>
      <c r="BF58" s="433"/>
      <c r="BG58" s="433"/>
      <c r="BH58" s="433"/>
      <c r="BI58" s="433"/>
      <c r="BJ58" s="433"/>
      <c r="BK58" s="433"/>
      <c r="BL58" s="433"/>
      <c r="BM58" s="433"/>
      <c r="BN58" s="433"/>
      <c r="BO58" s="433"/>
      <c r="BP58" s="433"/>
      <c r="BQ58" s="433"/>
      <c r="BR58" s="433"/>
      <c r="BS58" s="433"/>
      <c r="BT58" s="433"/>
      <c r="BU58" s="399" t="str">
        <f t="shared" si="7"/>
        <v/>
      </c>
      <c r="BV58" s="433"/>
      <c r="BW58" s="433"/>
      <c r="BX58" s="433"/>
      <c r="BY58" s="433"/>
      <c r="BZ58" s="433"/>
      <c r="CA58" s="433"/>
      <c r="CB58" s="433"/>
      <c r="CC58" s="433"/>
      <c r="CD58" s="433"/>
      <c r="CE58" s="433"/>
      <c r="CF58" s="433"/>
      <c r="CG58" s="433"/>
      <c r="CH58" s="433"/>
      <c r="CI58" s="433"/>
      <c r="CJ58" s="433"/>
      <c r="CK58" s="433"/>
      <c r="CL58" s="433"/>
      <c r="CM58" s="433"/>
      <c r="CN58" s="433"/>
      <c r="CO58" s="433"/>
      <c r="CP58" s="433"/>
      <c r="CQ58" s="433"/>
      <c r="CR58" s="433"/>
      <c r="CS58" s="433"/>
      <c r="CT58" s="433"/>
      <c r="CU58" s="433"/>
      <c r="CV58" s="433"/>
      <c r="CW58" s="433"/>
      <c r="CX58" s="433"/>
      <c r="CY58" s="433"/>
      <c r="CZ58" s="399" t="str">
        <f t="shared" si="8"/>
        <v/>
      </c>
      <c r="DA58" s="399" t="str">
        <f t="shared" si="9"/>
        <v/>
      </c>
      <c r="DB58" s="399" t="str">
        <f t="shared" si="10"/>
        <v/>
      </c>
      <c r="DC58" s="399" t="str">
        <f t="shared" si="11"/>
        <v/>
      </c>
      <c r="DD58" s="399" t="str">
        <f t="shared" si="14"/>
        <v/>
      </c>
      <c r="DE58" s="399" t="str">
        <f t="shared" si="12"/>
        <v/>
      </c>
      <c r="DG58" s="434"/>
      <c r="DH58" s="434"/>
      <c r="DJ58" s="399"/>
    </row>
    <row r="59" spans="8:114" x14ac:dyDescent="0.25">
      <c r="H59" s="416" t="str">
        <f ca="1">IF(IMPORT!C72="","",IMPORT!C72)</f>
        <v/>
      </c>
      <c r="I59" s="416" t="str">
        <f ca="1">IF(IMPORT!D72="","",IMPORT!D72)</f>
        <v/>
      </c>
      <c r="J59" s="416" t="str">
        <f ca="1">IF(IMPORT!E72="","",IMPORT!E72)</f>
        <v/>
      </c>
      <c r="K59" s="416" t="str">
        <f ca="1">IF(IMPORT!F72="","",IMPORT!F72)</f>
        <v/>
      </c>
      <c r="L59" s="416" t="str">
        <f ca="1">IF(IMPORT!G72="","",IMPORT!G72)</f>
        <v/>
      </c>
      <c r="M59" s="416" t="str">
        <f>IF(IMPORT!H72="","",IMPORT!H72)</f>
        <v/>
      </c>
      <c r="N59" s="399" t="str">
        <f t="shared" si="3"/>
        <v/>
      </c>
      <c r="P59" s="406" t="str">
        <f t="shared" si="4"/>
        <v/>
      </c>
      <c r="Q59" s="406" t="str">
        <f t="array" ref="Q59">IFERROR(INDEX($N$1:$N$203,SMALL(IF($N$1:$N$203&lt;&gt;"",ROW($N$1:$N$203)),ROW(57:57))),"")</f>
        <v/>
      </c>
      <c r="R59" s="399" t="str">
        <f t="shared" si="0"/>
        <v/>
      </c>
      <c r="S59" s="399" t="str">
        <f t="shared" si="5"/>
        <v/>
      </c>
      <c r="T59" s="399" t="str">
        <f t="shared" si="6"/>
        <v/>
      </c>
      <c r="U59" s="419" t="str">
        <f t="shared" si="13"/>
        <v/>
      </c>
      <c r="V59" s="433" t="b">
        <v>0</v>
      </c>
      <c r="W59" s="464"/>
      <c r="X59" s="433"/>
      <c r="Y59" s="433" t="s">
        <v>92</v>
      </c>
      <c r="Z59" s="433"/>
      <c r="AA59" s="433"/>
      <c r="AB59" s="433"/>
      <c r="AC59" s="433" t="s">
        <v>1401</v>
      </c>
      <c r="AD59" s="433"/>
      <c r="AE59" s="433" t="s">
        <v>111</v>
      </c>
      <c r="AF59" s="433" t="s">
        <v>299</v>
      </c>
      <c r="AG59" s="433"/>
      <c r="AH59" s="433"/>
      <c r="AI59" s="433"/>
      <c r="AJ59" s="433"/>
      <c r="AK59" s="433"/>
      <c r="AL59" s="433"/>
      <c r="AM59" s="433"/>
      <c r="AN59" s="433"/>
      <c r="AO59" s="433"/>
      <c r="AP59" s="433"/>
      <c r="AQ59" s="433"/>
      <c r="AR59" s="433"/>
      <c r="AS59" s="433" t="b">
        <v>0</v>
      </c>
      <c r="AT59" s="433"/>
      <c r="AU59" s="433"/>
      <c r="AV59" s="433"/>
      <c r="AW59" s="433"/>
      <c r="AX59" s="433"/>
      <c r="AY59" s="433"/>
      <c r="AZ59" s="433"/>
      <c r="BA59" s="433"/>
      <c r="BB59" s="433"/>
      <c r="BC59" s="433"/>
      <c r="BD59" s="433"/>
      <c r="BE59" s="433"/>
      <c r="BF59" s="433"/>
      <c r="BG59" s="433"/>
      <c r="BH59" s="433"/>
      <c r="BI59" s="433"/>
      <c r="BJ59" s="433"/>
      <c r="BK59" s="433"/>
      <c r="BL59" s="433"/>
      <c r="BM59" s="433"/>
      <c r="BN59" s="433"/>
      <c r="BO59" s="433"/>
      <c r="BP59" s="433"/>
      <c r="BQ59" s="433"/>
      <c r="BR59" s="433"/>
      <c r="BS59" s="433"/>
      <c r="BT59" s="433"/>
      <c r="BU59" s="399" t="str">
        <f t="shared" si="7"/>
        <v/>
      </c>
      <c r="BV59" s="433"/>
      <c r="BW59" s="433"/>
      <c r="BX59" s="433"/>
      <c r="BY59" s="433"/>
      <c r="BZ59" s="433"/>
      <c r="CA59" s="433"/>
      <c r="CB59" s="433"/>
      <c r="CC59" s="433"/>
      <c r="CD59" s="433"/>
      <c r="CE59" s="433"/>
      <c r="CF59" s="433"/>
      <c r="CG59" s="433"/>
      <c r="CH59" s="433"/>
      <c r="CI59" s="433"/>
      <c r="CJ59" s="433"/>
      <c r="CK59" s="433"/>
      <c r="CL59" s="433"/>
      <c r="CM59" s="433"/>
      <c r="CN59" s="433"/>
      <c r="CO59" s="433"/>
      <c r="CP59" s="433"/>
      <c r="CQ59" s="433"/>
      <c r="CR59" s="433"/>
      <c r="CS59" s="433"/>
      <c r="CT59" s="433"/>
      <c r="CU59" s="433"/>
      <c r="CV59" s="433"/>
      <c r="CW59" s="433"/>
      <c r="CX59" s="433"/>
      <c r="CY59" s="433"/>
      <c r="CZ59" s="399" t="str">
        <f t="shared" si="8"/>
        <v/>
      </c>
      <c r="DA59" s="399" t="str">
        <f t="shared" si="9"/>
        <v/>
      </c>
      <c r="DB59" s="399" t="str">
        <f t="shared" si="10"/>
        <v/>
      </c>
      <c r="DC59" s="399" t="str">
        <f t="shared" si="11"/>
        <v/>
      </c>
      <c r="DD59" s="399" t="str">
        <f t="shared" si="14"/>
        <v/>
      </c>
      <c r="DE59" s="399" t="str">
        <f t="shared" si="12"/>
        <v/>
      </c>
      <c r="DG59" s="434"/>
      <c r="DH59" s="434"/>
      <c r="DJ59" s="399"/>
    </row>
    <row r="60" spans="8:114" x14ac:dyDescent="0.25">
      <c r="H60" s="416" t="str">
        <f ca="1">IF(IMPORT!C73="","",IMPORT!C73)</f>
        <v/>
      </c>
      <c r="I60" s="416" t="str">
        <f ca="1">IF(IMPORT!D73="","",IMPORT!D73)</f>
        <v/>
      </c>
      <c r="J60" s="416" t="str">
        <f ca="1">IF(IMPORT!E73="","",IMPORT!E73)</f>
        <v/>
      </c>
      <c r="K60" s="416" t="str">
        <f ca="1">IF(IMPORT!F73="","",IMPORT!F73)</f>
        <v/>
      </c>
      <c r="L60" s="416" t="str">
        <f ca="1">IF(IMPORT!G73="","",IMPORT!G73)</f>
        <v/>
      </c>
      <c r="M60" s="416" t="str">
        <f>IF(IMPORT!H73="","",IMPORT!H73)</f>
        <v/>
      </c>
      <c r="N60" s="399" t="str">
        <f t="shared" si="3"/>
        <v/>
      </c>
      <c r="P60" s="406" t="str">
        <f t="shared" si="4"/>
        <v/>
      </c>
      <c r="Q60" s="406" t="str">
        <f t="array" ref="Q60">IFERROR(INDEX($N$1:$N$203,SMALL(IF($N$1:$N$203&lt;&gt;"",ROW($N$1:$N$203)),ROW(58:58))),"")</f>
        <v/>
      </c>
      <c r="R60" s="399" t="str">
        <f t="shared" si="0"/>
        <v/>
      </c>
      <c r="S60" s="399" t="str">
        <f t="shared" si="5"/>
        <v/>
      </c>
      <c r="T60" s="399" t="str">
        <f t="shared" si="6"/>
        <v/>
      </c>
      <c r="U60" s="419" t="str">
        <f t="shared" si="13"/>
        <v/>
      </c>
      <c r="V60" s="433" t="b">
        <v>0</v>
      </c>
      <c r="W60" s="464"/>
      <c r="X60" s="433"/>
      <c r="Y60" s="433" t="s">
        <v>92</v>
      </c>
      <c r="Z60" s="433"/>
      <c r="AA60" s="433"/>
      <c r="AB60" s="433"/>
      <c r="AC60" s="433" t="s">
        <v>1401</v>
      </c>
      <c r="AD60" s="433"/>
      <c r="AE60" s="433" t="s">
        <v>111</v>
      </c>
      <c r="AF60" s="433" t="s">
        <v>299</v>
      </c>
      <c r="AG60" s="433"/>
      <c r="AH60" s="433"/>
      <c r="AI60" s="433"/>
      <c r="AJ60" s="433"/>
      <c r="AK60" s="433"/>
      <c r="AL60" s="433"/>
      <c r="AM60" s="433"/>
      <c r="AN60" s="433"/>
      <c r="AO60" s="433"/>
      <c r="AP60" s="433"/>
      <c r="AQ60" s="433"/>
      <c r="AR60" s="433"/>
      <c r="AS60" s="433" t="b">
        <v>0</v>
      </c>
      <c r="AT60" s="433"/>
      <c r="AU60" s="433"/>
      <c r="AV60" s="433"/>
      <c r="AW60" s="433"/>
      <c r="AX60" s="433"/>
      <c r="AY60" s="433"/>
      <c r="AZ60" s="433"/>
      <c r="BA60" s="433"/>
      <c r="BB60" s="433"/>
      <c r="BC60" s="433"/>
      <c r="BD60" s="433"/>
      <c r="BE60" s="433"/>
      <c r="BF60" s="433"/>
      <c r="BG60" s="433"/>
      <c r="BH60" s="433"/>
      <c r="BI60" s="433"/>
      <c r="BJ60" s="433"/>
      <c r="BK60" s="433"/>
      <c r="BL60" s="433"/>
      <c r="BM60" s="433"/>
      <c r="BN60" s="433"/>
      <c r="BO60" s="433"/>
      <c r="BP60" s="433"/>
      <c r="BQ60" s="433"/>
      <c r="BR60" s="433"/>
      <c r="BS60" s="433"/>
      <c r="BT60" s="433"/>
      <c r="BU60" s="399" t="str">
        <f t="shared" si="7"/>
        <v/>
      </c>
      <c r="BV60" s="433"/>
      <c r="BW60" s="433"/>
      <c r="BX60" s="433"/>
      <c r="BY60" s="433"/>
      <c r="BZ60" s="433"/>
      <c r="CA60" s="433"/>
      <c r="CB60" s="433"/>
      <c r="CC60" s="433"/>
      <c r="CD60" s="433"/>
      <c r="CE60" s="433"/>
      <c r="CF60" s="433"/>
      <c r="CG60" s="433"/>
      <c r="CH60" s="433"/>
      <c r="CI60" s="433"/>
      <c r="CJ60" s="433"/>
      <c r="CK60" s="433"/>
      <c r="CL60" s="433"/>
      <c r="CM60" s="433"/>
      <c r="CN60" s="433"/>
      <c r="CO60" s="433"/>
      <c r="CP60" s="433"/>
      <c r="CQ60" s="433"/>
      <c r="CR60" s="433"/>
      <c r="CS60" s="433"/>
      <c r="CT60" s="433"/>
      <c r="CU60" s="433"/>
      <c r="CV60" s="433"/>
      <c r="CW60" s="433"/>
      <c r="CX60" s="433"/>
      <c r="CY60" s="433"/>
      <c r="CZ60" s="399" t="str">
        <f t="shared" si="8"/>
        <v/>
      </c>
      <c r="DA60" s="399" t="str">
        <f t="shared" si="9"/>
        <v/>
      </c>
      <c r="DB60" s="399" t="str">
        <f t="shared" si="10"/>
        <v/>
      </c>
      <c r="DC60" s="399" t="str">
        <f t="shared" si="11"/>
        <v/>
      </c>
      <c r="DD60" s="399" t="str">
        <f t="shared" si="14"/>
        <v/>
      </c>
      <c r="DE60" s="399" t="str">
        <f t="shared" si="12"/>
        <v/>
      </c>
      <c r="DG60" s="434"/>
      <c r="DH60" s="434"/>
      <c r="DJ60" s="399"/>
    </row>
    <row r="61" spans="8:114" x14ac:dyDescent="0.25">
      <c r="H61" s="416" t="str">
        <f ca="1">IF(IMPORT!C74="","",IMPORT!C74)</f>
        <v/>
      </c>
      <c r="I61" s="416" t="str">
        <f ca="1">IF(IMPORT!D74="","",IMPORT!D74)</f>
        <v/>
      </c>
      <c r="J61" s="416" t="str">
        <f ca="1">IF(IMPORT!E74="","",IMPORT!E74)</f>
        <v/>
      </c>
      <c r="K61" s="416" t="str">
        <f ca="1">IF(IMPORT!F74="","",IMPORT!F74)</f>
        <v/>
      </c>
      <c r="L61" s="416" t="str">
        <f ca="1">IF(IMPORT!G74="","",IMPORT!G74)</f>
        <v/>
      </c>
      <c r="M61" s="416" t="str">
        <f>IF(IMPORT!H74="","",IMPORT!H74)</f>
        <v/>
      </c>
      <c r="N61" s="399" t="str">
        <f t="shared" si="3"/>
        <v/>
      </c>
      <c r="P61" s="406" t="str">
        <f t="shared" si="4"/>
        <v/>
      </c>
      <c r="Q61" s="406" t="str">
        <f t="array" ref="Q61">IFERROR(INDEX($N$1:$N$203,SMALL(IF($N$1:$N$203&lt;&gt;"",ROW($N$1:$N$203)),ROW(59:59))),"")</f>
        <v/>
      </c>
      <c r="R61" s="399" t="str">
        <f t="shared" si="0"/>
        <v/>
      </c>
      <c r="S61" s="399" t="str">
        <f t="shared" si="5"/>
        <v/>
      </c>
      <c r="T61" s="399" t="str">
        <f t="shared" si="6"/>
        <v/>
      </c>
      <c r="U61" s="419" t="str">
        <f t="shared" si="13"/>
        <v/>
      </c>
      <c r="V61" s="433" t="b">
        <v>0</v>
      </c>
      <c r="W61" s="464"/>
      <c r="X61" s="433"/>
      <c r="Y61" s="433" t="s">
        <v>92</v>
      </c>
      <c r="Z61" s="433"/>
      <c r="AA61" s="433"/>
      <c r="AB61" s="433"/>
      <c r="AC61" s="433" t="s">
        <v>1401</v>
      </c>
      <c r="AD61" s="433"/>
      <c r="AE61" s="433" t="s">
        <v>111</v>
      </c>
      <c r="AF61" s="433" t="s">
        <v>299</v>
      </c>
      <c r="AG61" s="433"/>
      <c r="AH61" s="433"/>
      <c r="AI61" s="433"/>
      <c r="AJ61" s="433"/>
      <c r="AK61" s="433"/>
      <c r="AL61" s="433"/>
      <c r="AM61" s="433"/>
      <c r="AN61" s="433"/>
      <c r="AO61" s="433"/>
      <c r="AP61" s="433"/>
      <c r="AQ61" s="433"/>
      <c r="AR61" s="433"/>
      <c r="AS61" s="433" t="b">
        <v>0</v>
      </c>
      <c r="AT61" s="433"/>
      <c r="AU61" s="433"/>
      <c r="AV61" s="433"/>
      <c r="AW61" s="433"/>
      <c r="AX61" s="433"/>
      <c r="AY61" s="433"/>
      <c r="AZ61" s="433"/>
      <c r="BA61" s="433"/>
      <c r="BB61" s="433"/>
      <c r="BC61" s="433"/>
      <c r="BD61" s="433"/>
      <c r="BE61" s="433"/>
      <c r="BF61" s="433"/>
      <c r="BG61" s="433"/>
      <c r="BH61" s="433"/>
      <c r="BI61" s="433"/>
      <c r="BJ61" s="433"/>
      <c r="BK61" s="433"/>
      <c r="BL61" s="433"/>
      <c r="BM61" s="433"/>
      <c r="BN61" s="433"/>
      <c r="BO61" s="433"/>
      <c r="BP61" s="433"/>
      <c r="BQ61" s="433"/>
      <c r="BR61" s="433"/>
      <c r="BS61" s="433"/>
      <c r="BT61" s="433"/>
      <c r="BU61" s="399" t="str">
        <f t="shared" si="7"/>
        <v/>
      </c>
      <c r="BV61" s="433"/>
      <c r="BW61" s="433"/>
      <c r="BX61" s="433"/>
      <c r="BY61" s="433"/>
      <c r="BZ61" s="433"/>
      <c r="CA61" s="433"/>
      <c r="CB61" s="433"/>
      <c r="CC61" s="433"/>
      <c r="CD61" s="433"/>
      <c r="CE61" s="433"/>
      <c r="CF61" s="433"/>
      <c r="CG61" s="433"/>
      <c r="CH61" s="433"/>
      <c r="CI61" s="433"/>
      <c r="CJ61" s="433"/>
      <c r="CK61" s="433"/>
      <c r="CL61" s="433"/>
      <c r="CM61" s="433"/>
      <c r="CN61" s="433"/>
      <c r="CO61" s="433"/>
      <c r="CP61" s="433"/>
      <c r="CQ61" s="433"/>
      <c r="CR61" s="433"/>
      <c r="CS61" s="433"/>
      <c r="CT61" s="433"/>
      <c r="CU61" s="433"/>
      <c r="CV61" s="433"/>
      <c r="CW61" s="433"/>
      <c r="CX61" s="433"/>
      <c r="CY61" s="433"/>
      <c r="CZ61" s="399" t="str">
        <f t="shared" si="8"/>
        <v/>
      </c>
      <c r="DA61" s="399" t="str">
        <f t="shared" si="9"/>
        <v/>
      </c>
      <c r="DB61" s="399" t="str">
        <f t="shared" si="10"/>
        <v/>
      </c>
      <c r="DC61" s="399" t="str">
        <f t="shared" si="11"/>
        <v/>
      </c>
      <c r="DD61" s="399" t="str">
        <f t="shared" si="14"/>
        <v/>
      </c>
      <c r="DE61" s="399" t="str">
        <f t="shared" si="12"/>
        <v/>
      </c>
      <c r="DG61" s="434"/>
      <c r="DH61" s="434"/>
      <c r="DJ61" s="399"/>
    </row>
    <row r="62" spans="8:114" x14ac:dyDescent="0.25">
      <c r="H62" s="416" t="str">
        <f ca="1">IF(IMPORT!C75="","",IMPORT!C75)</f>
        <v/>
      </c>
      <c r="I62" s="416" t="str">
        <f ca="1">IF(IMPORT!D75="","",IMPORT!D75)</f>
        <v/>
      </c>
      <c r="J62" s="416" t="str">
        <f ca="1">IF(IMPORT!E75="","",IMPORT!E75)</f>
        <v/>
      </c>
      <c r="K62" s="416" t="str">
        <f ca="1">IF(IMPORT!F75="","",IMPORT!F75)</f>
        <v/>
      </c>
      <c r="L62" s="416" t="str">
        <f ca="1">IF(IMPORT!G75="","",IMPORT!G75)</f>
        <v/>
      </c>
      <c r="M62" s="416" t="str">
        <f>IF(IMPORT!H75="","",IMPORT!H75)</f>
        <v/>
      </c>
      <c r="N62" s="399" t="str">
        <f t="shared" si="3"/>
        <v/>
      </c>
      <c r="P62" s="406" t="str">
        <f t="shared" si="4"/>
        <v/>
      </c>
      <c r="Q62" s="406" t="str">
        <f t="array" ref="Q62">IFERROR(INDEX($N$1:$N$203,SMALL(IF($N$1:$N$203&lt;&gt;"",ROW($N$1:$N$203)),ROW(60:60))),"")</f>
        <v/>
      </c>
      <c r="R62" s="399" t="str">
        <f t="shared" si="0"/>
        <v/>
      </c>
      <c r="S62" s="399" t="str">
        <f t="shared" si="5"/>
        <v/>
      </c>
      <c r="T62" s="399" t="str">
        <f t="shared" si="6"/>
        <v/>
      </c>
      <c r="U62" s="419" t="str">
        <f t="shared" si="13"/>
        <v/>
      </c>
      <c r="V62" s="433" t="b">
        <v>0</v>
      </c>
      <c r="W62" s="464"/>
      <c r="X62" s="433"/>
      <c r="Y62" s="433" t="s">
        <v>92</v>
      </c>
      <c r="Z62" s="433"/>
      <c r="AA62" s="433"/>
      <c r="AB62" s="433"/>
      <c r="AC62" s="433" t="s">
        <v>1401</v>
      </c>
      <c r="AD62" s="433"/>
      <c r="AE62" s="433" t="s">
        <v>111</v>
      </c>
      <c r="AF62" s="433" t="s">
        <v>299</v>
      </c>
      <c r="AG62" s="433"/>
      <c r="AH62" s="433"/>
      <c r="AI62" s="433"/>
      <c r="AJ62" s="433"/>
      <c r="AK62" s="433"/>
      <c r="AL62" s="433"/>
      <c r="AM62" s="433"/>
      <c r="AN62" s="433"/>
      <c r="AO62" s="433"/>
      <c r="AP62" s="433"/>
      <c r="AQ62" s="433"/>
      <c r="AR62" s="433"/>
      <c r="AS62" s="433" t="b">
        <v>0</v>
      </c>
      <c r="AT62" s="433"/>
      <c r="AU62" s="433"/>
      <c r="AV62" s="433"/>
      <c r="AW62" s="433"/>
      <c r="AX62" s="433"/>
      <c r="AY62" s="433"/>
      <c r="AZ62" s="433"/>
      <c r="BA62" s="433"/>
      <c r="BB62" s="433"/>
      <c r="BC62" s="433"/>
      <c r="BD62" s="433"/>
      <c r="BE62" s="433"/>
      <c r="BF62" s="433"/>
      <c r="BG62" s="433"/>
      <c r="BH62" s="433"/>
      <c r="BI62" s="433"/>
      <c r="BJ62" s="433"/>
      <c r="BK62" s="433"/>
      <c r="BL62" s="433"/>
      <c r="BM62" s="433"/>
      <c r="BN62" s="433"/>
      <c r="BO62" s="433"/>
      <c r="BP62" s="433"/>
      <c r="BQ62" s="433"/>
      <c r="BR62" s="433"/>
      <c r="BS62" s="433"/>
      <c r="BT62" s="433"/>
      <c r="BU62" s="399" t="str">
        <f t="shared" si="7"/>
        <v/>
      </c>
      <c r="BV62" s="433"/>
      <c r="BW62" s="433"/>
      <c r="BX62" s="433"/>
      <c r="BY62" s="433"/>
      <c r="BZ62" s="433"/>
      <c r="CA62" s="433"/>
      <c r="CB62" s="433"/>
      <c r="CC62" s="433"/>
      <c r="CD62" s="433"/>
      <c r="CE62" s="433"/>
      <c r="CF62" s="433"/>
      <c r="CG62" s="433"/>
      <c r="CH62" s="433"/>
      <c r="CI62" s="433"/>
      <c r="CJ62" s="433"/>
      <c r="CK62" s="433"/>
      <c r="CL62" s="433"/>
      <c r="CM62" s="433"/>
      <c r="CN62" s="433"/>
      <c r="CO62" s="433"/>
      <c r="CP62" s="433"/>
      <c r="CQ62" s="433"/>
      <c r="CR62" s="433"/>
      <c r="CS62" s="433"/>
      <c r="CT62" s="433"/>
      <c r="CU62" s="433"/>
      <c r="CV62" s="433"/>
      <c r="CW62" s="433"/>
      <c r="CX62" s="433"/>
      <c r="CY62" s="433"/>
      <c r="CZ62" s="399" t="str">
        <f t="shared" si="8"/>
        <v/>
      </c>
      <c r="DA62" s="399" t="str">
        <f t="shared" si="9"/>
        <v/>
      </c>
      <c r="DB62" s="399" t="str">
        <f t="shared" si="10"/>
        <v/>
      </c>
      <c r="DC62" s="399" t="str">
        <f t="shared" si="11"/>
        <v/>
      </c>
      <c r="DD62" s="399" t="str">
        <f t="shared" si="14"/>
        <v/>
      </c>
      <c r="DE62" s="399" t="str">
        <f t="shared" si="12"/>
        <v/>
      </c>
      <c r="DG62" s="434"/>
      <c r="DH62" s="434"/>
      <c r="DJ62" s="399"/>
    </row>
    <row r="63" spans="8:114" x14ac:dyDescent="0.25">
      <c r="H63" s="416" t="str">
        <f ca="1">IF(IMPORT!C76="","",IMPORT!C76)</f>
        <v/>
      </c>
      <c r="I63" s="416" t="str">
        <f ca="1">IF(IMPORT!D76="","",IMPORT!D76)</f>
        <v/>
      </c>
      <c r="J63" s="416" t="str">
        <f ca="1">IF(IMPORT!E76="","",IMPORT!E76)</f>
        <v/>
      </c>
      <c r="K63" s="416" t="str">
        <f ca="1">IF(IMPORT!F76="","",IMPORT!F76)</f>
        <v/>
      </c>
      <c r="L63" s="416" t="str">
        <f ca="1">IF(IMPORT!G76="","",IMPORT!G76)</f>
        <v/>
      </c>
      <c r="M63" s="416" t="str">
        <f>IF(IMPORT!H76="","",IMPORT!H76)</f>
        <v/>
      </c>
      <c r="N63" s="399" t="str">
        <f t="shared" si="3"/>
        <v/>
      </c>
      <c r="P63" s="406" t="str">
        <f t="shared" si="4"/>
        <v/>
      </c>
      <c r="Q63" s="406" t="str">
        <f t="array" ref="Q63">IFERROR(INDEX($N$1:$N$203,SMALL(IF($N$1:$N$203&lt;&gt;"",ROW($N$1:$N$203)),ROW(61:61))),"")</f>
        <v/>
      </c>
      <c r="R63" s="399" t="str">
        <f t="shared" si="0"/>
        <v/>
      </c>
      <c r="S63" s="399" t="str">
        <f t="shared" si="5"/>
        <v/>
      </c>
      <c r="T63" s="399" t="str">
        <f t="shared" si="6"/>
        <v/>
      </c>
      <c r="U63" s="419" t="str">
        <f t="shared" si="13"/>
        <v/>
      </c>
      <c r="V63" s="433" t="b">
        <v>0</v>
      </c>
      <c r="W63" s="464"/>
      <c r="X63" s="433"/>
      <c r="Y63" s="433" t="s">
        <v>92</v>
      </c>
      <c r="Z63" s="433"/>
      <c r="AA63" s="433"/>
      <c r="AB63" s="433"/>
      <c r="AC63" s="433" t="s">
        <v>1401</v>
      </c>
      <c r="AD63" s="433"/>
      <c r="AE63" s="433" t="s">
        <v>111</v>
      </c>
      <c r="AF63" s="433" t="s">
        <v>299</v>
      </c>
      <c r="AG63" s="433"/>
      <c r="AH63" s="433"/>
      <c r="AI63" s="433"/>
      <c r="AJ63" s="433"/>
      <c r="AK63" s="433"/>
      <c r="AL63" s="433"/>
      <c r="AM63" s="433"/>
      <c r="AN63" s="433"/>
      <c r="AO63" s="433"/>
      <c r="AP63" s="433"/>
      <c r="AQ63" s="433"/>
      <c r="AR63" s="433"/>
      <c r="AS63" s="433" t="b">
        <v>0</v>
      </c>
      <c r="AT63" s="433"/>
      <c r="AU63" s="433"/>
      <c r="AV63" s="433"/>
      <c r="AW63" s="433"/>
      <c r="AX63" s="433"/>
      <c r="AY63" s="433"/>
      <c r="AZ63" s="433"/>
      <c r="BA63" s="433"/>
      <c r="BB63" s="433"/>
      <c r="BC63" s="433"/>
      <c r="BD63" s="433"/>
      <c r="BE63" s="433"/>
      <c r="BF63" s="433"/>
      <c r="BG63" s="433"/>
      <c r="BH63" s="433"/>
      <c r="BI63" s="433"/>
      <c r="BJ63" s="433"/>
      <c r="BK63" s="433"/>
      <c r="BL63" s="433"/>
      <c r="BM63" s="433"/>
      <c r="BN63" s="433"/>
      <c r="BO63" s="433"/>
      <c r="BP63" s="433"/>
      <c r="BQ63" s="433"/>
      <c r="BR63" s="433"/>
      <c r="BS63" s="433"/>
      <c r="BT63" s="433"/>
      <c r="BU63" s="399" t="str">
        <f t="shared" si="7"/>
        <v/>
      </c>
      <c r="BV63" s="433"/>
      <c r="BW63" s="433"/>
      <c r="BX63" s="433"/>
      <c r="BY63" s="433"/>
      <c r="BZ63" s="433"/>
      <c r="CA63" s="433"/>
      <c r="CB63" s="433"/>
      <c r="CC63" s="433"/>
      <c r="CD63" s="433"/>
      <c r="CE63" s="433"/>
      <c r="CF63" s="433"/>
      <c r="CG63" s="433"/>
      <c r="CH63" s="433"/>
      <c r="CI63" s="433"/>
      <c r="CJ63" s="433"/>
      <c r="CK63" s="433"/>
      <c r="CL63" s="433"/>
      <c r="CM63" s="433"/>
      <c r="CN63" s="433"/>
      <c r="CO63" s="433"/>
      <c r="CP63" s="433"/>
      <c r="CQ63" s="433"/>
      <c r="CR63" s="433"/>
      <c r="CS63" s="433"/>
      <c r="CT63" s="433"/>
      <c r="CU63" s="433"/>
      <c r="CV63" s="433"/>
      <c r="CW63" s="433"/>
      <c r="CX63" s="433"/>
      <c r="CY63" s="433"/>
      <c r="CZ63" s="399" t="str">
        <f t="shared" si="8"/>
        <v/>
      </c>
      <c r="DA63" s="399" t="str">
        <f t="shared" si="9"/>
        <v/>
      </c>
      <c r="DB63" s="399" t="str">
        <f t="shared" si="10"/>
        <v/>
      </c>
      <c r="DC63" s="399" t="str">
        <f t="shared" si="11"/>
        <v/>
      </c>
      <c r="DD63" s="399" t="str">
        <f t="shared" si="14"/>
        <v/>
      </c>
      <c r="DE63" s="399" t="str">
        <f t="shared" si="12"/>
        <v/>
      </c>
      <c r="DG63" s="434"/>
      <c r="DH63" s="434"/>
      <c r="DJ63" s="399"/>
    </row>
    <row r="64" spans="8:114" x14ac:dyDescent="0.25">
      <c r="H64" s="416" t="str">
        <f ca="1">IF(IMPORT!C77="","",IMPORT!C77)</f>
        <v/>
      </c>
      <c r="I64" s="416" t="str">
        <f ca="1">IF(IMPORT!D77="","",IMPORT!D77)</f>
        <v/>
      </c>
      <c r="J64" s="416" t="str">
        <f ca="1">IF(IMPORT!E77="","",IMPORT!E77)</f>
        <v/>
      </c>
      <c r="K64" s="416" t="str">
        <f ca="1">IF(IMPORT!F77="","",IMPORT!F77)</f>
        <v/>
      </c>
      <c r="L64" s="416" t="str">
        <f ca="1">IF(IMPORT!G77="","",IMPORT!G77)</f>
        <v/>
      </c>
      <c r="M64" s="416" t="str">
        <f>IF(IMPORT!H77="","",IMPORT!H77)</f>
        <v/>
      </c>
      <c r="N64" s="399" t="str">
        <f t="shared" si="3"/>
        <v/>
      </c>
      <c r="P64" s="406" t="str">
        <f t="shared" si="4"/>
        <v/>
      </c>
      <c r="Q64" s="406" t="str">
        <f t="array" ref="Q64">IFERROR(INDEX($N$1:$N$203,SMALL(IF($N$1:$N$203&lt;&gt;"",ROW($N$1:$N$203)),ROW(62:62))),"")</f>
        <v/>
      </c>
      <c r="R64" s="399" t="str">
        <f t="shared" si="0"/>
        <v/>
      </c>
      <c r="S64" s="399" t="str">
        <f t="shared" si="5"/>
        <v/>
      </c>
      <c r="T64" s="399" t="str">
        <f t="shared" si="6"/>
        <v/>
      </c>
      <c r="U64" s="419" t="str">
        <f t="shared" si="13"/>
        <v/>
      </c>
      <c r="V64" s="433" t="b">
        <v>0</v>
      </c>
      <c r="W64" s="464"/>
      <c r="X64" s="433"/>
      <c r="Y64" s="433" t="s">
        <v>92</v>
      </c>
      <c r="Z64" s="433"/>
      <c r="AA64" s="433"/>
      <c r="AB64" s="433"/>
      <c r="AC64" s="433" t="s">
        <v>1401</v>
      </c>
      <c r="AD64" s="433"/>
      <c r="AE64" s="433" t="s">
        <v>111</v>
      </c>
      <c r="AF64" s="433" t="s">
        <v>299</v>
      </c>
      <c r="AG64" s="433"/>
      <c r="AH64" s="433"/>
      <c r="AI64" s="433"/>
      <c r="AJ64" s="433"/>
      <c r="AK64" s="433"/>
      <c r="AL64" s="433"/>
      <c r="AM64" s="433"/>
      <c r="AN64" s="433"/>
      <c r="AO64" s="433"/>
      <c r="AP64" s="433"/>
      <c r="AQ64" s="433"/>
      <c r="AR64" s="433"/>
      <c r="AS64" s="433" t="b">
        <v>0</v>
      </c>
      <c r="AT64" s="433"/>
      <c r="AU64" s="433"/>
      <c r="AV64" s="433"/>
      <c r="AW64" s="433"/>
      <c r="AX64" s="433"/>
      <c r="AY64" s="433"/>
      <c r="AZ64" s="433"/>
      <c r="BA64" s="433"/>
      <c r="BB64" s="433"/>
      <c r="BC64" s="433"/>
      <c r="BD64" s="433"/>
      <c r="BE64" s="433"/>
      <c r="BF64" s="433"/>
      <c r="BG64" s="433"/>
      <c r="BH64" s="433"/>
      <c r="BI64" s="433"/>
      <c r="BJ64" s="433"/>
      <c r="BK64" s="433"/>
      <c r="BL64" s="433"/>
      <c r="BM64" s="433"/>
      <c r="BN64" s="433"/>
      <c r="BO64" s="433"/>
      <c r="BP64" s="433"/>
      <c r="BQ64" s="433"/>
      <c r="BR64" s="433"/>
      <c r="BS64" s="433"/>
      <c r="BT64" s="433"/>
      <c r="BU64" s="399" t="str">
        <f t="shared" si="7"/>
        <v/>
      </c>
      <c r="BV64" s="433"/>
      <c r="BW64" s="433"/>
      <c r="BX64" s="433"/>
      <c r="BY64" s="433"/>
      <c r="BZ64" s="433"/>
      <c r="CA64" s="433"/>
      <c r="CB64" s="433"/>
      <c r="CC64" s="433"/>
      <c r="CD64" s="433"/>
      <c r="CE64" s="433"/>
      <c r="CF64" s="433"/>
      <c r="CG64" s="433"/>
      <c r="CH64" s="433"/>
      <c r="CI64" s="433"/>
      <c r="CJ64" s="433"/>
      <c r="CK64" s="433"/>
      <c r="CL64" s="433"/>
      <c r="CM64" s="433"/>
      <c r="CN64" s="433"/>
      <c r="CO64" s="433"/>
      <c r="CP64" s="433"/>
      <c r="CQ64" s="433"/>
      <c r="CR64" s="433"/>
      <c r="CS64" s="433"/>
      <c r="CT64" s="433"/>
      <c r="CU64" s="433"/>
      <c r="CV64" s="433"/>
      <c r="CW64" s="433"/>
      <c r="CX64" s="433"/>
      <c r="CY64" s="433"/>
      <c r="CZ64" s="399" t="str">
        <f t="shared" si="8"/>
        <v/>
      </c>
      <c r="DA64" s="399" t="str">
        <f t="shared" si="9"/>
        <v/>
      </c>
      <c r="DB64" s="399" t="str">
        <f t="shared" si="10"/>
        <v/>
      </c>
      <c r="DC64" s="399" t="str">
        <f t="shared" si="11"/>
        <v/>
      </c>
      <c r="DD64" s="399" t="str">
        <f t="shared" si="14"/>
        <v/>
      </c>
      <c r="DE64" s="399" t="str">
        <f t="shared" si="12"/>
        <v/>
      </c>
      <c r="DG64" s="434"/>
      <c r="DH64" s="434"/>
      <c r="DJ64" s="399"/>
    </row>
    <row r="65" spans="8:114" x14ac:dyDescent="0.25">
      <c r="H65" s="416" t="str">
        <f ca="1">IF(IMPORT!C78="","",IMPORT!C78)</f>
        <v/>
      </c>
      <c r="I65" s="416" t="str">
        <f ca="1">IF(IMPORT!D78="","",IMPORT!D78)</f>
        <v/>
      </c>
      <c r="J65" s="416" t="str">
        <f ca="1">IF(IMPORT!E78="","",IMPORT!E78)</f>
        <v/>
      </c>
      <c r="K65" s="416" t="str">
        <f ca="1">IF(IMPORT!F78="","",IMPORT!F78)</f>
        <v/>
      </c>
      <c r="L65" s="416" t="str">
        <f ca="1">IF(IMPORT!G78="","",IMPORT!G78)</f>
        <v/>
      </c>
      <c r="M65" s="416" t="str">
        <f>IF(IMPORT!H78="","",IMPORT!H78)</f>
        <v/>
      </c>
      <c r="N65" s="399" t="str">
        <f t="shared" si="3"/>
        <v/>
      </c>
      <c r="P65" s="406" t="str">
        <f t="shared" si="4"/>
        <v/>
      </c>
      <c r="Q65" s="406" t="str">
        <f t="array" ref="Q65">IFERROR(INDEX($N$1:$N$203,SMALL(IF($N$1:$N$203&lt;&gt;"",ROW($N$1:$N$203)),ROW(63:63))),"")</f>
        <v/>
      </c>
      <c r="R65" s="399" t="str">
        <f t="shared" si="0"/>
        <v/>
      </c>
      <c r="S65" s="399" t="str">
        <f t="shared" si="5"/>
        <v/>
      </c>
      <c r="T65" s="399" t="str">
        <f t="shared" si="6"/>
        <v/>
      </c>
      <c r="U65" s="419" t="str">
        <f t="shared" si="13"/>
        <v/>
      </c>
      <c r="V65" s="433" t="b">
        <v>0</v>
      </c>
      <c r="W65" s="464"/>
      <c r="X65" s="433"/>
      <c r="Y65" s="433" t="s">
        <v>92</v>
      </c>
      <c r="Z65" s="433"/>
      <c r="AA65" s="433"/>
      <c r="AB65" s="433"/>
      <c r="AC65" s="433" t="s">
        <v>1401</v>
      </c>
      <c r="AD65" s="433"/>
      <c r="AE65" s="433" t="s">
        <v>111</v>
      </c>
      <c r="AF65" s="433" t="s">
        <v>299</v>
      </c>
      <c r="AG65" s="433"/>
      <c r="AH65" s="433"/>
      <c r="AI65" s="433"/>
      <c r="AJ65" s="433"/>
      <c r="AK65" s="433"/>
      <c r="AL65" s="433"/>
      <c r="AM65" s="433"/>
      <c r="AN65" s="433"/>
      <c r="AO65" s="433"/>
      <c r="AP65" s="433"/>
      <c r="AQ65" s="433"/>
      <c r="AR65" s="433"/>
      <c r="AS65" s="433" t="b">
        <v>0</v>
      </c>
      <c r="AT65" s="433"/>
      <c r="AU65" s="433"/>
      <c r="AV65" s="433"/>
      <c r="AW65" s="433"/>
      <c r="AX65" s="433"/>
      <c r="AY65" s="433"/>
      <c r="AZ65" s="433"/>
      <c r="BA65" s="433"/>
      <c r="BB65" s="433"/>
      <c r="BC65" s="433"/>
      <c r="BD65" s="433"/>
      <c r="BE65" s="433"/>
      <c r="BF65" s="433"/>
      <c r="BG65" s="433"/>
      <c r="BH65" s="433"/>
      <c r="BI65" s="433"/>
      <c r="BJ65" s="433"/>
      <c r="BK65" s="433"/>
      <c r="BL65" s="433"/>
      <c r="BM65" s="433"/>
      <c r="BN65" s="433"/>
      <c r="BO65" s="433"/>
      <c r="BP65" s="433"/>
      <c r="BQ65" s="433"/>
      <c r="BR65" s="433"/>
      <c r="BS65" s="433"/>
      <c r="BT65" s="433"/>
      <c r="BU65" s="399" t="str">
        <f t="shared" si="7"/>
        <v/>
      </c>
      <c r="BV65" s="433"/>
      <c r="BW65" s="433"/>
      <c r="BX65" s="433"/>
      <c r="BY65" s="433"/>
      <c r="BZ65" s="433"/>
      <c r="CA65" s="433"/>
      <c r="CB65" s="433"/>
      <c r="CC65" s="433"/>
      <c r="CD65" s="433"/>
      <c r="CE65" s="433"/>
      <c r="CF65" s="433"/>
      <c r="CG65" s="433"/>
      <c r="CH65" s="433"/>
      <c r="CI65" s="433"/>
      <c r="CJ65" s="433"/>
      <c r="CK65" s="433"/>
      <c r="CL65" s="433"/>
      <c r="CM65" s="433"/>
      <c r="CN65" s="433"/>
      <c r="CO65" s="433"/>
      <c r="CP65" s="433"/>
      <c r="CQ65" s="433"/>
      <c r="CR65" s="433"/>
      <c r="CS65" s="433"/>
      <c r="CT65" s="433"/>
      <c r="CU65" s="433"/>
      <c r="CV65" s="433"/>
      <c r="CW65" s="433"/>
      <c r="CX65" s="433"/>
      <c r="CY65" s="433"/>
      <c r="CZ65" s="399" t="str">
        <f t="shared" si="8"/>
        <v/>
      </c>
      <c r="DA65" s="399" t="str">
        <f t="shared" si="9"/>
        <v/>
      </c>
      <c r="DB65" s="399" t="str">
        <f t="shared" si="10"/>
        <v/>
      </c>
      <c r="DC65" s="399" t="str">
        <f t="shared" si="11"/>
        <v/>
      </c>
      <c r="DD65" s="399" t="str">
        <f t="shared" si="14"/>
        <v/>
      </c>
      <c r="DE65" s="399" t="str">
        <f t="shared" si="12"/>
        <v/>
      </c>
      <c r="DG65" s="434"/>
      <c r="DH65" s="434"/>
      <c r="DJ65" s="399"/>
    </row>
    <row r="66" spans="8:114" x14ac:dyDescent="0.25">
      <c r="H66" s="416" t="str">
        <f ca="1">IF(IMPORT!C79="","",IMPORT!C79)</f>
        <v/>
      </c>
      <c r="I66" s="416" t="str">
        <f ca="1">IF(IMPORT!D79="","",IMPORT!D79)</f>
        <v/>
      </c>
      <c r="J66" s="416" t="str">
        <f ca="1">IF(IMPORT!E79="","",IMPORT!E79)</f>
        <v/>
      </c>
      <c r="K66" s="416" t="str">
        <f ca="1">IF(IMPORT!F79="","",IMPORT!F79)</f>
        <v/>
      </c>
      <c r="L66" s="416" t="str">
        <f ca="1">IF(IMPORT!G79="","",IMPORT!G79)</f>
        <v/>
      </c>
      <c r="M66" s="416" t="str">
        <f>IF(IMPORT!H79="","",IMPORT!H79)</f>
        <v/>
      </c>
      <c r="N66" s="399" t="str">
        <f t="shared" si="3"/>
        <v/>
      </c>
      <c r="P66" s="406" t="str">
        <f t="shared" si="4"/>
        <v/>
      </c>
      <c r="Q66" s="406" t="str">
        <f t="array" ref="Q66">IFERROR(INDEX($N$1:$N$203,SMALL(IF($N$1:$N$203&lt;&gt;"",ROW($N$1:$N$203)),ROW(64:64))),"")</f>
        <v/>
      </c>
      <c r="R66" s="399" t="str">
        <f t="shared" si="0"/>
        <v/>
      </c>
      <c r="S66" s="399" t="str">
        <f t="shared" si="5"/>
        <v/>
      </c>
      <c r="T66" s="399" t="str">
        <f t="shared" si="6"/>
        <v/>
      </c>
      <c r="U66" s="419" t="str">
        <f t="shared" si="13"/>
        <v/>
      </c>
      <c r="V66" s="433" t="b">
        <v>0</v>
      </c>
      <c r="W66" s="464"/>
      <c r="X66" s="433"/>
      <c r="Y66" s="433" t="s">
        <v>92</v>
      </c>
      <c r="Z66" s="433"/>
      <c r="AA66" s="433"/>
      <c r="AB66" s="433"/>
      <c r="AC66" s="433" t="s">
        <v>1401</v>
      </c>
      <c r="AD66" s="433"/>
      <c r="AE66" s="433" t="s">
        <v>111</v>
      </c>
      <c r="AF66" s="433" t="s">
        <v>299</v>
      </c>
      <c r="AG66" s="433"/>
      <c r="AH66" s="433"/>
      <c r="AI66" s="433"/>
      <c r="AJ66" s="433"/>
      <c r="AK66" s="433"/>
      <c r="AL66" s="433"/>
      <c r="AM66" s="433"/>
      <c r="AN66" s="433"/>
      <c r="AO66" s="433"/>
      <c r="AP66" s="433"/>
      <c r="AQ66" s="433"/>
      <c r="AR66" s="433"/>
      <c r="AS66" s="433" t="b">
        <v>0</v>
      </c>
      <c r="AT66" s="433"/>
      <c r="AU66" s="433"/>
      <c r="AV66" s="433"/>
      <c r="AW66" s="433"/>
      <c r="AX66" s="433"/>
      <c r="AY66" s="433"/>
      <c r="AZ66" s="433"/>
      <c r="BA66" s="433"/>
      <c r="BB66" s="433"/>
      <c r="BC66" s="433"/>
      <c r="BD66" s="433"/>
      <c r="BE66" s="433"/>
      <c r="BF66" s="433"/>
      <c r="BG66" s="433"/>
      <c r="BH66" s="433"/>
      <c r="BI66" s="433"/>
      <c r="BJ66" s="433"/>
      <c r="BK66" s="433"/>
      <c r="BL66" s="433"/>
      <c r="BM66" s="433"/>
      <c r="BN66" s="433"/>
      <c r="BO66" s="433"/>
      <c r="BP66" s="433"/>
      <c r="BQ66" s="433"/>
      <c r="BR66" s="433"/>
      <c r="BS66" s="433"/>
      <c r="BT66" s="433"/>
      <c r="BU66" s="399" t="str">
        <f t="shared" si="7"/>
        <v/>
      </c>
      <c r="BV66" s="433"/>
      <c r="BW66" s="433"/>
      <c r="BX66" s="433"/>
      <c r="BY66" s="433"/>
      <c r="BZ66" s="433"/>
      <c r="CA66" s="433"/>
      <c r="CB66" s="433"/>
      <c r="CC66" s="433"/>
      <c r="CD66" s="433"/>
      <c r="CE66" s="433"/>
      <c r="CF66" s="433"/>
      <c r="CG66" s="433"/>
      <c r="CH66" s="433"/>
      <c r="CI66" s="433"/>
      <c r="CJ66" s="433"/>
      <c r="CK66" s="433"/>
      <c r="CL66" s="433"/>
      <c r="CM66" s="433"/>
      <c r="CN66" s="433"/>
      <c r="CO66" s="433"/>
      <c r="CP66" s="433"/>
      <c r="CQ66" s="433"/>
      <c r="CR66" s="433"/>
      <c r="CS66" s="433"/>
      <c r="CT66" s="433"/>
      <c r="CU66" s="433"/>
      <c r="CV66" s="433"/>
      <c r="CW66" s="433"/>
      <c r="CX66" s="433"/>
      <c r="CY66" s="433"/>
      <c r="CZ66" s="399" t="str">
        <f t="shared" si="8"/>
        <v/>
      </c>
      <c r="DA66" s="399" t="str">
        <f t="shared" si="9"/>
        <v/>
      </c>
      <c r="DB66" s="399" t="str">
        <f t="shared" si="10"/>
        <v/>
      </c>
      <c r="DC66" s="399" t="str">
        <f t="shared" si="11"/>
        <v/>
      </c>
      <c r="DD66" s="399" t="str">
        <f t="shared" si="14"/>
        <v/>
      </c>
      <c r="DE66" s="399" t="str">
        <f t="shared" si="12"/>
        <v/>
      </c>
      <c r="DG66" s="434"/>
      <c r="DH66" s="434"/>
      <c r="DJ66" s="399"/>
    </row>
    <row r="67" spans="8:114" x14ac:dyDescent="0.25">
      <c r="H67" s="416" t="str">
        <f ca="1">IF(IMPORT!C80="","",IMPORT!C80)</f>
        <v/>
      </c>
      <c r="I67" s="416" t="str">
        <f ca="1">IF(IMPORT!D80="","",IMPORT!D80)</f>
        <v/>
      </c>
      <c r="J67" s="416" t="str">
        <f ca="1">IF(IMPORT!E80="","",IMPORT!E80)</f>
        <v/>
      </c>
      <c r="K67" s="416" t="str">
        <f ca="1">IF(IMPORT!F80="","",IMPORT!F80)</f>
        <v/>
      </c>
      <c r="L67" s="416" t="str">
        <f ca="1">IF(IMPORT!G80="","",IMPORT!G80)</f>
        <v/>
      </c>
      <c r="M67" s="416" t="str">
        <f>IF(IMPORT!H80="","",IMPORT!H80)</f>
        <v/>
      </c>
      <c r="N67" s="399" t="str">
        <f t="shared" si="3"/>
        <v/>
      </c>
      <c r="P67" s="406" t="str">
        <f t="shared" si="4"/>
        <v/>
      </c>
      <c r="Q67" s="406" t="str">
        <f t="array" ref="Q67">IFERROR(INDEX($N$1:$N$203,SMALL(IF($N$1:$N$203&lt;&gt;"",ROW($N$1:$N$203)),ROW(65:65))),"")</f>
        <v/>
      </c>
      <c r="R67" s="399" t="str">
        <f t="shared" si="0"/>
        <v/>
      </c>
      <c r="S67" s="399" t="str">
        <f t="shared" si="5"/>
        <v/>
      </c>
      <c r="T67" s="399" t="str">
        <f t="shared" si="6"/>
        <v/>
      </c>
      <c r="U67" s="419" t="str">
        <f t="shared" si="13"/>
        <v/>
      </c>
      <c r="V67" s="433" t="b">
        <v>0</v>
      </c>
      <c r="W67" s="464"/>
      <c r="X67" s="433"/>
      <c r="Y67" s="433" t="s">
        <v>92</v>
      </c>
      <c r="Z67" s="433"/>
      <c r="AA67" s="433"/>
      <c r="AB67" s="433"/>
      <c r="AC67" s="433" t="s">
        <v>1401</v>
      </c>
      <c r="AD67" s="433"/>
      <c r="AE67" s="433" t="s">
        <v>111</v>
      </c>
      <c r="AF67" s="433" t="s">
        <v>299</v>
      </c>
      <c r="AG67" s="433"/>
      <c r="AH67" s="433"/>
      <c r="AI67" s="433"/>
      <c r="AJ67" s="433"/>
      <c r="AK67" s="433"/>
      <c r="AL67" s="433"/>
      <c r="AM67" s="433"/>
      <c r="AN67" s="433"/>
      <c r="AO67" s="433"/>
      <c r="AP67" s="433"/>
      <c r="AQ67" s="433"/>
      <c r="AR67" s="433"/>
      <c r="AS67" s="433" t="b">
        <v>0</v>
      </c>
      <c r="AT67" s="433"/>
      <c r="AU67" s="433"/>
      <c r="AV67" s="433"/>
      <c r="AW67" s="433"/>
      <c r="AX67" s="433"/>
      <c r="AY67" s="433"/>
      <c r="AZ67" s="433"/>
      <c r="BA67" s="433"/>
      <c r="BB67" s="433"/>
      <c r="BC67" s="433"/>
      <c r="BD67" s="433"/>
      <c r="BE67" s="433"/>
      <c r="BF67" s="433"/>
      <c r="BG67" s="433"/>
      <c r="BH67" s="433"/>
      <c r="BI67" s="433"/>
      <c r="BJ67" s="433"/>
      <c r="BK67" s="433"/>
      <c r="BL67" s="433"/>
      <c r="BM67" s="433"/>
      <c r="BN67" s="433"/>
      <c r="BO67" s="433"/>
      <c r="BP67" s="433"/>
      <c r="BQ67" s="433"/>
      <c r="BR67" s="433"/>
      <c r="BS67" s="433"/>
      <c r="BT67" s="433"/>
      <c r="BU67" s="399" t="str">
        <f t="shared" si="7"/>
        <v/>
      </c>
      <c r="BV67" s="433"/>
      <c r="BW67" s="433"/>
      <c r="BX67" s="433"/>
      <c r="BY67" s="433"/>
      <c r="BZ67" s="433"/>
      <c r="CA67" s="433"/>
      <c r="CB67" s="433"/>
      <c r="CC67" s="433"/>
      <c r="CD67" s="433"/>
      <c r="CE67" s="433"/>
      <c r="CF67" s="433"/>
      <c r="CG67" s="433"/>
      <c r="CH67" s="433"/>
      <c r="CI67" s="433"/>
      <c r="CJ67" s="433"/>
      <c r="CK67" s="433"/>
      <c r="CL67" s="433"/>
      <c r="CM67" s="433"/>
      <c r="CN67" s="433"/>
      <c r="CO67" s="433"/>
      <c r="CP67" s="433"/>
      <c r="CQ67" s="433"/>
      <c r="CR67" s="433"/>
      <c r="CS67" s="433"/>
      <c r="CT67" s="433"/>
      <c r="CU67" s="433"/>
      <c r="CV67" s="433"/>
      <c r="CW67" s="433"/>
      <c r="CX67" s="433"/>
      <c r="CY67" s="433"/>
      <c r="CZ67" s="399" t="str">
        <f t="shared" si="8"/>
        <v/>
      </c>
      <c r="DA67" s="399" t="str">
        <f t="shared" si="9"/>
        <v/>
      </c>
      <c r="DB67" s="399" t="str">
        <f t="shared" si="10"/>
        <v/>
      </c>
      <c r="DC67" s="399" t="str">
        <f t="shared" si="11"/>
        <v/>
      </c>
      <c r="DD67" s="399" t="str">
        <f t="shared" si="14"/>
        <v/>
      </c>
      <c r="DE67" s="399" t="str">
        <f t="shared" si="12"/>
        <v/>
      </c>
      <c r="DG67" s="434"/>
      <c r="DH67" s="434"/>
      <c r="DJ67" s="399"/>
    </row>
    <row r="68" spans="8:114" x14ac:dyDescent="0.25">
      <c r="H68" s="416" t="str">
        <f ca="1">IF(IMPORT!C81="","",IMPORT!C81)</f>
        <v/>
      </c>
      <c r="I68" s="416" t="str">
        <f ca="1">IF(IMPORT!D81="","",IMPORT!D81)</f>
        <v/>
      </c>
      <c r="J68" s="416" t="str">
        <f ca="1">IF(IMPORT!E81="","",IMPORT!E81)</f>
        <v/>
      </c>
      <c r="K68" s="416" t="str">
        <f ca="1">IF(IMPORT!F81="","",IMPORT!F81)</f>
        <v/>
      </c>
      <c r="L68" s="416" t="str">
        <f ca="1">IF(IMPORT!G81="","",IMPORT!G81)</f>
        <v/>
      </c>
      <c r="M68" s="416" t="str">
        <f>IF(IMPORT!H81="","",IMPORT!H81)</f>
        <v/>
      </c>
      <c r="N68" s="399" t="str">
        <f t="shared" si="3"/>
        <v/>
      </c>
      <c r="P68" s="406" t="str">
        <f t="shared" si="4"/>
        <v/>
      </c>
      <c r="Q68" s="406" t="str">
        <f t="array" ref="Q68">IFERROR(INDEX($N$1:$N$203,SMALL(IF($N$1:$N$203&lt;&gt;"",ROW($N$1:$N$203)),ROW(66:66))),"")</f>
        <v/>
      </c>
      <c r="R68" s="399" t="str">
        <f t="shared" ref="R68:R131" si="15">IF(OR(TIA_Import="",$P68=""),"",TIA_Import)</f>
        <v/>
      </c>
      <c r="S68" s="399" t="str">
        <f t="shared" si="5"/>
        <v/>
      </c>
      <c r="T68" s="399" t="str">
        <f t="shared" si="6"/>
        <v/>
      </c>
      <c r="U68" s="419" t="str">
        <f t="shared" si="13"/>
        <v/>
      </c>
      <c r="V68" s="433" t="b">
        <v>0</v>
      </c>
      <c r="W68" s="464"/>
      <c r="X68" s="433"/>
      <c r="Y68" s="433" t="s">
        <v>92</v>
      </c>
      <c r="Z68" s="433"/>
      <c r="AA68" s="433"/>
      <c r="AB68" s="433"/>
      <c r="AC68" s="433" t="s">
        <v>1401</v>
      </c>
      <c r="AD68" s="433"/>
      <c r="AE68" s="433" t="s">
        <v>111</v>
      </c>
      <c r="AF68" s="433" t="s">
        <v>299</v>
      </c>
      <c r="AG68" s="433"/>
      <c r="AH68" s="433"/>
      <c r="AI68" s="433"/>
      <c r="AJ68" s="433"/>
      <c r="AK68" s="433"/>
      <c r="AL68" s="433"/>
      <c r="AM68" s="433"/>
      <c r="AN68" s="433"/>
      <c r="AO68" s="433"/>
      <c r="AP68" s="433"/>
      <c r="AQ68" s="433"/>
      <c r="AR68" s="433"/>
      <c r="AS68" s="433" t="b">
        <v>0</v>
      </c>
      <c r="AT68" s="433"/>
      <c r="AU68" s="433"/>
      <c r="AV68" s="433"/>
      <c r="AW68" s="433"/>
      <c r="AX68" s="433"/>
      <c r="AY68" s="433"/>
      <c r="AZ68" s="433"/>
      <c r="BA68" s="433"/>
      <c r="BB68" s="433"/>
      <c r="BC68" s="433"/>
      <c r="BD68" s="433"/>
      <c r="BE68" s="433"/>
      <c r="BF68" s="433"/>
      <c r="BG68" s="433"/>
      <c r="BH68" s="433"/>
      <c r="BI68" s="433"/>
      <c r="BJ68" s="433"/>
      <c r="BK68" s="433"/>
      <c r="BL68" s="433"/>
      <c r="BM68" s="433"/>
      <c r="BN68" s="433"/>
      <c r="BO68" s="433"/>
      <c r="BP68" s="433"/>
      <c r="BQ68" s="433"/>
      <c r="BR68" s="433"/>
      <c r="BS68" s="433"/>
      <c r="BT68" s="433"/>
      <c r="BU68" s="399" t="str">
        <f t="shared" si="7"/>
        <v/>
      </c>
      <c r="BV68" s="433"/>
      <c r="BW68" s="433"/>
      <c r="BX68" s="433"/>
      <c r="BY68" s="433"/>
      <c r="BZ68" s="433"/>
      <c r="CA68" s="433"/>
      <c r="CB68" s="433"/>
      <c r="CC68" s="433"/>
      <c r="CD68" s="433"/>
      <c r="CE68" s="433"/>
      <c r="CF68" s="433"/>
      <c r="CG68" s="433"/>
      <c r="CH68" s="433"/>
      <c r="CI68" s="433"/>
      <c r="CJ68" s="433"/>
      <c r="CK68" s="433"/>
      <c r="CL68" s="433"/>
      <c r="CM68" s="433"/>
      <c r="CN68" s="433"/>
      <c r="CO68" s="433"/>
      <c r="CP68" s="433"/>
      <c r="CQ68" s="433"/>
      <c r="CR68" s="433"/>
      <c r="CS68" s="433"/>
      <c r="CT68" s="433"/>
      <c r="CU68" s="433"/>
      <c r="CV68" s="433"/>
      <c r="CW68" s="433"/>
      <c r="CX68" s="433"/>
      <c r="CY68" s="433"/>
      <c r="CZ68" s="399" t="str">
        <f t="shared" si="8"/>
        <v/>
      </c>
      <c r="DA68" s="399" t="str">
        <f t="shared" si="9"/>
        <v/>
      </c>
      <c r="DB68" s="399" t="str">
        <f t="shared" si="10"/>
        <v/>
      </c>
      <c r="DC68" s="399" t="str">
        <f t="shared" si="11"/>
        <v/>
      </c>
      <c r="DD68" s="399" t="str">
        <f t="shared" ref="DD68:DD99" si="16">IFERROR(IF($P68="","",VLOOKUP($DC68,MaterialGrades,4,0)),"A36")</f>
        <v/>
      </c>
      <c r="DE68" s="399" t="str">
        <f t="shared" si="12"/>
        <v/>
      </c>
      <c r="DG68" s="434"/>
      <c r="DH68" s="434"/>
      <c r="DJ68" s="399"/>
    </row>
    <row r="69" spans="8:114" x14ac:dyDescent="0.25">
      <c r="H69" s="416" t="str">
        <f ca="1">IF(IMPORT!C82="","",IMPORT!C82)</f>
        <v/>
      </c>
      <c r="I69" s="416" t="str">
        <f ca="1">IF(IMPORT!D82="","",IMPORT!D82)</f>
        <v/>
      </c>
      <c r="J69" s="416" t="str">
        <f ca="1">IF(IMPORT!E82="","",IMPORT!E82)</f>
        <v/>
      </c>
      <c r="K69" s="416" t="str">
        <f ca="1">IF(IMPORT!F82="","",IMPORT!F82)</f>
        <v/>
      </c>
      <c r="L69" s="416" t="str">
        <f ca="1">IF(IMPORT!G82="","",IMPORT!G82)</f>
        <v/>
      </c>
      <c r="M69" s="416" t="str">
        <f>IF(IMPORT!H82="","",IMPORT!H82)</f>
        <v/>
      </c>
      <c r="N69" s="399" t="str">
        <f t="shared" ref="N69:N132" si="17">IF($M69&lt;&gt;"Yes","",CONCATENATE(ROUND(I69,1),"ft - ",ROUND(J69,1),"ft"))</f>
        <v/>
      </c>
      <c r="P69" s="406" t="str">
        <f t="shared" ref="P69:P132" si="18">N69</f>
        <v/>
      </c>
      <c r="Q69" s="406" t="str">
        <f t="array" ref="Q69">IFERROR(INDEX($N$1:$N$203,SMALL(IF($N$1:$N$203&lt;&gt;"",ROW($N$1:$N$203)),ROW(67:67))),"")</f>
        <v/>
      </c>
      <c r="R69" s="399" t="str">
        <f t="shared" si="15"/>
        <v/>
      </c>
      <c r="S69" s="399" t="str">
        <f t="shared" ref="S69:S132" si="19">IF($P69="","",INDEX($K$4:$K$203,MATCH($P69,$N$4:$N$203,0)))</f>
        <v/>
      </c>
      <c r="T69" s="399" t="str">
        <f t="shared" ref="T69:T132" si="20">IF($P69="","",INDEX($L$4:$L$203,MATCH($P69,$N$4:$N$203,0)))</f>
        <v/>
      </c>
      <c r="U69" s="419" t="str">
        <f t="shared" si="13"/>
        <v/>
      </c>
      <c r="V69" s="433" t="b">
        <v>0</v>
      </c>
      <c r="W69" s="464"/>
      <c r="X69" s="433"/>
      <c r="Y69" s="433" t="s">
        <v>92</v>
      </c>
      <c r="Z69" s="433"/>
      <c r="AA69" s="433"/>
      <c r="AB69" s="433"/>
      <c r="AC69" s="433" t="s">
        <v>1401</v>
      </c>
      <c r="AD69" s="433"/>
      <c r="AE69" s="433" t="s">
        <v>111</v>
      </c>
      <c r="AF69" s="433" t="s">
        <v>299</v>
      </c>
      <c r="AG69" s="433"/>
      <c r="AH69" s="433"/>
      <c r="AI69" s="433"/>
      <c r="AJ69" s="433"/>
      <c r="AK69" s="433"/>
      <c r="AL69" s="433"/>
      <c r="AM69" s="433"/>
      <c r="AN69" s="433"/>
      <c r="AO69" s="433"/>
      <c r="AP69" s="433"/>
      <c r="AQ69" s="433"/>
      <c r="AR69" s="433"/>
      <c r="AS69" s="433" t="b">
        <v>0</v>
      </c>
      <c r="AT69" s="433"/>
      <c r="AU69" s="433"/>
      <c r="AV69" s="433"/>
      <c r="AW69" s="433"/>
      <c r="AX69" s="433"/>
      <c r="AY69" s="433"/>
      <c r="AZ69" s="433"/>
      <c r="BA69" s="433"/>
      <c r="BB69" s="433"/>
      <c r="BC69" s="433"/>
      <c r="BD69" s="433"/>
      <c r="BE69" s="433"/>
      <c r="BF69" s="433"/>
      <c r="BG69" s="433"/>
      <c r="BH69" s="433"/>
      <c r="BI69" s="433"/>
      <c r="BJ69" s="433"/>
      <c r="BK69" s="433"/>
      <c r="BL69" s="433"/>
      <c r="BM69" s="433"/>
      <c r="BN69" s="433"/>
      <c r="BO69" s="433"/>
      <c r="BP69" s="433"/>
      <c r="BQ69" s="433"/>
      <c r="BR69" s="433"/>
      <c r="BS69" s="433"/>
      <c r="BT69" s="433"/>
      <c r="BU69" s="399" t="str">
        <f t="shared" ref="BU69:BU132" si="21">IF($P69="","",IF($AS69=TRUE,IF(COUNTIF($AT69:$BT69,"")=0,IF(COUNTIF($Y69:$AH69,"")+COUNTIF($AJ69:$AP69,"")&lt;=1,TRUE,FALSE)),IF(COUNTIF($Y69:$AH69,"")+COUNTIF($AJ69:$AP69,"")&lt;=1,TRUE,FALSE)))</f>
        <v/>
      </c>
      <c r="BV69" s="433"/>
      <c r="BW69" s="433"/>
      <c r="BX69" s="433"/>
      <c r="BY69" s="433"/>
      <c r="BZ69" s="433"/>
      <c r="CA69" s="433"/>
      <c r="CB69" s="433"/>
      <c r="CC69" s="433"/>
      <c r="CD69" s="433"/>
      <c r="CE69" s="433"/>
      <c r="CF69" s="433"/>
      <c r="CG69" s="433"/>
      <c r="CH69" s="433"/>
      <c r="CI69" s="433"/>
      <c r="CJ69" s="433"/>
      <c r="CK69" s="433"/>
      <c r="CL69" s="433"/>
      <c r="CM69" s="433"/>
      <c r="CN69" s="433"/>
      <c r="CO69" s="433"/>
      <c r="CP69" s="433"/>
      <c r="CQ69" s="433"/>
      <c r="CR69" s="433"/>
      <c r="CS69" s="433"/>
      <c r="CT69" s="433"/>
      <c r="CU69" s="433"/>
      <c r="CV69" s="433"/>
      <c r="CW69" s="433"/>
      <c r="CX69" s="433"/>
      <c r="CY69" s="433"/>
      <c r="CZ69" s="399" t="str">
        <f t="shared" ref="CZ69:CZ132" si="22">REPLACE(IF($P69="","",INDEX($H$4:$H$203,MATCH($P69,$N$4:$N$203,0))),1,1,"")</f>
        <v/>
      </c>
      <c r="DA69" s="399" t="str">
        <f t="shared" ref="DA69:DA132" si="23">IF($P69="","","Arbitrary Shape")</f>
        <v/>
      </c>
      <c r="DB69" s="399" t="str">
        <f t="shared" ref="DB69:DB132" si="24">IF(OR($P69="",$BU69=FALSE),"",REPLACE($CT69,1,7,""))</f>
        <v/>
      </c>
      <c r="DC69" s="399" t="str">
        <f t="shared" ref="DC69:DC132" si="25">IF($P69="","",MIN($AL69,$AP69))</f>
        <v/>
      </c>
      <c r="DD69" s="399" t="str">
        <f t="shared" si="16"/>
        <v/>
      </c>
      <c r="DE69" s="399" t="str">
        <f t="shared" ref="DE69:DE132" si="26">IFERROR(IF($P69="","",ROUND($CR69,4)),1)</f>
        <v/>
      </c>
      <c r="DG69" s="434"/>
      <c r="DH69" s="434"/>
      <c r="DJ69" s="399"/>
    </row>
    <row r="70" spans="8:114" x14ac:dyDescent="0.25">
      <c r="H70" s="416" t="str">
        <f ca="1">IF(IMPORT!C83="","",IMPORT!C83)</f>
        <v/>
      </c>
      <c r="I70" s="416" t="str">
        <f ca="1">IF(IMPORT!D83="","",IMPORT!D83)</f>
        <v/>
      </c>
      <c r="J70" s="416" t="str">
        <f ca="1">IF(IMPORT!E83="","",IMPORT!E83)</f>
        <v/>
      </c>
      <c r="K70" s="416" t="str">
        <f ca="1">IF(IMPORT!F83="","",IMPORT!F83)</f>
        <v/>
      </c>
      <c r="L70" s="416" t="str">
        <f ca="1">IF(IMPORT!G83="","",IMPORT!G83)</f>
        <v/>
      </c>
      <c r="M70" s="416" t="str">
        <f>IF(IMPORT!H83="","",IMPORT!H83)</f>
        <v/>
      </c>
      <c r="N70" s="399" t="str">
        <f t="shared" si="17"/>
        <v/>
      </c>
      <c r="P70" s="406" t="str">
        <f t="shared" si="18"/>
        <v/>
      </c>
      <c r="Q70" s="406" t="str">
        <f t="array" ref="Q70">IFERROR(INDEX($N$1:$N$203,SMALL(IF($N$1:$N$203&lt;&gt;"",ROW($N$1:$N$203)),ROW(68:68))),"")</f>
        <v/>
      </c>
      <c r="R70" s="399" t="str">
        <f t="shared" si="15"/>
        <v/>
      </c>
      <c r="S70" s="399" t="str">
        <f t="shared" si="19"/>
        <v/>
      </c>
      <c r="T70" s="399" t="str">
        <f t="shared" si="20"/>
        <v/>
      </c>
      <c r="U70" s="419" t="str">
        <f t="shared" si="13"/>
        <v/>
      </c>
      <c r="V70" s="433" t="b">
        <v>0</v>
      </c>
      <c r="W70" s="464"/>
      <c r="X70" s="433"/>
      <c r="Y70" s="433" t="s">
        <v>92</v>
      </c>
      <c r="Z70" s="433"/>
      <c r="AA70" s="433"/>
      <c r="AB70" s="433"/>
      <c r="AC70" s="433" t="s">
        <v>1401</v>
      </c>
      <c r="AD70" s="433"/>
      <c r="AE70" s="433" t="s">
        <v>111</v>
      </c>
      <c r="AF70" s="433" t="s">
        <v>299</v>
      </c>
      <c r="AG70" s="433"/>
      <c r="AH70" s="433"/>
      <c r="AI70" s="433"/>
      <c r="AJ70" s="433"/>
      <c r="AK70" s="433"/>
      <c r="AL70" s="433"/>
      <c r="AM70" s="433"/>
      <c r="AN70" s="433"/>
      <c r="AO70" s="433"/>
      <c r="AP70" s="433"/>
      <c r="AQ70" s="433"/>
      <c r="AR70" s="433"/>
      <c r="AS70" s="433" t="b">
        <v>0</v>
      </c>
      <c r="AT70" s="433"/>
      <c r="AU70" s="433"/>
      <c r="AV70" s="433"/>
      <c r="AW70" s="433"/>
      <c r="AX70" s="433"/>
      <c r="AY70" s="433"/>
      <c r="AZ70" s="433"/>
      <c r="BA70" s="433"/>
      <c r="BB70" s="433"/>
      <c r="BC70" s="433"/>
      <c r="BD70" s="433"/>
      <c r="BE70" s="433"/>
      <c r="BF70" s="433"/>
      <c r="BG70" s="433"/>
      <c r="BH70" s="433"/>
      <c r="BI70" s="433"/>
      <c r="BJ70" s="433"/>
      <c r="BK70" s="433"/>
      <c r="BL70" s="433"/>
      <c r="BM70" s="433"/>
      <c r="BN70" s="433"/>
      <c r="BO70" s="433"/>
      <c r="BP70" s="433"/>
      <c r="BQ70" s="433"/>
      <c r="BR70" s="433"/>
      <c r="BS70" s="433"/>
      <c r="BT70" s="433"/>
      <c r="BU70" s="399" t="str">
        <f t="shared" si="21"/>
        <v/>
      </c>
      <c r="BV70" s="433"/>
      <c r="BW70" s="433"/>
      <c r="BX70" s="433"/>
      <c r="BY70" s="433"/>
      <c r="BZ70" s="433"/>
      <c r="CA70" s="433"/>
      <c r="CB70" s="433"/>
      <c r="CC70" s="433"/>
      <c r="CD70" s="433"/>
      <c r="CE70" s="433"/>
      <c r="CF70" s="433"/>
      <c r="CG70" s="433"/>
      <c r="CH70" s="433"/>
      <c r="CI70" s="433"/>
      <c r="CJ70" s="433"/>
      <c r="CK70" s="433"/>
      <c r="CL70" s="433"/>
      <c r="CM70" s="433"/>
      <c r="CN70" s="433"/>
      <c r="CO70" s="433"/>
      <c r="CP70" s="433"/>
      <c r="CQ70" s="433"/>
      <c r="CR70" s="433"/>
      <c r="CS70" s="433"/>
      <c r="CT70" s="433"/>
      <c r="CU70" s="433"/>
      <c r="CV70" s="433"/>
      <c r="CW70" s="433"/>
      <c r="CX70" s="433"/>
      <c r="CY70" s="433"/>
      <c r="CZ70" s="399" t="str">
        <f t="shared" si="22"/>
        <v/>
      </c>
      <c r="DA70" s="399" t="str">
        <f t="shared" si="23"/>
        <v/>
      </c>
      <c r="DB70" s="399" t="str">
        <f t="shared" si="24"/>
        <v/>
      </c>
      <c r="DC70" s="399" t="str">
        <f t="shared" si="25"/>
        <v/>
      </c>
      <c r="DD70" s="399" t="str">
        <f t="shared" si="16"/>
        <v/>
      </c>
      <c r="DE70" s="399" t="str">
        <f t="shared" si="26"/>
        <v/>
      </c>
      <c r="DG70" s="434"/>
      <c r="DH70" s="434"/>
      <c r="DJ70" s="399"/>
    </row>
    <row r="71" spans="8:114" x14ac:dyDescent="0.25">
      <c r="H71" s="416" t="str">
        <f ca="1">IF(IMPORT!C84="","",IMPORT!C84)</f>
        <v/>
      </c>
      <c r="I71" s="416" t="str">
        <f ca="1">IF(IMPORT!D84="","",IMPORT!D84)</f>
        <v/>
      </c>
      <c r="J71" s="416" t="str">
        <f ca="1">IF(IMPORT!E84="","",IMPORT!E84)</f>
        <v/>
      </c>
      <c r="K71" s="416" t="str">
        <f ca="1">IF(IMPORT!F84="","",IMPORT!F84)</f>
        <v/>
      </c>
      <c r="L71" s="416" t="str">
        <f ca="1">IF(IMPORT!G84="","",IMPORT!G84)</f>
        <v/>
      </c>
      <c r="M71" s="416" t="str">
        <f>IF(IMPORT!H84="","",IMPORT!H84)</f>
        <v/>
      </c>
      <c r="N71" s="399" t="str">
        <f t="shared" si="17"/>
        <v/>
      </c>
      <c r="P71" s="406" t="str">
        <f t="shared" si="18"/>
        <v/>
      </c>
      <c r="Q71" s="406" t="str">
        <f t="array" ref="Q71">IFERROR(INDEX($N$1:$N$203,SMALL(IF($N$1:$N$203&lt;&gt;"",ROW($N$1:$N$203)),ROW(69:69))),"")</f>
        <v/>
      </c>
      <c r="R71" s="399" t="str">
        <f t="shared" si="15"/>
        <v/>
      </c>
      <c r="S71" s="399" t="str">
        <f t="shared" si="19"/>
        <v/>
      </c>
      <c r="T71" s="399" t="str">
        <f t="shared" si="20"/>
        <v/>
      </c>
      <c r="U71" s="419" t="str">
        <f t="shared" si="13"/>
        <v/>
      </c>
      <c r="V71" s="433" t="b">
        <v>0</v>
      </c>
      <c r="W71" s="464"/>
      <c r="X71" s="433"/>
      <c r="Y71" s="433" t="s">
        <v>92</v>
      </c>
      <c r="Z71" s="433"/>
      <c r="AA71" s="433"/>
      <c r="AB71" s="433"/>
      <c r="AC71" s="433" t="s">
        <v>1401</v>
      </c>
      <c r="AD71" s="433"/>
      <c r="AE71" s="433" t="s">
        <v>111</v>
      </c>
      <c r="AF71" s="433" t="s">
        <v>299</v>
      </c>
      <c r="AG71" s="433"/>
      <c r="AH71" s="433"/>
      <c r="AI71" s="433"/>
      <c r="AJ71" s="433"/>
      <c r="AK71" s="433"/>
      <c r="AL71" s="433"/>
      <c r="AM71" s="433"/>
      <c r="AN71" s="433"/>
      <c r="AO71" s="433"/>
      <c r="AP71" s="433"/>
      <c r="AQ71" s="433"/>
      <c r="AR71" s="433"/>
      <c r="AS71" s="433" t="b">
        <v>0</v>
      </c>
      <c r="AT71" s="433"/>
      <c r="AU71" s="433"/>
      <c r="AV71" s="433"/>
      <c r="AW71" s="433"/>
      <c r="AX71" s="433"/>
      <c r="AY71" s="433"/>
      <c r="AZ71" s="433"/>
      <c r="BA71" s="433"/>
      <c r="BB71" s="433"/>
      <c r="BC71" s="433"/>
      <c r="BD71" s="433"/>
      <c r="BE71" s="433"/>
      <c r="BF71" s="433"/>
      <c r="BG71" s="433"/>
      <c r="BH71" s="433"/>
      <c r="BI71" s="433"/>
      <c r="BJ71" s="433"/>
      <c r="BK71" s="433"/>
      <c r="BL71" s="433"/>
      <c r="BM71" s="433"/>
      <c r="BN71" s="433"/>
      <c r="BO71" s="433"/>
      <c r="BP71" s="433"/>
      <c r="BQ71" s="433"/>
      <c r="BR71" s="433"/>
      <c r="BS71" s="433"/>
      <c r="BT71" s="433"/>
      <c r="BU71" s="399" t="str">
        <f t="shared" si="21"/>
        <v/>
      </c>
      <c r="BV71" s="433"/>
      <c r="BW71" s="433"/>
      <c r="BX71" s="433"/>
      <c r="BY71" s="433"/>
      <c r="BZ71" s="433"/>
      <c r="CA71" s="433"/>
      <c r="CB71" s="433"/>
      <c r="CC71" s="433"/>
      <c r="CD71" s="433"/>
      <c r="CE71" s="433"/>
      <c r="CF71" s="433"/>
      <c r="CG71" s="433"/>
      <c r="CH71" s="433"/>
      <c r="CI71" s="433"/>
      <c r="CJ71" s="433"/>
      <c r="CK71" s="433"/>
      <c r="CL71" s="433"/>
      <c r="CM71" s="433"/>
      <c r="CN71" s="433"/>
      <c r="CO71" s="433"/>
      <c r="CP71" s="433"/>
      <c r="CQ71" s="433"/>
      <c r="CR71" s="433"/>
      <c r="CS71" s="433"/>
      <c r="CT71" s="433"/>
      <c r="CU71" s="433"/>
      <c r="CV71" s="433"/>
      <c r="CW71" s="433"/>
      <c r="CX71" s="433"/>
      <c r="CY71" s="433"/>
      <c r="CZ71" s="399" t="str">
        <f t="shared" si="22"/>
        <v/>
      </c>
      <c r="DA71" s="399" t="str">
        <f t="shared" si="23"/>
        <v/>
      </c>
      <c r="DB71" s="399" t="str">
        <f t="shared" si="24"/>
        <v/>
      </c>
      <c r="DC71" s="399" t="str">
        <f t="shared" si="25"/>
        <v/>
      </c>
      <c r="DD71" s="399" t="str">
        <f t="shared" si="16"/>
        <v/>
      </c>
      <c r="DE71" s="399" t="str">
        <f t="shared" si="26"/>
        <v/>
      </c>
      <c r="DG71" s="434"/>
      <c r="DH71" s="434"/>
      <c r="DJ71" s="399"/>
    </row>
    <row r="72" spans="8:114" x14ac:dyDescent="0.25">
      <c r="H72" s="416" t="str">
        <f ca="1">IF(IMPORT!C85="","",IMPORT!C85)</f>
        <v/>
      </c>
      <c r="I72" s="416" t="str">
        <f ca="1">IF(IMPORT!D85="","",IMPORT!D85)</f>
        <v/>
      </c>
      <c r="J72" s="416" t="str">
        <f ca="1">IF(IMPORT!E85="","",IMPORT!E85)</f>
        <v/>
      </c>
      <c r="K72" s="416" t="str">
        <f ca="1">IF(IMPORT!F85="","",IMPORT!F85)</f>
        <v/>
      </c>
      <c r="L72" s="416" t="str">
        <f ca="1">IF(IMPORT!G85="","",IMPORT!G85)</f>
        <v/>
      </c>
      <c r="M72" s="416" t="str">
        <f>IF(IMPORT!H85="","",IMPORT!H85)</f>
        <v/>
      </c>
      <c r="N72" s="399" t="str">
        <f t="shared" si="17"/>
        <v/>
      </c>
      <c r="P72" s="406" t="str">
        <f t="shared" si="18"/>
        <v/>
      </c>
      <c r="Q72" s="406" t="str">
        <f t="array" ref="Q72">IFERROR(INDEX($N$1:$N$203,SMALL(IF($N$1:$N$203&lt;&gt;"",ROW($N$1:$N$203)),ROW(70:70))),"")</f>
        <v/>
      </c>
      <c r="R72" s="399" t="str">
        <f t="shared" si="15"/>
        <v/>
      </c>
      <c r="S72" s="399" t="str">
        <f t="shared" si="19"/>
        <v/>
      </c>
      <c r="T72" s="399" t="str">
        <f t="shared" si="20"/>
        <v/>
      </c>
      <c r="U72" s="419" t="str">
        <f t="shared" si="13"/>
        <v/>
      </c>
      <c r="V72" s="433" t="b">
        <v>0</v>
      </c>
      <c r="W72" s="464"/>
      <c r="X72" s="433"/>
      <c r="Y72" s="433" t="s">
        <v>92</v>
      </c>
      <c r="Z72" s="433"/>
      <c r="AA72" s="433"/>
      <c r="AB72" s="433"/>
      <c r="AC72" s="433" t="s">
        <v>1401</v>
      </c>
      <c r="AD72" s="433"/>
      <c r="AE72" s="433" t="s">
        <v>111</v>
      </c>
      <c r="AF72" s="433" t="s">
        <v>299</v>
      </c>
      <c r="AG72" s="433"/>
      <c r="AH72" s="433"/>
      <c r="AI72" s="433"/>
      <c r="AJ72" s="433"/>
      <c r="AK72" s="433"/>
      <c r="AL72" s="433"/>
      <c r="AM72" s="433"/>
      <c r="AN72" s="433"/>
      <c r="AO72" s="433"/>
      <c r="AP72" s="433"/>
      <c r="AQ72" s="433"/>
      <c r="AR72" s="433"/>
      <c r="AS72" s="433" t="b">
        <v>0</v>
      </c>
      <c r="AT72" s="433"/>
      <c r="AU72" s="433"/>
      <c r="AV72" s="433"/>
      <c r="AW72" s="433"/>
      <c r="AX72" s="433"/>
      <c r="AY72" s="433"/>
      <c r="AZ72" s="433"/>
      <c r="BA72" s="433"/>
      <c r="BB72" s="433"/>
      <c r="BC72" s="433"/>
      <c r="BD72" s="433"/>
      <c r="BE72" s="433"/>
      <c r="BF72" s="433"/>
      <c r="BG72" s="433"/>
      <c r="BH72" s="433"/>
      <c r="BI72" s="433"/>
      <c r="BJ72" s="433"/>
      <c r="BK72" s="433"/>
      <c r="BL72" s="433"/>
      <c r="BM72" s="433"/>
      <c r="BN72" s="433"/>
      <c r="BO72" s="433"/>
      <c r="BP72" s="433"/>
      <c r="BQ72" s="433"/>
      <c r="BR72" s="433"/>
      <c r="BS72" s="433"/>
      <c r="BT72" s="433"/>
      <c r="BU72" s="399" t="str">
        <f t="shared" si="21"/>
        <v/>
      </c>
      <c r="BV72" s="433"/>
      <c r="BW72" s="433"/>
      <c r="BX72" s="433"/>
      <c r="BY72" s="433"/>
      <c r="BZ72" s="433"/>
      <c r="CA72" s="433"/>
      <c r="CB72" s="433"/>
      <c r="CC72" s="433"/>
      <c r="CD72" s="433"/>
      <c r="CE72" s="433"/>
      <c r="CF72" s="433"/>
      <c r="CG72" s="433"/>
      <c r="CH72" s="433"/>
      <c r="CI72" s="433"/>
      <c r="CJ72" s="433"/>
      <c r="CK72" s="433"/>
      <c r="CL72" s="433"/>
      <c r="CM72" s="433"/>
      <c r="CN72" s="433"/>
      <c r="CO72" s="433"/>
      <c r="CP72" s="433"/>
      <c r="CQ72" s="433"/>
      <c r="CR72" s="433"/>
      <c r="CS72" s="433"/>
      <c r="CT72" s="433"/>
      <c r="CU72" s="433"/>
      <c r="CV72" s="433"/>
      <c r="CW72" s="433"/>
      <c r="CX72" s="433"/>
      <c r="CY72" s="433"/>
      <c r="CZ72" s="399" t="str">
        <f t="shared" si="22"/>
        <v/>
      </c>
      <c r="DA72" s="399" t="str">
        <f t="shared" si="23"/>
        <v/>
      </c>
      <c r="DB72" s="399" t="str">
        <f t="shared" si="24"/>
        <v/>
      </c>
      <c r="DC72" s="399" t="str">
        <f t="shared" si="25"/>
        <v/>
      </c>
      <c r="DD72" s="399" t="str">
        <f t="shared" si="16"/>
        <v/>
      </c>
      <c r="DE72" s="399" t="str">
        <f t="shared" si="26"/>
        <v/>
      </c>
      <c r="DG72" s="434"/>
      <c r="DH72" s="434"/>
      <c r="DJ72" s="399"/>
    </row>
    <row r="73" spans="8:114" x14ac:dyDescent="0.25">
      <c r="H73" s="416" t="str">
        <f ca="1">IF(IMPORT!C86="","",IMPORT!C86)</f>
        <v/>
      </c>
      <c r="I73" s="416" t="str">
        <f ca="1">IF(IMPORT!D86="","",IMPORT!D86)</f>
        <v/>
      </c>
      <c r="J73" s="416" t="str">
        <f ca="1">IF(IMPORT!E86="","",IMPORT!E86)</f>
        <v/>
      </c>
      <c r="K73" s="416" t="str">
        <f ca="1">IF(IMPORT!F86="","",IMPORT!F86)</f>
        <v/>
      </c>
      <c r="L73" s="416" t="str">
        <f ca="1">IF(IMPORT!G86="","",IMPORT!G86)</f>
        <v/>
      </c>
      <c r="M73" s="416" t="str">
        <f>IF(IMPORT!H86="","",IMPORT!H86)</f>
        <v/>
      </c>
      <c r="N73" s="399" t="str">
        <f t="shared" si="17"/>
        <v/>
      </c>
      <c r="P73" s="406" t="str">
        <f t="shared" si="18"/>
        <v/>
      </c>
      <c r="Q73" s="406" t="str">
        <f t="array" ref="Q73">IFERROR(INDEX($N$1:$N$203,SMALL(IF($N$1:$N$203&lt;&gt;"",ROW($N$1:$N$203)),ROW(71:71))),"")</f>
        <v/>
      </c>
      <c r="R73" s="399" t="str">
        <f t="shared" si="15"/>
        <v/>
      </c>
      <c r="S73" s="399" t="str">
        <f t="shared" si="19"/>
        <v/>
      </c>
      <c r="T73" s="399" t="str">
        <f t="shared" si="20"/>
        <v/>
      </c>
      <c r="U73" s="419" t="str">
        <f t="shared" si="13"/>
        <v/>
      </c>
      <c r="V73" s="433" t="b">
        <v>0</v>
      </c>
      <c r="W73" s="464"/>
      <c r="X73" s="433"/>
      <c r="Y73" s="433" t="s">
        <v>92</v>
      </c>
      <c r="Z73" s="433"/>
      <c r="AA73" s="433"/>
      <c r="AB73" s="433"/>
      <c r="AC73" s="433" t="s">
        <v>1401</v>
      </c>
      <c r="AD73" s="433"/>
      <c r="AE73" s="433" t="s">
        <v>111</v>
      </c>
      <c r="AF73" s="433" t="s">
        <v>299</v>
      </c>
      <c r="AG73" s="433"/>
      <c r="AH73" s="433"/>
      <c r="AI73" s="433"/>
      <c r="AJ73" s="433"/>
      <c r="AK73" s="433"/>
      <c r="AL73" s="433"/>
      <c r="AM73" s="433"/>
      <c r="AN73" s="433"/>
      <c r="AO73" s="433"/>
      <c r="AP73" s="433"/>
      <c r="AQ73" s="433"/>
      <c r="AR73" s="433"/>
      <c r="AS73" s="433" t="b">
        <v>0</v>
      </c>
      <c r="AT73" s="433"/>
      <c r="AU73" s="433"/>
      <c r="AV73" s="433"/>
      <c r="AW73" s="433"/>
      <c r="AX73" s="433"/>
      <c r="AY73" s="433"/>
      <c r="AZ73" s="433"/>
      <c r="BA73" s="433"/>
      <c r="BB73" s="433"/>
      <c r="BC73" s="433"/>
      <c r="BD73" s="433"/>
      <c r="BE73" s="433"/>
      <c r="BF73" s="433"/>
      <c r="BG73" s="433"/>
      <c r="BH73" s="433"/>
      <c r="BI73" s="433"/>
      <c r="BJ73" s="433"/>
      <c r="BK73" s="433"/>
      <c r="BL73" s="433"/>
      <c r="BM73" s="433"/>
      <c r="BN73" s="433"/>
      <c r="BO73" s="433"/>
      <c r="BP73" s="433"/>
      <c r="BQ73" s="433"/>
      <c r="BR73" s="433"/>
      <c r="BS73" s="433"/>
      <c r="BT73" s="433"/>
      <c r="BU73" s="399" t="str">
        <f t="shared" si="21"/>
        <v/>
      </c>
      <c r="BV73" s="433"/>
      <c r="BW73" s="433"/>
      <c r="BX73" s="433"/>
      <c r="BY73" s="433"/>
      <c r="BZ73" s="433"/>
      <c r="CA73" s="433"/>
      <c r="CB73" s="433"/>
      <c r="CC73" s="433"/>
      <c r="CD73" s="433"/>
      <c r="CE73" s="433"/>
      <c r="CF73" s="433"/>
      <c r="CG73" s="433"/>
      <c r="CH73" s="433"/>
      <c r="CI73" s="433"/>
      <c r="CJ73" s="433"/>
      <c r="CK73" s="433"/>
      <c r="CL73" s="433"/>
      <c r="CM73" s="433"/>
      <c r="CN73" s="433"/>
      <c r="CO73" s="433"/>
      <c r="CP73" s="433"/>
      <c r="CQ73" s="433"/>
      <c r="CR73" s="433"/>
      <c r="CS73" s="433"/>
      <c r="CT73" s="433"/>
      <c r="CU73" s="433"/>
      <c r="CV73" s="433"/>
      <c r="CW73" s="433"/>
      <c r="CX73" s="433"/>
      <c r="CY73" s="433"/>
      <c r="CZ73" s="399" t="str">
        <f t="shared" si="22"/>
        <v/>
      </c>
      <c r="DA73" s="399" t="str">
        <f t="shared" si="23"/>
        <v/>
      </c>
      <c r="DB73" s="399" t="str">
        <f t="shared" si="24"/>
        <v/>
      </c>
      <c r="DC73" s="399" t="str">
        <f t="shared" si="25"/>
        <v/>
      </c>
      <c r="DD73" s="399" t="str">
        <f t="shared" si="16"/>
        <v/>
      </c>
      <c r="DE73" s="399" t="str">
        <f t="shared" si="26"/>
        <v/>
      </c>
      <c r="DG73" s="434"/>
      <c r="DH73" s="434"/>
      <c r="DJ73" s="399"/>
    </row>
    <row r="74" spans="8:114" x14ac:dyDescent="0.25">
      <c r="H74" s="416" t="str">
        <f ca="1">IF(IMPORT!C87="","",IMPORT!C87)</f>
        <v/>
      </c>
      <c r="I74" s="416" t="str">
        <f ca="1">IF(IMPORT!D87="","",IMPORT!D87)</f>
        <v/>
      </c>
      <c r="J74" s="416" t="str">
        <f ca="1">IF(IMPORT!E87="","",IMPORT!E87)</f>
        <v/>
      </c>
      <c r="K74" s="416" t="str">
        <f ca="1">IF(IMPORT!F87="","",IMPORT!F87)</f>
        <v/>
      </c>
      <c r="L74" s="416" t="str">
        <f ca="1">IF(IMPORT!G87="","",IMPORT!G87)</f>
        <v/>
      </c>
      <c r="M74" s="416" t="str">
        <f>IF(IMPORT!H87="","",IMPORT!H87)</f>
        <v/>
      </c>
      <c r="N74" s="399" t="str">
        <f t="shared" si="17"/>
        <v/>
      </c>
      <c r="P74" s="406" t="str">
        <f t="shared" si="18"/>
        <v/>
      </c>
      <c r="Q74" s="406" t="str">
        <f t="array" ref="Q74">IFERROR(INDEX($N$1:$N$203,SMALL(IF($N$1:$N$203&lt;&gt;"",ROW($N$1:$N$203)),ROW(72:72))),"")</f>
        <v/>
      </c>
      <c r="R74" s="399" t="str">
        <f t="shared" si="15"/>
        <v/>
      </c>
      <c r="S74" s="399" t="str">
        <f t="shared" si="19"/>
        <v/>
      </c>
      <c r="T74" s="399" t="str">
        <f t="shared" si="20"/>
        <v/>
      </c>
      <c r="U74" s="419" t="str">
        <f t="shared" si="13"/>
        <v/>
      </c>
      <c r="V74" s="433" t="b">
        <v>0</v>
      </c>
      <c r="W74" s="464"/>
      <c r="X74" s="433"/>
      <c r="Y74" s="433" t="s">
        <v>92</v>
      </c>
      <c r="Z74" s="433"/>
      <c r="AA74" s="433"/>
      <c r="AB74" s="433"/>
      <c r="AC74" s="433" t="s">
        <v>1401</v>
      </c>
      <c r="AD74" s="433"/>
      <c r="AE74" s="433" t="s">
        <v>111</v>
      </c>
      <c r="AF74" s="433" t="s">
        <v>299</v>
      </c>
      <c r="AG74" s="433"/>
      <c r="AH74" s="433"/>
      <c r="AI74" s="433"/>
      <c r="AJ74" s="433"/>
      <c r="AK74" s="433"/>
      <c r="AL74" s="433"/>
      <c r="AM74" s="433"/>
      <c r="AN74" s="433"/>
      <c r="AO74" s="433"/>
      <c r="AP74" s="433"/>
      <c r="AQ74" s="433"/>
      <c r="AR74" s="433"/>
      <c r="AS74" s="433" t="b">
        <v>0</v>
      </c>
      <c r="AT74" s="433"/>
      <c r="AU74" s="433"/>
      <c r="AV74" s="433"/>
      <c r="AW74" s="433"/>
      <c r="AX74" s="433"/>
      <c r="AY74" s="433"/>
      <c r="AZ74" s="433"/>
      <c r="BA74" s="433"/>
      <c r="BB74" s="433"/>
      <c r="BC74" s="433"/>
      <c r="BD74" s="433"/>
      <c r="BE74" s="433"/>
      <c r="BF74" s="433"/>
      <c r="BG74" s="433"/>
      <c r="BH74" s="433"/>
      <c r="BI74" s="433"/>
      <c r="BJ74" s="433"/>
      <c r="BK74" s="433"/>
      <c r="BL74" s="433"/>
      <c r="BM74" s="433"/>
      <c r="BN74" s="433"/>
      <c r="BO74" s="433"/>
      <c r="BP74" s="433"/>
      <c r="BQ74" s="433"/>
      <c r="BR74" s="433"/>
      <c r="BS74" s="433"/>
      <c r="BT74" s="433"/>
      <c r="BU74" s="399" t="str">
        <f t="shared" si="21"/>
        <v/>
      </c>
      <c r="BV74" s="433"/>
      <c r="BW74" s="433"/>
      <c r="BX74" s="433"/>
      <c r="BY74" s="433"/>
      <c r="BZ74" s="433"/>
      <c r="CA74" s="433"/>
      <c r="CB74" s="433"/>
      <c r="CC74" s="433"/>
      <c r="CD74" s="433"/>
      <c r="CE74" s="433"/>
      <c r="CF74" s="433"/>
      <c r="CG74" s="433"/>
      <c r="CH74" s="433"/>
      <c r="CI74" s="433"/>
      <c r="CJ74" s="433"/>
      <c r="CK74" s="433"/>
      <c r="CL74" s="433"/>
      <c r="CM74" s="433"/>
      <c r="CN74" s="433"/>
      <c r="CO74" s="433"/>
      <c r="CP74" s="433"/>
      <c r="CQ74" s="433"/>
      <c r="CR74" s="433"/>
      <c r="CS74" s="433"/>
      <c r="CT74" s="433"/>
      <c r="CU74" s="433"/>
      <c r="CV74" s="433"/>
      <c r="CW74" s="433"/>
      <c r="CX74" s="433"/>
      <c r="CY74" s="433"/>
      <c r="CZ74" s="399" t="str">
        <f t="shared" si="22"/>
        <v/>
      </c>
      <c r="DA74" s="399" t="str">
        <f t="shared" si="23"/>
        <v/>
      </c>
      <c r="DB74" s="399" t="str">
        <f t="shared" si="24"/>
        <v/>
      </c>
      <c r="DC74" s="399" t="str">
        <f t="shared" si="25"/>
        <v/>
      </c>
      <c r="DD74" s="399" t="str">
        <f t="shared" si="16"/>
        <v/>
      </c>
      <c r="DE74" s="399" t="str">
        <f t="shared" si="26"/>
        <v/>
      </c>
      <c r="DG74" s="434"/>
      <c r="DH74" s="434"/>
      <c r="DJ74" s="399"/>
    </row>
    <row r="75" spans="8:114" x14ac:dyDescent="0.25">
      <c r="H75" s="416" t="str">
        <f ca="1">IF(IMPORT!C88="","",IMPORT!C88)</f>
        <v/>
      </c>
      <c r="I75" s="416" t="str">
        <f ca="1">IF(IMPORT!D88="","",IMPORT!D88)</f>
        <v/>
      </c>
      <c r="J75" s="416" t="str">
        <f ca="1">IF(IMPORT!E88="","",IMPORT!E88)</f>
        <v/>
      </c>
      <c r="K75" s="416" t="str">
        <f ca="1">IF(IMPORT!F88="","",IMPORT!F88)</f>
        <v/>
      </c>
      <c r="L75" s="416" t="str">
        <f ca="1">IF(IMPORT!G88="","",IMPORT!G88)</f>
        <v/>
      </c>
      <c r="M75" s="416" t="str">
        <f>IF(IMPORT!H88="","",IMPORT!H88)</f>
        <v/>
      </c>
      <c r="N75" s="399" t="str">
        <f t="shared" si="17"/>
        <v/>
      </c>
      <c r="P75" s="406" t="str">
        <f t="shared" si="18"/>
        <v/>
      </c>
      <c r="Q75" s="406" t="str">
        <f t="array" ref="Q75">IFERROR(INDEX($N$1:$N$203,SMALL(IF($N$1:$N$203&lt;&gt;"",ROW($N$1:$N$203)),ROW(73:73))),"")</f>
        <v/>
      </c>
      <c r="R75" s="399" t="str">
        <f t="shared" si="15"/>
        <v/>
      </c>
      <c r="S75" s="399" t="str">
        <f t="shared" si="19"/>
        <v/>
      </c>
      <c r="T75" s="399" t="str">
        <f t="shared" si="20"/>
        <v/>
      </c>
      <c r="U75" s="419" t="str">
        <f t="shared" si="13"/>
        <v/>
      </c>
      <c r="V75" s="433" t="b">
        <v>0</v>
      </c>
      <c r="W75" s="464"/>
      <c r="X75" s="433"/>
      <c r="Y75" s="433" t="s">
        <v>92</v>
      </c>
      <c r="Z75" s="433"/>
      <c r="AA75" s="433"/>
      <c r="AB75" s="433"/>
      <c r="AC75" s="433" t="s">
        <v>1401</v>
      </c>
      <c r="AD75" s="433"/>
      <c r="AE75" s="433" t="s">
        <v>111</v>
      </c>
      <c r="AF75" s="433" t="s">
        <v>299</v>
      </c>
      <c r="AG75" s="433"/>
      <c r="AH75" s="433"/>
      <c r="AI75" s="433"/>
      <c r="AJ75" s="433"/>
      <c r="AK75" s="433"/>
      <c r="AL75" s="433"/>
      <c r="AM75" s="433"/>
      <c r="AN75" s="433"/>
      <c r="AO75" s="433"/>
      <c r="AP75" s="433"/>
      <c r="AQ75" s="433"/>
      <c r="AR75" s="433"/>
      <c r="AS75" s="433" t="b">
        <v>0</v>
      </c>
      <c r="AT75" s="433"/>
      <c r="AU75" s="433"/>
      <c r="AV75" s="433"/>
      <c r="AW75" s="433"/>
      <c r="AX75" s="433"/>
      <c r="AY75" s="433"/>
      <c r="AZ75" s="433"/>
      <c r="BA75" s="433"/>
      <c r="BB75" s="433"/>
      <c r="BC75" s="433"/>
      <c r="BD75" s="433"/>
      <c r="BE75" s="433"/>
      <c r="BF75" s="433"/>
      <c r="BG75" s="433"/>
      <c r="BH75" s="433"/>
      <c r="BI75" s="433"/>
      <c r="BJ75" s="433"/>
      <c r="BK75" s="433"/>
      <c r="BL75" s="433"/>
      <c r="BM75" s="433"/>
      <c r="BN75" s="433"/>
      <c r="BO75" s="433"/>
      <c r="BP75" s="433"/>
      <c r="BQ75" s="433"/>
      <c r="BR75" s="433"/>
      <c r="BS75" s="433"/>
      <c r="BT75" s="433"/>
      <c r="BU75" s="399" t="str">
        <f t="shared" si="21"/>
        <v/>
      </c>
      <c r="BV75" s="433"/>
      <c r="BW75" s="433"/>
      <c r="BX75" s="433"/>
      <c r="BY75" s="433"/>
      <c r="BZ75" s="433"/>
      <c r="CA75" s="433"/>
      <c r="CB75" s="433"/>
      <c r="CC75" s="433"/>
      <c r="CD75" s="433"/>
      <c r="CE75" s="433"/>
      <c r="CF75" s="433"/>
      <c r="CG75" s="433"/>
      <c r="CH75" s="433"/>
      <c r="CI75" s="433"/>
      <c r="CJ75" s="433"/>
      <c r="CK75" s="433"/>
      <c r="CL75" s="433"/>
      <c r="CM75" s="433"/>
      <c r="CN75" s="433"/>
      <c r="CO75" s="433"/>
      <c r="CP75" s="433"/>
      <c r="CQ75" s="433"/>
      <c r="CR75" s="433"/>
      <c r="CS75" s="433"/>
      <c r="CT75" s="433"/>
      <c r="CU75" s="433"/>
      <c r="CV75" s="433"/>
      <c r="CW75" s="433"/>
      <c r="CX75" s="433"/>
      <c r="CY75" s="433"/>
      <c r="CZ75" s="399" t="str">
        <f t="shared" si="22"/>
        <v/>
      </c>
      <c r="DA75" s="399" t="str">
        <f t="shared" si="23"/>
        <v/>
      </c>
      <c r="DB75" s="399" t="str">
        <f t="shared" si="24"/>
        <v/>
      </c>
      <c r="DC75" s="399" t="str">
        <f t="shared" si="25"/>
        <v/>
      </c>
      <c r="DD75" s="399" t="str">
        <f t="shared" si="16"/>
        <v/>
      </c>
      <c r="DE75" s="399" t="str">
        <f t="shared" si="26"/>
        <v/>
      </c>
      <c r="DG75" s="434"/>
      <c r="DH75" s="434"/>
      <c r="DJ75" s="399"/>
    </row>
    <row r="76" spans="8:114" x14ac:dyDescent="0.25">
      <c r="H76" s="416" t="str">
        <f ca="1">IF(IMPORT!C89="","",IMPORT!C89)</f>
        <v/>
      </c>
      <c r="I76" s="416" t="str">
        <f ca="1">IF(IMPORT!D89="","",IMPORT!D89)</f>
        <v/>
      </c>
      <c r="J76" s="416" t="str">
        <f ca="1">IF(IMPORT!E89="","",IMPORT!E89)</f>
        <v/>
      </c>
      <c r="K76" s="416" t="str">
        <f ca="1">IF(IMPORT!F89="","",IMPORT!F89)</f>
        <v/>
      </c>
      <c r="L76" s="416" t="str">
        <f ca="1">IF(IMPORT!G89="","",IMPORT!G89)</f>
        <v/>
      </c>
      <c r="M76" s="416" t="str">
        <f>IF(IMPORT!H89="","",IMPORT!H89)</f>
        <v/>
      </c>
      <c r="N76" s="399" t="str">
        <f t="shared" si="17"/>
        <v/>
      </c>
      <c r="P76" s="406" t="str">
        <f t="shared" si="18"/>
        <v/>
      </c>
      <c r="Q76" s="406" t="str">
        <f t="array" ref="Q76">IFERROR(INDEX($N$1:$N$203,SMALL(IF($N$1:$N$203&lt;&gt;"",ROW($N$1:$N$203)),ROW(74:74))),"")</f>
        <v/>
      </c>
      <c r="R76" s="399" t="str">
        <f t="shared" si="15"/>
        <v/>
      </c>
      <c r="S76" s="399" t="str">
        <f t="shared" si="19"/>
        <v/>
      </c>
      <c r="T76" s="399" t="str">
        <f t="shared" si="20"/>
        <v/>
      </c>
      <c r="U76" s="419" t="str">
        <f t="shared" si="13"/>
        <v/>
      </c>
      <c r="V76" s="433" t="b">
        <v>0</v>
      </c>
      <c r="W76" s="464"/>
      <c r="X76" s="433"/>
      <c r="Y76" s="433" t="s">
        <v>92</v>
      </c>
      <c r="Z76" s="433"/>
      <c r="AA76" s="433"/>
      <c r="AB76" s="433"/>
      <c r="AC76" s="433" t="s">
        <v>1401</v>
      </c>
      <c r="AD76" s="433"/>
      <c r="AE76" s="433" t="s">
        <v>111</v>
      </c>
      <c r="AF76" s="433" t="s">
        <v>299</v>
      </c>
      <c r="AG76" s="433"/>
      <c r="AH76" s="433"/>
      <c r="AI76" s="433"/>
      <c r="AJ76" s="433"/>
      <c r="AK76" s="433"/>
      <c r="AL76" s="433"/>
      <c r="AM76" s="433"/>
      <c r="AN76" s="433"/>
      <c r="AO76" s="433"/>
      <c r="AP76" s="433"/>
      <c r="AQ76" s="433"/>
      <c r="AR76" s="433"/>
      <c r="AS76" s="433" t="b">
        <v>0</v>
      </c>
      <c r="AT76" s="433"/>
      <c r="AU76" s="433"/>
      <c r="AV76" s="433"/>
      <c r="AW76" s="433"/>
      <c r="AX76" s="433"/>
      <c r="AY76" s="433"/>
      <c r="AZ76" s="433"/>
      <c r="BA76" s="433"/>
      <c r="BB76" s="433"/>
      <c r="BC76" s="433"/>
      <c r="BD76" s="433"/>
      <c r="BE76" s="433"/>
      <c r="BF76" s="433"/>
      <c r="BG76" s="433"/>
      <c r="BH76" s="433"/>
      <c r="BI76" s="433"/>
      <c r="BJ76" s="433"/>
      <c r="BK76" s="433"/>
      <c r="BL76" s="433"/>
      <c r="BM76" s="433"/>
      <c r="BN76" s="433"/>
      <c r="BO76" s="433"/>
      <c r="BP76" s="433"/>
      <c r="BQ76" s="433"/>
      <c r="BR76" s="433"/>
      <c r="BS76" s="433"/>
      <c r="BT76" s="433"/>
      <c r="BU76" s="399" t="str">
        <f t="shared" si="21"/>
        <v/>
      </c>
      <c r="BV76" s="433"/>
      <c r="BW76" s="433"/>
      <c r="BX76" s="433"/>
      <c r="BY76" s="433"/>
      <c r="BZ76" s="433"/>
      <c r="CA76" s="433"/>
      <c r="CB76" s="433"/>
      <c r="CC76" s="433"/>
      <c r="CD76" s="433"/>
      <c r="CE76" s="433"/>
      <c r="CF76" s="433"/>
      <c r="CG76" s="433"/>
      <c r="CH76" s="433"/>
      <c r="CI76" s="433"/>
      <c r="CJ76" s="433"/>
      <c r="CK76" s="433"/>
      <c r="CL76" s="433"/>
      <c r="CM76" s="433"/>
      <c r="CN76" s="433"/>
      <c r="CO76" s="433"/>
      <c r="CP76" s="433"/>
      <c r="CQ76" s="433"/>
      <c r="CR76" s="433"/>
      <c r="CS76" s="433"/>
      <c r="CT76" s="433"/>
      <c r="CU76" s="433"/>
      <c r="CV76" s="433"/>
      <c r="CW76" s="433"/>
      <c r="CX76" s="433"/>
      <c r="CY76" s="433"/>
      <c r="CZ76" s="399" t="str">
        <f t="shared" si="22"/>
        <v/>
      </c>
      <c r="DA76" s="399" t="str">
        <f t="shared" si="23"/>
        <v/>
      </c>
      <c r="DB76" s="399" t="str">
        <f t="shared" si="24"/>
        <v/>
      </c>
      <c r="DC76" s="399" t="str">
        <f t="shared" si="25"/>
        <v/>
      </c>
      <c r="DD76" s="399" t="str">
        <f t="shared" si="16"/>
        <v/>
      </c>
      <c r="DE76" s="399" t="str">
        <f t="shared" si="26"/>
        <v/>
      </c>
      <c r="DG76" s="434"/>
      <c r="DH76" s="434"/>
      <c r="DJ76" s="399"/>
    </row>
    <row r="77" spans="8:114" x14ac:dyDescent="0.25">
      <c r="H77" s="416" t="str">
        <f ca="1">IF(IMPORT!C90="","",IMPORT!C90)</f>
        <v/>
      </c>
      <c r="I77" s="416" t="str">
        <f ca="1">IF(IMPORT!D90="","",IMPORT!D90)</f>
        <v/>
      </c>
      <c r="J77" s="416" t="str">
        <f ca="1">IF(IMPORT!E90="","",IMPORT!E90)</f>
        <v/>
      </c>
      <c r="K77" s="416" t="str">
        <f ca="1">IF(IMPORT!F90="","",IMPORT!F90)</f>
        <v/>
      </c>
      <c r="L77" s="416" t="str">
        <f ca="1">IF(IMPORT!G90="","",IMPORT!G90)</f>
        <v/>
      </c>
      <c r="M77" s="416" t="str">
        <f>IF(IMPORT!H90="","",IMPORT!H90)</f>
        <v/>
      </c>
      <c r="N77" s="399" t="str">
        <f t="shared" si="17"/>
        <v/>
      </c>
      <c r="P77" s="406" t="str">
        <f t="shared" si="18"/>
        <v/>
      </c>
      <c r="Q77" s="406" t="str">
        <f t="array" ref="Q77">IFERROR(INDEX($N$1:$N$203,SMALL(IF($N$1:$N$203&lt;&gt;"",ROW($N$1:$N$203)),ROW(75:75))),"")</f>
        <v/>
      </c>
      <c r="R77" s="399" t="str">
        <f t="shared" si="15"/>
        <v/>
      </c>
      <c r="S77" s="399" t="str">
        <f t="shared" si="19"/>
        <v/>
      </c>
      <c r="T77" s="399" t="str">
        <f t="shared" si="20"/>
        <v/>
      </c>
      <c r="U77" s="419" t="str">
        <f t="shared" ref="U77:U140" si="27">IF(P77="","",TowerTypeImport)</f>
        <v/>
      </c>
      <c r="V77" s="433" t="b">
        <v>0</v>
      </c>
      <c r="W77" s="464"/>
      <c r="X77" s="433"/>
      <c r="Y77" s="433" t="s">
        <v>92</v>
      </c>
      <c r="Z77" s="433"/>
      <c r="AA77" s="433"/>
      <c r="AB77" s="433"/>
      <c r="AC77" s="433" t="s">
        <v>1401</v>
      </c>
      <c r="AD77" s="433"/>
      <c r="AE77" s="433" t="s">
        <v>111</v>
      </c>
      <c r="AF77" s="433" t="s">
        <v>299</v>
      </c>
      <c r="AG77" s="433"/>
      <c r="AH77" s="433"/>
      <c r="AI77" s="433"/>
      <c r="AJ77" s="433"/>
      <c r="AK77" s="433"/>
      <c r="AL77" s="433"/>
      <c r="AM77" s="433"/>
      <c r="AN77" s="433"/>
      <c r="AO77" s="433"/>
      <c r="AP77" s="433"/>
      <c r="AQ77" s="433"/>
      <c r="AR77" s="433"/>
      <c r="AS77" s="433" t="b">
        <v>0</v>
      </c>
      <c r="AT77" s="433"/>
      <c r="AU77" s="433"/>
      <c r="AV77" s="433"/>
      <c r="AW77" s="433"/>
      <c r="AX77" s="433"/>
      <c r="AY77" s="433"/>
      <c r="AZ77" s="433"/>
      <c r="BA77" s="433"/>
      <c r="BB77" s="433"/>
      <c r="BC77" s="433"/>
      <c r="BD77" s="433"/>
      <c r="BE77" s="433"/>
      <c r="BF77" s="433"/>
      <c r="BG77" s="433"/>
      <c r="BH77" s="433"/>
      <c r="BI77" s="433"/>
      <c r="BJ77" s="433"/>
      <c r="BK77" s="433"/>
      <c r="BL77" s="433"/>
      <c r="BM77" s="433"/>
      <c r="BN77" s="433"/>
      <c r="BO77" s="433"/>
      <c r="BP77" s="433"/>
      <c r="BQ77" s="433"/>
      <c r="BR77" s="433"/>
      <c r="BS77" s="433"/>
      <c r="BT77" s="433"/>
      <c r="BU77" s="399" t="str">
        <f t="shared" si="21"/>
        <v/>
      </c>
      <c r="BV77" s="433"/>
      <c r="BW77" s="433"/>
      <c r="BX77" s="433"/>
      <c r="BY77" s="433"/>
      <c r="BZ77" s="433"/>
      <c r="CA77" s="433"/>
      <c r="CB77" s="433"/>
      <c r="CC77" s="433"/>
      <c r="CD77" s="433"/>
      <c r="CE77" s="433"/>
      <c r="CF77" s="433"/>
      <c r="CG77" s="433"/>
      <c r="CH77" s="433"/>
      <c r="CI77" s="433"/>
      <c r="CJ77" s="433"/>
      <c r="CK77" s="433"/>
      <c r="CL77" s="433"/>
      <c r="CM77" s="433"/>
      <c r="CN77" s="433"/>
      <c r="CO77" s="433"/>
      <c r="CP77" s="433"/>
      <c r="CQ77" s="433"/>
      <c r="CR77" s="433"/>
      <c r="CS77" s="433"/>
      <c r="CT77" s="433"/>
      <c r="CU77" s="433"/>
      <c r="CV77" s="433"/>
      <c r="CW77" s="433"/>
      <c r="CX77" s="433"/>
      <c r="CY77" s="433"/>
      <c r="CZ77" s="399" t="str">
        <f t="shared" si="22"/>
        <v/>
      </c>
      <c r="DA77" s="399" t="str">
        <f t="shared" si="23"/>
        <v/>
      </c>
      <c r="DB77" s="399" t="str">
        <f t="shared" si="24"/>
        <v/>
      </c>
      <c r="DC77" s="399" t="str">
        <f t="shared" si="25"/>
        <v/>
      </c>
      <c r="DD77" s="399" t="str">
        <f t="shared" si="16"/>
        <v/>
      </c>
      <c r="DE77" s="399" t="str">
        <f t="shared" si="26"/>
        <v/>
      </c>
      <c r="DG77" s="434"/>
      <c r="DH77" s="434"/>
      <c r="DJ77" s="399"/>
    </row>
    <row r="78" spans="8:114" x14ac:dyDescent="0.25">
      <c r="H78" s="416" t="str">
        <f ca="1">IF(IMPORT!C91="","",IMPORT!C91)</f>
        <v/>
      </c>
      <c r="I78" s="416" t="str">
        <f ca="1">IF(IMPORT!D91="","",IMPORT!D91)</f>
        <v/>
      </c>
      <c r="J78" s="416" t="str">
        <f ca="1">IF(IMPORT!E91="","",IMPORT!E91)</f>
        <v/>
      </c>
      <c r="K78" s="416" t="str">
        <f ca="1">IF(IMPORT!F91="","",IMPORT!F91)</f>
        <v/>
      </c>
      <c r="L78" s="416" t="str">
        <f ca="1">IF(IMPORT!G91="","",IMPORT!G91)</f>
        <v/>
      </c>
      <c r="M78" s="416" t="str">
        <f>IF(IMPORT!H91="","",IMPORT!H91)</f>
        <v/>
      </c>
      <c r="N78" s="399" t="str">
        <f t="shared" si="17"/>
        <v/>
      </c>
      <c r="P78" s="406" t="str">
        <f t="shared" si="18"/>
        <v/>
      </c>
      <c r="Q78" s="406" t="str">
        <f t="array" ref="Q78">IFERROR(INDEX($N$1:$N$203,SMALL(IF($N$1:$N$203&lt;&gt;"",ROW($N$1:$N$203)),ROW(76:76))),"")</f>
        <v/>
      </c>
      <c r="R78" s="399" t="str">
        <f t="shared" si="15"/>
        <v/>
      </c>
      <c r="S78" s="399" t="str">
        <f t="shared" si="19"/>
        <v/>
      </c>
      <c r="T78" s="399" t="str">
        <f t="shared" si="20"/>
        <v/>
      </c>
      <c r="U78" s="419" t="str">
        <f t="shared" si="27"/>
        <v/>
      </c>
      <c r="V78" s="433" t="b">
        <v>0</v>
      </c>
      <c r="W78" s="464"/>
      <c r="X78" s="433"/>
      <c r="Y78" s="433" t="s">
        <v>92</v>
      </c>
      <c r="Z78" s="433"/>
      <c r="AA78" s="433"/>
      <c r="AB78" s="433"/>
      <c r="AC78" s="433" t="s">
        <v>1401</v>
      </c>
      <c r="AD78" s="433"/>
      <c r="AE78" s="433" t="s">
        <v>111</v>
      </c>
      <c r="AF78" s="433" t="s">
        <v>299</v>
      </c>
      <c r="AG78" s="433"/>
      <c r="AH78" s="433"/>
      <c r="AI78" s="433"/>
      <c r="AJ78" s="433"/>
      <c r="AK78" s="433"/>
      <c r="AL78" s="433"/>
      <c r="AM78" s="433"/>
      <c r="AN78" s="433"/>
      <c r="AO78" s="433"/>
      <c r="AP78" s="433"/>
      <c r="AQ78" s="433"/>
      <c r="AR78" s="433"/>
      <c r="AS78" s="433" t="b">
        <v>0</v>
      </c>
      <c r="AT78" s="433"/>
      <c r="AU78" s="433"/>
      <c r="AV78" s="433"/>
      <c r="AW78" s="433"/>
      <c r="AX78" s="433"/>
      <c r="AY78" s="433"/>
      <c r="AZ78" s="433"/>
      <c r="BA78" s="433"/>
      <c r="BB78" s="433"/>
      <c r="BC78" s="433"/>
      <c r="BD78" s="433"/>
      <c r="BE78" s="433"/>
      <c r="BF78" s="433"/>
      <c r="BG78" s="433"/>
      <c r="BH78" s="433"/>
      <c r="BI78" s="433"/>
      <c r="BJ78" s="433"/>
      <c r="BK78" s="433"/>
      <c r="BL78" s="433"/>
      <c r="BM78" s="433"/>
      <c r="BN78" s="433"/>
      <c r="BO78" s="433"/>
      <c r="BP78" s="433"/>
      <c r="BQ78" s="433"/>
      <c r="BR78" s="433"/>
      <c r="BS78" s="433"/>
      <c r="BT78" s="433"/>
      <c r="BU78" s="399" t="str">
        <f t="shared" si="21"/>
        <v/>
      </c>
      <c r="BV78" s="433"/>
      <c r="BW78" s="433"/>
      <c r="BX78" s="433"/>
      <c r="BY78" s="433"/>
      <c r="BZ78" s="433"/>
      <c r="CA78" s="433"/>
      <c r="CB78" s="433"/>
      <c r="CC78" s="433"/>
      <c r="CD78" s="433"/>
      <c r="CE78" s="433"/>
      <c r="CF78" s="433"/>
      <c r="CG78" s="433"/>
      <c r="CH78" s="433"/>
      <c r="CI78" s="433"/>
      <c r="CJ78" s="433"/>
      <c r="CK78" s="433"/>
      <c r="CL78" s="433"/>
      <c r="CM78" s="433"/>
      <c r="CN78" s="433"/>
      <c r="CO78" s="433"/>
      <c r="CP78" s="433"/>
      <c r="CQ78" s="433"/>
      <c r="CR78" s="433"/>
      <c r="CS78" s="433"/>
      <c r="CT78" s="433"/>
      <c r="CU78" s="433"/>
      <c r="CV78" s="433"/>
      <c r="CW78" s="433"/>
      <c r="CX78" s="433"/>
      <c r="CY78" s="433"/>
      <c r="CZ78" s="399" t="str">
        <f t="shared" si="22"/>
        <v/>
      </c>
      <c r="DA78" s="399" t="str">
        <f t="shared" si="23"/>
        <v/>
      </c>
      <c r="DB78" s="399" t="str">
        <f t="shared" si="24"/>
        <v/>
      </c>
      <c r="DC78" s="399" t="str">
        <f t="shared" si="25"/>
        <v/>
      </c>
      <c r="DD78" s="399" t="str">
        <f t="shared" si="16"/>
        <v/>
      </c>
      <c r="DE78" s="399" t="str">
        <f t="shared" si="26"/>
        <v/>
      </c>
      <c r="DG78" s="434"/>
      <c r="DH78" s="434"/>
      <c r="DJ78" s="399"/>
    </row>
    <row r="79" spans="8:114" x14ac:dyDescent="0.25">
      <c r="H79" s="416" t="str">
        <f ca="1">IF(IMPORT!C92="","",IMPORT!C92)</f>
        <v/>
      </c>
      <c r="I79" s="416" t="str">
        <f ca="1">IF(IMPORT!D92="","",IMPORT!D92)</f>
        <v/>
      </c>
      <c r="J79" s="416" t="str">
        <f ca="1">IF(IMPORT!E92="","",IMPORT!E92)</f>
        <v/>
      </c>
      <c r="K79" s="416" t="str">
        <f ca="1">IF(IMPORT!F92="","",IMPORT!F92)</f>
        <v/>
      </c>
      <c r="L79" s="416" t="str">
        <f ca="1">IF(IMPORT!G92="","",IMPORT!G92)</f>
        <v/>
      </c>
      <c r="M79" s="416" t="str">
        <f>IF(IMPORT!H92="","",IMPORT!H92)</f>
        <v/>
      </c>
      <c r="N79" s="399" t="str">
        <f t="shared" si="17"/>
        <v/>
      </c>
      <c r="P79" s="406" t="str">
        <f t="shared" si="18"/>
        <v/>
      </c>
      <c r="Q79" s="406" t="str">
        <f t="array" ref="Q79">IFERROR(INDEX($N$1:$N$203,SMALL(IF($N$1:$N$203&lt;&gt;"",ROW($N$1:$N$203)),ROW(77:77))),"")</f>
        <v/>
      </c>
      <c r="R79" s="399" t="str">
        <f t="shared" si="15"/>
        <v/>
      </c>
      <c r="S79" s="399" t="str">
        <f t="shared" si="19"/>
        <v/>
      </c>
      <c r="T79" s="399" t="str">
        <f t="shared" si="20"/>
        <v/>
      </c>
      <c r="U79" s="419" t="str">
        <f t="shared" si="27"/>
        <v/>
      </c>
      <c r="V79" s="433" t="b">
        <v>0</v>
      </c>
      <c r="W79" s="464"/>
      <c r="X79" s="433"/>
      <c r="Y79" s="433" t="s">
        <v>92</v>
      </c>
      <c r="Z79" s="433"/>
      <c r="AA79" s="433"/>
      <c r="AB79" s="433"/>
      <c r="AC79" s="433" t="s">
        <v>1401</v>
      </c>
      <c r="AD79" s="433"/>
      <c r="AE79" s="433" t="s">
        <v>111</v>
      </c>
      <c r="AF79" s="433" t="s">
        <v>299</v>
      </c>
      <c r="AG79" s="433"/>
      <c r="AH79" s="433"/>
      <c r="AI79" s="433"/>
      <c r="AJ79" s="433"/>
      <c r="AK79" s="433"/>
      <c r="AL79" s="433"/>
      <c r="AM79" s="433"/>
      <c r="AN79" s="433"/>
      <c r="AO79" s="433"/>
      <c r="AP79" s="433"/>
      <c r="AQ79" s="433"/>
      <c r="AR79" s="433"/>
      <c r="AS79" s="433" t="b">
        <v>0</v>
      </c>
      <c r="AT79" s="433"/>
      <c r="AU79" s="433"/>
      <c r="AV79" s="433"/>
      <c r="AW79" s="433"/>
      <c r="AX79" s="433"/>
      <c r="AY79" s="433"/>
      <c r="AZ79" s="433"/>
      <c r="BA79" s="433"/>
      <c r="BB79" s="433"/>
      <c r="BC79" s="433"/>
      <c r="BD79" s="433"/>
      <c r="BE79" s="433"/>
      <c r="BF79" s="433"/>
      <c r="BG79" s="433"/>
      <c r="BH79" s="433"/>
      <c r="BI79" s="433"/>
      <c r="BJ79" s="433"/>
      <c r="BK79" s="433"/>
      <c r="BL79" s="433"/>
      <c r="BM79" s="433"/>
      <c r="BN79" s="433"/>
      <c r="BO79" s="433"/>
      <c r="BP79" s="433"/>
      <c r="BQ79" s="433"/>
      <c r="BR79" s="433"/>
      <c r="BS79" s="433"/>
      <c r="BT79" s="433"/>
      <c r="BU79" s="399" t="str">
        <f t="shared" si="21"/>
        <v/>
      </c>
      <c r="BV79" s="433"/>
      <c r="BW79" s="433"/>
      <c r="BX79" s="433"/>
      <c r="BY79" s="433"/>
      <c r="BZ79" s="433"/>
      <c r="CA79" s="433"/>
      <c r="CB79" s="433"/>
      <c r="CC79" s="433"/>
      <c r="CD79" s="433"/>
      <c r="CE79" s="433"/>
      <c r="CF79" s="433"/>
      <c r="CG79" s="433"/>
      <c r="CH79" s="433"/>
      <c r="CI79" s="433"/>
      <c r="CJ79" s="433"/>
      <c r="CK79" s="433"/>
      <c r="CL79" s="433"/>
      <c r="CM79" s="433"/>
      <c r="CN79" s="433"/>
      <c r="CO79" s="433"/>
      <c r="CP79" s="433"/>
      <c r="CQ79" s="433"/>
      <c r="CR79" s="433"/>
      <c r="CS79" s="433"/>
      <c r="CT79" s="433"/>
      <c r="CU79" s="433"/>
      <c r="CV79" s="433"/>
      <c r="CW79" s="433"/>
      <c r="CX79" s="433"/>
      <c r="CY79" s="433"/>
      <c r="CZ79" s="399" t="str">
        <f t="shared" si="22"/>
        <v/>
      </c>
      <c r="DA79" s="399" t="str">
        <f t="shared" si="23"/>
        <v/>
      </c>
      <c r="DB79" s="399" t="str">
        <f t="shared" si="24"/>
        <v/>
      </c>
      <c r="DC79" s="399" t="str">
        <f t="shared" si="25"/>
        <v/>
      </c>
      <c r="DD79" s="399" t="str">
        <f t="shared" si="16"/>
        <v/>
      </c>
      <c r="DE79" s="399" t="str">
        <f t="shared" si="26"/>
        <v/>
      </c>
      <c r="DG79" s="434"/>
      <c r="DH79" s="434"/>
      <c r="DJ79" s="399"/>
    </row>
    <row r="80" spans="8:114" x14ac:dyDescent="0.25">
      <c r="H80" s="416" t="str">
        <f ca="1">IF(IMPORT!C93="","",IMPORT!C93)</f>
        <v/>
      </c>
      <c r="I80" s="416" t="str">
        <f ca="1">IF(IMPORT!D93="","",IMPORT!D93)</f>
        <v/>
      </c>
      <c r="J80" s="416" t="str">
        <f ca="1">IF(IMPORT!E93="","",IMPORT!E93)</f>
        <v/>
      </c>
      <c r="K80" s="416" t="str">
        <f ca="1">IF(IMPORT!F93="","",IMPORT!F93)</f>
        <v/>
      </c>
      <c r="L80" s="416" t="str">
        <f ca="1">IF(IMPORT!G93="","",IMPORT!G93)</f>
        <v/>
      </c>
      <c r="M80" s="416" t="str">
        <f>IF(IMPORT!H93="","",IMPORT!H93)</f>
        <v/>
      </c>
      <c r="N80" s="399" t="str">
        <f t="shared" si="17"/>
        <v/>
      </c>
      <c r="P80" s="406" t="str">
        <f t="shared" si="18"/>
        <v/>
      </c>
      <c r="Q80" s="406" t="str">
        <f t="array" ref="Q80">IFERROR(INDEX($N$1:$N$203,SMALL(IF($N$1:$N$203&lt;&gt;"",ROW($N$1:$N$203)),ROW(78:78))),"")</f>
        <v/>
      </c>
      <c r="R80" s="399" t="str">
        <f t="shared" si="15"/>
        <v/>
      </c>
      <c r="S80" s="399" t="str">
        <f t="shared" si="19"/>
        <v/>
      </c>
      <c r="T80" s="399" t="str">
        <f t="shared" si="20"/>
        <v/>
      </c>
      <c r="U80" s="419" t="str">
        <f t="shared" si="27"/>
        <v/>
      </c>
      <c r="V80" s="433" t="b">
        <v>0</v>
      </c>
      <c r="W80" s="464"/>
      <c r="X80" s="433"/>
      <c r="Y80" s="433" t="s">
        <v>92</v>
      </c>
      <c r="Z80" s="433"/>
      <c r="AA80" s="433"/>
      <c r="AB80" s="433"/>
      <c r="AC80" s="433" t="s">
        <v>1401</v>
      </c>
      <c r="AD80" s="433"/>
      <c r="AE80" s="433" t="s">
        <v>111</v>
      </c>
      <c r="AF80" s="433" t="s">
        <v>299</v>
      </c>
      <c r="AG80" s="433"/>
      <c r="AH80" s="433"/>
      <c r="AI80" s="433"/>
      <c r="AJ80" s="433"/>
      <c r="AK80" s="433"/>
      <c r="AL80" s="433"/>
      <c r="AM80" s="433"/>
      <c r="AN80" s="433"/>
      <c r="AO80" s="433"/>
      <c r="AP80" s="433"/>
      <c r="AQ80" s="433"/>
      <c r="AR80" s="433"/>
      <c r="AS80" s="433" t="b">
        <v>0</v>
      </c>
      <c r="AT80" s="433"/>
      <c r="AU80" s="433"/>
      <c r="AV80" s="433"/>
      <c r="AW80" s="433"/>
      <c r="AX80" s="433"/>
      <c r="AY80" s="433"/>
      <c r="AZ80" s="433"/>
      <c r="BA80" s="433"/>
      <c r="BB80" s="433"/>
      <c r="BC80" s="433"/>
      <c r="BD80" s="433"/>
      <c r="BE80" s="433"/>
      <c r="BF80" s="433"/>
      <c r="BG80" s="433"/>
      <c r="BH80" s="433"/>
      <c r="BI80" s="433"/>
      <c r="BJ80" s="433"/>
      <c r="BK80" s="433"/>
      <c r="BL80" s="433"/>
      <c r="BM80" s="433"/>
      <c r="BN80" s="433"/>
      <c r="BO80" s="433"/>
      <c r="BP80" s="433"/>
      <c r="BQ80" s="433"/>
      <c r="BR80" s="433"/>
      <c r="BS80" s="433"/>
      <c r="BT80" s="433"/>
      <c r="BU80" s="399" t="str">
        <f t="shared" si="21"/>
        <v/>
      </c>
      <c r="BV80" s="433"/>
      <c r="BW80" s="433"/>
      <c r="BX80" s="433"/>
      <c r="BY80" s="433"/>
      <c r="BZ80" s="433"/>
      <c r="CA80" s="433"/>
      <c r="CB80" s="433"/>
      <c r="CC80" s="433"/>
      <c r="CD80" s="433"/>
      <c r="CE80" s="433"/>
      <c r="CF80" s="433"/>
      <c r="CG80" s="433"/>
      <c r="CH80" s="433"/>
      <c r="CI80" s="433"/>
      <c r="CJ80" s="433"/>
      <c r="CK80" s="433"/>
      <c r="CL80" s="433"/>
      <c r="CM80" s="433"/>
      <c r="CN80" s="433"/>
      <c r="CO80" s="433"/>
      <c r="CP80" s="433"/>
      <c r="CQ80" s="433"/>
      <c r="CR80" s="433"/>
      <c r="CS80" s="433"/>
      <c r="CT80" s="433"/>
      <c r="CU80" s="433"/>
      <c r="CV80" s="433"/>
      <c r="CW80" s="433"/>
      <c r="CX80" s="433"/>
      <c r="CY80" s="433"/>
      <c r="CZ80" s="399" t="str">
        <f t="shared" si="22"/>
        <v/>
      </c>
      <c r="DA80" s="399" t="str">
        <f t="shared" si="23"/>
        <v/>
      </c>
      <c r="DB80" s="399" t="str">
        <f t="shared" si="24"/>
        <v/>
      </c>
      <c r="DC80" s="399" t="str">
        <f t="shared" si="25"/>
        <v/>
      </c>
      <c r="DD80" s="399" t="str">
        <f t="shared" si="16"/>
        <v/>
      </c>
      <c r="DE80" s="399" t="str">
        <f t="shared" si="26"/>
        <v/>
      </c>
      <c r="DG80" s="434"/>
      <c r="DH80" s="434"/>
      <c r="DJ80" s="399"/>
    </row>
    <row r="81" spans="8:114" x14ac:dyDescent="0.25">
      <c r="H81" s="416" t="str">
        <f ca="1">IF(IMPORT!C94="","",IMPORT!C94)</f>
        <v/>
      </c>
      <c r="I81" s="416" t="str">
        <f ca="1">IF(IMPORT!D94="","",IMPORT!D94)</f>
        <v/>
      </c>
      <c r="J81" s="416" t="str">
        <f ca="1">IF(IMPORT!E94="","",IMPORT!E94)</f>
        <v/>
      </c>
      <c r="K81" s="416" t="str">
        <f ca="1">IF(IMPORT!F94="","",IMPORT!F94)</f>
        <v/>
      </c>
      <c r="L81" s="416" t="str">
        <f ca="1">IF(IMPORT!G94="","",IMPORT!G94)</f>
        <v/>
      </c>
      <c r="M81" s="416" t="str">
        <f>IF(IMPORT!H94="","",IMPORT!H94)</f>
        <v/>
      </c>
      <c r="N81" s="399" t="str">
        <f t="shared" si="17"/>
        <v/>
      </c>
      <c r="P81" s="406" t="str">
        <f t="shared" si="18"/>
        <v/>
      </c>
      <c r="Q81" s="406" t="str">
        <f t="array" ref="Q81">IFERROR(INDEX($N$1:$N$203,SMALL(IF($N$1:$N$203&lt;&gt;"",ROW($N$1:$N$203)),ROW(79:79))),"")</f>
        <v/>
      </c>
      <c r="R81" s="399" t="str">
        <f t="shared" si="15"/>
        <v/>
      </c>
      <c r="S81" s="399" t="str">
        <f t="shared" si="19"/>
        <v/>
      </c>
      <c r="T81" s="399" t="str">
        <f t="shared" si="20"/>
        <v/>
      </c>
      <c r="U81" s="419" t="str">
        <f t="shared" si="27"/>
        <v/>
      </c>
      <c r="V81" s="433" t="b">
        <v>0</v>
      </c>
      <c r="W81" s="464"/>
      <c r="X81" s="433"/>
      <c r="Y81" s="433" t="s">
        <v>92</v>
      </c>
      <c r="Z81" s="433"/>
      <c r="AA81" s="433"/>
      <c r="AB81" s="433"/>
      <c r="AC81" s="433" t="s">
        <v>1401</v>
      </c>
      <c r="AD81" s="433"/>
      <c r="AE81" s="433" t="s">
        <v>111</v>
      </c>
      <c r="AF81" s="433" t="s">
        <v>299</v>
      </c>
      <c r="AG81" s="433"/>
      <c r="AH81" s="433"/>
      <c r="AI81" s="433"/>
      <c r="AJ81" s="433"/>
      <c r="AK81" s="433"/>
      <c r="AL81" s="433"/>
      <c r="AM81" s="433"/>
      <c r="AN81" s="433"/>
      <c r="AO81" s="433"/>
      <c r="AP81" s="433"/>
      <c r="AQ81" s="433"/>
      <c r="AR81" s="433"/>
      <c r="AS81" s="433" t="b">
        <v>0</v>
      </c>
      <c r="AT81" s="433"/>
      <c r="AU81" s="433"/>
      <c r="AV81" s="433"/>
      <c r="AW81" s="433"/>
      <c r="AX81" s="433"/>
      <c r="AY81" s="433"/>
      <c r="AZ81" s="433"/>
      <c r="BA81" s="433"/>
      <c r="BB81" s="433"/>
      <c r="BC81" s="433"/>
      <c r="BD81" s="433"/>
      <c r="BE81" s="433"/>
      <c r="BF81" s="433"/>
      <c r="BG81" s="433"/>
      <c r="BH81" s="433"/>
      <c r="BI81" s="433"/>
      <c r="BJ81" s="433"/>
      <c r="BK81" s="433"/>
      <c r="BL81" s="433"/>
      <c r="BM81" s="433"/>
      <c r="BN81" s="433"/>
      <c r="BO81" s="433"/>
      <c r="BP81" s="433"/>
      <c r="BQ81" s="433"/>
      <c r="BR81" s="433"/>
      <c r="BS81" s="433"/>
      <c r="BT81" s="433"/>
      <c r="BU81" s="399" t="str">
        <f t="shared" si="21"/>
        <v/>
      </c>
      <c r="BV81" s="433"/>
      <c r="BW81" s="433"/>
      <c r="BX81" s="433"/>
      <c r="BY81" s="433"/>
      <c r="BZ81" s="433"/>
      <c r="CA81" s="433"/>
      <c r="CB81" s="433"/>
      <c r="CC81" s="433"/>
      <c r="CD81" s="433"/>
      <c r="CE81" s="433"/>
      <c r="CF81" s="433"/>
      <c r="CG81" s="433"/>
      <c r="CH81" s="433"/>
      <c r="CI81" s="433"/>
      <c r="CJ81" s="433"/>
      <c r="CK81" s="433"/>
      <c r="CL81" s="433"/>
      <c r="CM81" s="433"/>
      <c r="CN81" s="433"/>
      <c r="CO81" s="433"/>
      <c r="CP81" s="433"/>
      <c r="CQ81" s="433"/>
      <c r="CR81" s="433"/>
      <c r="CS81" s="433"/>
      <c r="CT81" s="433"/>
      <c r="CU81" s="433"/>
      <c r="CV81" s="433"/>
      <c r="CW81" s="433"/>
      <c r="CX81" s="433"/>
      <c r="CY81" s="433"/>
      <c r="CZ81" s="399" t="str">
        <f t="shared" si="22"/>
        <v/>
      </c>
      <c r="DA81" s="399" t="str">
        <f t="shared" si="23"/>
        <v/>
      </c>
      <c r="DB81" s="399" t="str">
        <f t="shared" si="24"/>
        <v/>
      </c>
      <c r="DC81" s="399" t="str">
        <f t="shared" si="25"/>
        <v/>
      </c>
      <c r="DD81" s="399" t="str">
        <f t="shared" si="16"/>
        <v/>
      </c>
      <c r="DE81" s="399" t="str">
        <f t="shared" si="26"/>
        <v/>
      </c>
      <c r="DG81" s="434"/>
      <c r="DH81" s="434"/>
      <c r="DJ81" s="399"/>
    </row>
    <row r="82" spans="8:114" x14ac:dyDescent="0.25">
      <c r="H82" s="416" t="str">
        <f ca="1">IF(IMPORT!C95="","",IMPORT!C95)</f>
        <v/>
      </c>
      <c r="I82" s="416" t="str">
        <f ca="1">IF(IMPORT!D95="","",IMPORT!D95)</f>
        <v/>
      </c>
      <c r="J82" s="416" t="str">
        <f ca="1">IF(IMPORT!E95="","",IMPORT!E95)</f>
        <v/>
      </c>
      <c r="K82" s="416" t="str">
        <f ca="1">IF(IMPORT!F95="","",IMPORT!F95)</f>
        <v/>
      </c>
      <c r="L82" s="416" t="str">
        <f ca="1">IF(IMPORT!G95="","",IMPORT!G95)</f>
        <v/>
      </c>
      <c r="M82" s="416" t="str">
        <f>IF(IMPORT!H95="","",IMPORT!H95)</f>
        <v/>
      </c>
      <c r="N82" s="399" t="str">
        <f t="shared" si="17"/>
        <v/>
      </c>
      <c r="P82" s="406" t="str">
        <f t="shared" si="18"/>
        <v/>
      </c>
      <c r="Q82" s="406" t="str">
        <f t="array" ref="Q82">IFERROR(INDEX($N$1:$N$203,SMALL(IF($N$1:$N$203&lt;&gt;"",ROW($N$1:$N$203)),ROW(80:80))),"")</f>
        <v/>
      </c>
      <c r="R82" s="399" t="str">
        <f t="shared" si="15"/>
        <v/>
      </c>
      <c r="S82" s="399" t="str">
        <f t="shared" si="19"/>
        <v/>
      </c>
      <c r="T82" s="399" t="str">
        <f t="shared" si="20"/>
        <v/>
      </c>
      <c r="U82" s="419" t="str">
        <f t="shared" si="27"/>
        <v/>
      </c>
      <c r="V82" s="433" t="b">
        <v>0</v>
      </c>
      <c r="W82" s="464"/>
      <c r="X82" s="433"/>
      <c r="Y82" s="433" t="s">
        <v>92</v>
      </c>
      <c r="Z82" s="433"/>
      <c r="AA82" s="433"/>
      <c r="AB82" s="433"/>
      <c r="AC82" s="433" t="s">
        <v>1401</v>
      </c>
      <c r="AD82" s="433"/>
      <c r="AE82" s="433" t="s">
        <v>111</v>
      </c>
      <c r="AF82" s="433" t="s">
        <v>299</v>
      </c>
      <c r="AG82" s="433"/>
      <c r="AH82" s="433"/>
      <c r="AI82" s="433"/>
      <c r="AJ82" s="433"/>
      <c r="AK82" s="433"/>
      <c r="AL82" s="433"/>
      <c r="AM82" s="433"/>
      <c r="AN82" s="433"/>
      <c r="AO82" s="433"/>
      <c r="AP82" s="433"/>
      <c r="AQ82" s="433"/>
      <c r="AR82" s="433"/>
      <c r="AS82" s="433" t="b">
        <v>0</v>
      </c>
      <c r="AT82" s="433"/>
      <c r="AU82" s="433"/>
      <c r="AV82" s="433"/>
      <c r="AW82" s="433"/>
      <c r="AX82" s="433"/>
      <c r="AY82" s="433"/>
      <c r="AZ82" s="433"/>
      <c r="BA82" s="433"/>
      <c r="BB82" s="433"/>
      <c r="BC82" s="433"/>
      <c r="BD82" s="433"/>
      <c r="BE82" s="433"/>
      <c r="BF82" s="433"/>
      <c r="BG82" s="433"/>
      <c r="BH82" s="433"/>
      <c r="BI82" s="433"/>
      <c r="BJ82" s="433"/>
      <c r="BK82" s="433"/>
      <c r="BL82" s="433"/>
      <c r="BM82" s="433"/>
      <c r="BN82" s="433"/>
      <c r="BO82" s="433"/>
      <c r="BP82" s="433"/>
      <c r="BQ82" s="433"/>
      <c r="BR82" s="433"/>
      <c r="BS82" s="433"/>
      <c r="BT82" s="433"/>
      <c r="BU82" s="399" t="str">
        <f t="shared" si="21"/>
        <v/>
      </c>
      <c r="BV82" s="433"/>
      <c r="BW82" s="433"/>
      <c r="BX82" s="433"/>
      <c r="BY82" s="433"/>
      <c r="BZ82" s="433"/>
      <c r="CA82" s="433"/>
      <c r="CB82" s="433"/>
      <c r="CC82" s="433"/>
      <c r="CD82" s="433"/>
      <c r="CE82" s="433"/>
      <c r="CF82" s="433"/>
      <c r="CG82" s="433"/>
      <c r="CH82" s="433"/>
      <c r="CI82" s="433"/>
      <c r="CJ82" s="433"/>
      <c r="CK82" s="433"/>
      <c r="CL82" s="433"/>
      <c r="CM82" s="433"/>
      <c r="CN82" s="433"/>
      <c r="CO82" s="433"/>
      <c r="CP82" s="433"/>
      <c r="CQ82" s="433"/>
      <c r="CR82" s="433"/>
      <c r="CS82" s="433"/>
      <c r="CT82" s="433"/>
      <c r="CU82" s="433"/>
      <c r="CV82" s="433"/>
      <c r="CW82" s="433"/>
      <c r="CX82" s="433"/>
      <c r="CY82" s="433"/>
      <c r="CZ82" s="399" t="str">
        <f t="shared" si="22"/>
        <v/>
      </c>
      <c r="DA82" s="399" t="str">
        <f t="shared" si="23"/>
        <v/>
      </c>
      <c r="DB82" s="399" t="str">
        <f t="shared" si="24"/>
        <v/>
      </c>
      <c r="DC82" s="399" t="str">
        <f t="shared" si="25"/>
        <v/>
      </c>
      <c r="DD82" s="399" t="str">
        <f t="shared" si="16"/>
        <v/>
      </c>
      <c r="DE82" s="399" t="str">
        <f t="shared" si="26"/>
        <v/>
      </c>
      <c r="DG82" s="434"/>
      <c r="DH82" s="434"/>
      <c r="DJ82" s="399"/>
    </row>
    <row r="83" spans="8:114" x14ac:dyDescent="0.25">
      <c r="H83" s="416" t="str">
        <f ca="1">IF(IMPORT!C96="","",IMPORT!C96)</f>
        <v/>
      </c>
      <c r="I83" s="416" t="str">
        <f ca="1">IF(IMPORT!D96="","",IMPORT!D96)</f>
        <v/>
      </c>
      <c r="J83" s="416" t="str">
        <f ca="1">IF(IMPORT!E96="","",IMPORT!E96)</f>
        <v/>
      </c>
      <c r="K83" s="416" t="str">
        <f ca="1">IF(IMPORT!F96="","",IMPORT!F96)</f>
        <v/>
      </c>
      <c r="L83" s="416" t="str">
        <f ca="1">IF(IMPORT!G96="","",IMPORT!G96)</f>
        <v/>
      </c>
      <c r="M83" s="416" t="str">
        <f>IF(IMPORT!H96="","",IMPORT!H96)</f>
        <v/>
      </c>
      <c r="N83" s="399" t="str">
        <f t="shared" si="17"/>
        <v/>
      </c>
      <c r="P83" s="406" t="str">
        <f t="shared" si="18"/>
        <v/>
      </c>
      <c r="Q83" s="406" t="str">
        <f t="array" ref="Q83">IFERROR(INDEX($N$1:$N$203,SMALL(IF($N$1:$N$203&lt;&gt;"",ROW($N$1:$N$203)),ROW(81:81))),"")</f>
        <v/>
      </c>
      <c r="R83" s="399" t="str">
        <f t="shared" si="15"/>
        <v/>
      </c>
      <c r="S83" s="399" t="str">
        <f t="shared" si="19"/>
        <v/>
      </c>
      <c r="T83" s="399" t="str">
        <f t="shared" si="20"/>
        <v/>
      </c>
      <c r="U83" s="419" t="str">
        <f t="shared" si="27"/>
        <v/>
      </c>
      <c r="V83" s="433" t="b">
        <v>0</v>
      </c>
      <c r="W83" s="464"/>
      <c r="X83" s="433"/>
      <c r="Y83" s="433" t="s">
        <v>92</v>
      </c>
      <c r="Z83" s="433"/>
      <c r="AA83" s="433"/>
      <c r="AB83" s="433"/>
      <c r="AC83" s="433" t="s">
        <v>1401</v>
      </c>
      <c r="AD83" s="433"/>
      <c r="AE83" s="433" t="s">
        <v>111</v>
      </c>
      <c r="AF83" s="433" t="s">
        <v>299</v>
      </c>
      <c r="AG83" s="433"/>
      <c r="AH83" s="433"/>
      <c r="AI83" s="433"/>
      <c r="AJ83" s="433"/>
      <c r="AK83" s="433"/>
      <c r="AL83" s="433"/>
      <c r="AM83" s="433"/>
      <c r="AN83" s="433"/>
      <c r="AO83" s="433"/>
      <c r="AP83" s="433"/>
      <c r="AQ83" s="433"/>
      <c r="AR83" s="433"/>
      <c r="AS83" s="433" t="b">
        <v>0</v>
      </c>
      <c r="AT83" s="433"/>
      <c r="AU83" s="433"/>
      <c r="AV83" s="433"/>
      <c r="AW83" s="433"/>
      <c r="AX83" s="433"/>
      <c r="AY83" s="433"/>
      <c r="AZ83" s="433"/>
      <c r="BA83" s="433"/>
      <c r="BB83" s="433"/>
      <c r="BC83" s="433"/>
      <c r="BD83" s="433"/>
      <c r="BE83" s="433"/>
      <c r="BF83" s="433"/>
      <c r="BG83" s="433"/>
      <c r="BH83" s="433"/>
      <c r="BI83" s="433"/>
      <c r="BJ83" s="433"/>
      <c r="BK83" s="433"/>
      <c r="BL83" s="433"/>
      <c r="BM83" s="433"/>
      <c r="BN83" s="433"/>
      <c r="BO83" s="433"/>
      <c r="BP83" s="433"/>
      <c r="BQ83" s="433"/>
      <c r="BR83" s="433"/>
      <c r="BS83" s="433"/>
      <c r="BT83" s="433"/>
      <c r="BU83" s="399" t="str">
        <f t="shared" si="21"/>
        <v/>
      </c>
      <c r="BV83" s="433"/>
      <c r="BW83" s="433"/>
      <c r="BX83" s="433"/>
      <c r="BY83" s="433"/>
      <c r="BZ83" s="433"/>
      <c r="CA83" s="433"/>
      <c r="CB83" s="433"/>
      <c r="CC83" s="433"/>
      <c r="CD83" s="433"/>
      <c r="CE83" s="433"/>
      <c r="CF83" s="433"/>
      <c r="CG83" s="433"/>
      <c r="CH83" s="433"/>
      <c r="CI83" s="433"/>
      <c r="CJ83" s="433"/>
      <c r="CK83" s="433"/>
      <c r="CL83" s="433"/>
      <c r="CM83" s="433"/>
      <c r="CN83" s="433"/>
      <c r="CO83" s="433"/>
      <c r="CP83" s="433"/>
      <c r="CQ83" s="433"/>
      <c r="CR83" s="433"/>
      <c r="CS83" s="433"/>
      <c r="CT83" s="433"/>
      <c r="CU83" s="433"/>
      <c r="CV83" s="433"/>
      <c r="CW83" s="433"/>
      <c r="CX83" s="433"/>
      <c r="CY83" s="433"/>
      <c r="CZ83" s="399" t="str">
        <f t="shared" si="22"/>
        <v/>
      </c>
      <c r="DA83" s="399" t="str">
        <f t="shared" si="23"/>
        <v/>
      </c>
      <c r="DB83" s="399" t="str">
        <f t="shared" si="24"/>
        <v/>
      </c>
      <c r="DC83" s="399" t="str">
        <f t="shared" si="25"/>
        <v/>
      </c>
      <c r="DD83" s="399" t="str">
        <f t="shared" si="16"/>
        <v/>
      </c>
      <c r="DE83" s="399" t="str">
        <f t="shared" si="26"/>
        <v/>
      </c>
      <c r="DG83" s="434"/>
      <c r="DH83" s="434"/>
      <c r="DJ83" s="399"/>
    </row>
    <row r="84" spans="8:114" x14ac:dyDescent="0.25">
      <c r="H84" s="416" t="str">
        <f ca="1">IF(IMPORT!C97="","",IMPORT!C97)</f>
        <v/>
      </c>
      <c r="I84" s="416" t="str">
        <f ca="1">IF(IMPORT!D97="","",IMPORT!D97)</f>
        <v/>
      </c>
      <c r="J84" s="416" t="str">
        <f ca="1">IF(IMPORT!E97="","",IMPORT!E97)</f>
        <v/>
      </c>
      <c r="K84" s="416" t="str">
        <f ca="1">IF(IMPORT!F97="","",IMPORT!F97)</f>
        <v/>
      </c>
      <c r="L84" s="416" t="str">
        <f ca="1">IF(IMPORT!G97="","",IMPORT!G97)</f>
        <v/>
      </c>
      <c r="M84" s="416" t="str">
        <f>IF(IMPORT!H97="","",IMPORT!H97)</f>
        <v/>
      </c>
      <c r="N84" s="399" t="str">
        <f t="shared" si="17"/>
        <v/>
      </c>
      <c r="P84" s="406" t="str">
        <f t="shared" si="18"/>
        <v/>
      </c>
      <c r="Q84" s="406" t="str">
        <f t="array" ref="Q84">IFERROR(INDEX($N$1:$N$203,SMALL(IF($N$1:$N$203&lt;&gt;"",ROW($N$1:$N$203)),ROW(82:82))),"")</f>
        <v/>
      </c>
      <c r="R84" s="399" t="str">
        <f t="shared" si="15"/>
        <v/>
      </c>
      <c r="S84" s="399" t="str">
        <f t="shared" si="19"/>
        <v/>
      </c>
      <c r="T84" s="399" t="str">
        <f t="shared" si="20"/>
        <v/>
      </c>
      <c r="U84" s="419" t="str">
        <f t="shared" si="27"/>
        <v/>
      </c>
      <c r="V84" s="433" t="b">
        <v>0</v>
      </c>
      <c r="W84" s="464"/>
      <c r="X84" s="433"/>
      <c r="Y84" s="433" t="s">
        <v>92</v>
      </c>
      <c r="Z84" s="433"/>
      <c r="AA84" s="433"/>
      <c r="AB84" s="433"/>
      <c r="AC84" s="433" t="s">
        <v>1401</v>
      </c>
      <c r="AD84" s="433"/>
      <c r="AE84" s="433" t="s">
        <v>111</v>
      </c>
      <c r="AF84" s="433" t="s">
        <v>299</v>
      </c>
      <c r="AG84" s="433"/>
      <c r="AH84" s="433"/>
      <c r="AI84" s="433"/>
      <c r="AJ84" s="433"/>
      <c r="AK84" s="433"/>
      <c r="AL84" s="433"/>
      <c r="AM84" s="433"/>
      <c r="AN84" s="433"/>
      <c r="AO84" s="433"/>
      <c r="AP84" s="433"/>
      <c r="AQ84" s="433"/>
      <c r="AR84" s="433"/>
      <c r="AS84" s="433" t="b">
        <v>0</v>
      </c>
      <c r="AT84" s="433"/>
      <c r="AU84" s="433"/>
      <c r="AV84" s="433"/>
      <c r="AW84" s="433"/>
      <c r="AX84" s="433"/>
      <c r="AY84" s="433"/>
      <c r="AZ84" s="433"/>
      <c r="BA84" s="433"/>
      <c r="BB84" s="433"/>
      <c r="BC84" s="433"/>
      <c r="BD84" s="433"/>
      <c r="BE84" s="433"/>
      <c r="BF84" s="433"/>
      <c r="BG84" s="433"/>
      <c r="BH84" s="433"/>
      <c r="BI84" s="433"/>
      <c r="BJ84" s="433"/>
      <c r="BK84" s="433"/>
      <c r="BL84" s="433"/>
      <c r="BM84" s="433"/>
      <c r="BN84" s="433"/>
      <c r="BO84" s="433"/>
      <c r="BP84" s="433"/>
      <c r="BQ84" s="433"/>
      <c r="BR84" s="433"/>
      <c r="BS84" s="433"/>
      <c r="BT84" s="433"/>
      <c r="BU84" s="399" t="str">
        <f t="shared" si="21"/>
        <v/>
      </c>
      <c r="BV84" s="433"/>
      <c r="BW84" s="433"/>
      <c r="BX84" s="433"/>
      <c r="BY84" s="433"/>
      <c r="BZ84" s="433"/>
      <c r="CA84" s="433"/>
      <c r="CB84" s="433"/>
      <c r="CC84" s="433"/>
      <c r="CD84" s="433"/>
      <c r="CE84" s="433"/>
      <c r="CF84" s="433"/>
      <c r="CG84" s="433"/>
      <c r="CH84" s="433"/>
      <c r="CI84" s="433"/>
      <c r="CJ84" s="433"/>
      <c r="CK84" s="433"/>
      <c r="CL84" s="433"/>
      <c r="CM84" s="433"/>
      <c r="CN84" s="433"/>
      <c r="CO84" s="433"/>
      <c r="CP84" s="433"/>
      <c r="CQ84" s="433"/>
      <c r="CR84" s="433"/>
      <c r="CS84" s="433"/>
      <c r="CT84" s="433"/>
      <c r="CU84" s="433"/>
      <c r="CV84" s="433"/>
      <c r="CW84" s="433"/>
      <c r="CX84" s="433"/>
      <c r="CY84" s="433"/>
      <c r="CZ84" s="399" t="str">
        <f t="shared" si="22"/>
        <v/>
      </c>
      <c r="DA84" s="399" t="str">
        <f t="shared" si="23"/>
        <v/>
      </c>
      <c r="DB84" s="399" t="str">
        <f t="shared" si="24"/>
        <v/>
      </c>
      <c r="DC84" s="399" t="str">
        <f t="shared" si="25"/>
        <v/>
      </c>
      <c r="DD84" s="399" t="str">
        <f t="shared" si="16"/>
        <v/>
      </c>
      <c r="DE84" s="399" t="str">
        <f t="shared" si="26"/>
        <v/>
      </c>
      <c r="DG84" s="434"/>
      <c r="DH84" s="434"/>
      <c r="DJ84" s="399"/>
    </row>
    <row r="85" spans="8:114" x14ac:dyDescent="0.25">
      <c r="H85" s="416" t="str">
        <f ca="1">IF(IMPORT!C98="","",IMPORT!C98)</f>
        <v/>
      </c>
      <c r="I85" s="416" t="str">
        <f ca="1">IF(IMPORT!D98="","",IMPORT!D98)</f>
        <v/>
      </c>
      <c r="J85" s="416" t="str">
        <f ca="1">IF(IMPORT!E98="","",IMPORT!E98)</f>
        <v/>
      </c>
      <c r="K85" s="416" t="str">
        <f ca="1">IF(IMPORT!F98="","",IMPORT!F98)</f>
        <v/>
      </c>
      <c r="L85" s="416" t="str">
        <f ca="1">IF(IMPORT!G98="","",IMPORT!G98)</f>
        <v/>
      </c>
      <c r="M85" s="416" t="str">
        <f>IF(IMPORT!H98="","",IMPORT!H98)</f>
        <v/>
      </c>
      <c r="N85" s="399" t="str">
        <f t="shared" si="17"/>
        <v/>
      </c>
      <c r="P85" s="406" t="str">
        <f t="shared" si="18"/>
        <v/>
      </c>
      <c r="Q85" s="406" t="str">
        <f t="array" ref="Q85">IFERROR(INDEX($N$1:$N$203,SMALL(IF($N$1:$N$203&lt;&gt;"",ROW($N$1:$N$203)),ROW(83:83))),"")</f>
        <v/>
      </c>
      <c r="R85" s="399" t="str">
        <f t="shared" si="15"/>
        <v/>
      </c>
      <c r="S85" s="399" t="str">
        <f t="shared" si="19"/>
        <v/>
      </c>
      <c r="T85" s="399" t="str">
        <f t="shared" si="20"/>
        <v/>
      </c>
      <c r="U85" s="419" t="str">
        <f t="shared" si="27"/>
        <v/>
      </c>
      <c r="V85" s="433" t="b">
        <v>0</v>
      </c>
      <c r="W85" s="464"/>
      <c r="X85" s="433"/>
      <c r="Y85" s="433" t="s">
        <v>92</v>
      </c>
      <c r="Z85" s="433"/>
      <c r="AA85" s="433"/>
      <c r="AB85" s="433"/>
      <c r="AC85" s="433" t="s">
        <v>1401</v>
      </c>
      <c r="AD85" s="433"/>
      <c r="AE85" s="433" t="s">
        <v>111</v>
      </c>
      <c r="AF85" s="433" t="s">
        <v>299</v>
      </c>
      <c r="AG85" s="433"/>
      <c r="AH85" s="433"/>
      <c r="AI85" s="433"/>
      <c r="AJ85" s="433"/>
      <c r="AK85" s="433"/>
      <c r="AL85" s="433"/>
      <c r="AM85" s="433"/>
      <c r="AN85" s="433"/>
      <c r="AO85" s="433"/>
      <c r="AP85" s="433"/>
      <c r="AQ85" s="433"/>
      <c r="AR85" s="433"/>
      <c r="AS85" s="433" t="b">
        <v>0</v>
      </c>
      <c r="AT85" s="433"/>
      <c r="AU85" s="433"/>
      <c r="AV85" s="433"/>
      <c r="AW85" s="433"/>
      <c r="AX85" s="433"/>
      <c r="AY85" s="433"/>
      <c r="AZ85" s="433"/>
      <c r="BA85" s="433"/>
      <c r="BB85" s="433"/>
      <c r="BC85" s="433"/>
      <c r="BD85" s="433"/>
      <c r="BE85" s="433"/>
      <c r="BF85" s="433"/>
      <c r="BG85" s="433"/>
      <c r="BH85" s="433"/>
      <c r="BI85" s="433"/>
      <c r="BJ85" s="433"/>
      <c r="BK85" s="433"/>
      <c r="BL85" s="433"/>
      <c r="BM85" s="433"/>
      <c r="BN85" s="433"/>
      <c r="BO85" s="433"/>
      <c r="BP85" s="433"/>
      <c r="BQ85" s="433"/>
      <c r="BR85" s="433"/>
      <c r="BS85" s="433"/>
      <c r="BT85" s="433"/>
      <c r="BU85" s="399" t="str">
        <f t="shared" si="21"/>
        <v/>
      </c>
      <c r="BV85" s="433"/>
      <c r="BW85" s="433"/>
      <c r="BX85" s="433"/>
      <c r="BY85" s="433"/>
      <c r="BZ85" s="433"/>
      <c r="CA85" s="433"/>
      <c r="CB85" s="433"/>
      <c r="CC85" s="433"/>
      <c r="CD85" s="433"/>
      <c r="CE85" s="433"/>
      <c r="CF85" s="433"/>
      <c r="CG85" s="433"/>
      <c r="CH85" s="433"/>
      <c r="CI85" s="433"/>
      <c r="CJ85" s="433"/>
      <c r="CK85" s="433"/>
      <c r="CL85" s="433"/>
      <c r="CM85" s="433"/>
      <c r="CN85" s="433"/>
      <c r="CO85" s="433"/>
      <c r="CP85" s="433"/>
      <c r="CQ85" s="433"/>
      <c r="CR85" s="433"/>
      <c r="CS85" s="433"/>
      <c r="CT85" s="433"/>
      <c r="CU85" s="433"/>
      <c r="CV85" s="433"/>
      <c r="CW85" s="433"/>
      <c r="CX85" s="433"/>
      <c r="CY85" s="433"/>
      <c r="CZ85" s="399" t="str">
        <f t="shared" si="22"/>
        <v/>
      </c>
      <c r="DA85" s="399" t="str">
        <f t="shared" si="23"/>
        <v/>
      </c>
      <c r="DB85" s="399" t="str">
        <f t="shared" si="24"/>
        <v/>
      </c>
      <c r="DC85" s="399" t="str">
        <f t="shared" si="25"/>
        <v/>
      </c>
      <c r="DD85" s="399" t="str">
        <f t="shared" si="16"/>
        <v/>
      </c>
      <c r="DE85" s="399" t="str">
        <f t="shared" si="26"/>
        <v/>
      </c>
      <c r="DG85" s="434"/>
      <c r="DH85" s="434"/>
      <c r="DJ85" s="399"/>
    </row>
    <row r="86" spans="8:114" x14ac:dyDescent="0.25">
      <c r="H86" s="416" t="str">
        <f ca="1">IF(IMPORT!C99="","",IMPORT!C99)</f>
        <v/>
      </c>
      <c r="I86" s="416" t="str">
        <f ca="1">IF(IMPORT!D99="","",IMPORT!D99)</f>
        <v/>
      </c>
      <c r="J86" s="416" t="str">
        <f ca="1">IF(IMPORT!E99="","",IMPORT!E99)</f>
        <v/>
      </c>
      <c r="K86" s="416" t="str">
        <f ca="1">IF(IMPORT!F99="","",IMPORT!F99)</f>
        <v/>
      </c>
      <c r="L86" s="416" t="str">
        <f ca="1">IF(IMPORT!G99="","",IMPORT!G99)</f>
        <v/>
      </c>
      <c r="M86" s="416" t="str">
        <f>IF(IMPORT!H99="","",IMPORT!H99)</f>
        <v/>
      </c>
      <c r="N86" s="399" t="str">
        <f t="shared" si="17"/>
        <v/>
      </c>
      <c r="P86" s="406" t="str">
        <f t="shared" si="18"/>
        <v/>
      </c>
      <c r="Q86" s="406" t="str">
        <f t="array" ref="Q86">IFERROR(INDEX($N$1:$N$203,SMALL(IF($N$1:$N$203&lt;&gt;"",ROW($N$1:$N$203)),ROW(84:84))),"")</f>
        <v/>
      </c>
      <c r="R86" s="399" t="str">
        <f t="shared" si="15"/>
        <v/>
      </c>
      <c r="S86" s="399" t="str">
        <f t="shared" si="19"/>
        <v/>
      </c>
      <c r="T86" s="399" t="str">
        <f t="shared" si="20"/>
        <v/>
      </c>
      <c r="U86" s="419" t="str">
        <f t="shared" si="27"/>
        <v/>
      </c>
      <c r="V86" s="433" t="b">
        <v>0</v>
      </c>
      <c r="W86" s="464"/>
      <c r="X86" s="433"/>
      <c r="Y86" s="433" t="s">
        <v>92</v>
      </c>
      <c r="Z86" s="433"/>
      <c r="AA86" s="433"/>
      <c r="AB86" s="433"/>
      <c r="AC86" s="433" t="s">
        <v>1401</v>
      </c>
      <c r="AD86" s="433"/>
      <c r="AE86" s="433" t="s">
        <v>111</v>
      </c>
      <c r="AF86" s="433" t="s">
        <v>299</v>
      </c>
      <c r="AG86" s="433"/>
      <c r="AH86" s="433"/>
      <c r="AI86" s="433"/>
      <c r="AJ86" s="433"/>
      <c r="AK86" s="433"/>
      <c r="AL86" s="433"/>
      <c r="AM86" s="433"/>
      <c r="AN86" s="433"/>
      <c r="AO86" s="433"/>
      <c r="AP86" s="433"/>
      <c r="AQ86" s="433"/>
      <c r="AR86" s="433"/>
      <c r="AS86" s="433" t="b">
        <v>0</v>
      </c>
      <c r="AT86" s="433"/>
      <c r="AU86" s="433"/>
      <c r="AV86" s="433"/>
      <c r="AW86" s="433"/>
      <c r="AX86" s="433"/>
      <c r="AY86" s="433"/>
      <c r="AZ86" s="433"/>
      <c r="BA86" s="433"/>
      <c r="BB86" s="433"/>
      <c r="BC86" s="433"/>
      <c r="BD86" s="433"/>
      <c r="BE86" s="433"/>
      <c r="BF86" s="433"/>
      <c r="BG86" s="433"/>
      <c r="BH86" s="433"/>
      <c r="BI86" s="433"/>
      <c r="BJ86" s="433"/>
      <c r="BK86" s="433"/>
      <c r="BL86" s="433"/>
      <c r="BM86" s="433"/>
      <c r="BN86" s="433"/>
      <c r="BO86" s="433"/>
      <c r="BP86" s="433"/>
      <c r="BQ86" s="433"/>
      <c r="BR86" s="433"/>
      <c r="BS86" s="433"/>
      <c r="BT86" s="433"/>
      <c r="BU86" s="399" t="str">
        <f t="shared" si="21"/>
        <v/>
      </c>
      <c r="BV86" s="433"/>
      <c r="BW86" s="433"/>
      <c r="BX86" s="433"/>
      <c r="BY86" s="433"/>
      <c r="BZ86" s="433"/>
      <c r="CA86" s="433"/>
      <c r="CB86" s="433"/>
      <c r="CC86" s="433"/>
      <c r="CD86" s="433"/>
      <c r="CE86" s="433"/>
      <c r="CF86" s="433"/>
      <c r="CG86" s="433"/>
      <c r="CH86" s="433"/>
      <c r="CI86" s="433"/>
      <c r="CJ86" s="433"/>
      <c r="CK86" s="433"/>
      <c r="CL86" s="433"/>
      <c r="CM86" s="433"/>
      <c r="CN86" s="433"/>
      <c r="CO86" s="433"/>
      <c r="CP86" s="433"/>
      <c r="CQ86" s="433"/>
      <c r="CR86" s="433"/>
      <c r="CS86" s="433"/>
      <c r="CT86" s="433"/>
      <c r="CU86" s="433"/>
      <c r="CV86" s="433"/>
      <c r="CW86" s="433"/>
      <c r="CX86" s="433"/>
      <c r="CY86" s="433"/>
      <c r="CZ86" s="399" t="str">
        <f t="shared" si="22"/>
        <v/>
      </c>
      <c r="DA86" s="399" t="str">
        <f t="shared" si="23"/>
        <v/>
      </c>
      <c r="DB86" s="399" t="str">
        <f t="shared" si="24"/>
        <v/>
      </c>
      <c r="DC86" s="399" t="str">
        <f t="shared" si="25"/>
        <v/>
      </c>
      <c r="DD86" s="399" t="str">
        <f t="shared" si="16"/>
        <v/>
      </c>
      <c r="DE86" s="399" t="str">
        <f t="shared" si="26"/>
        <v/>
      </c>
      <c r="DG86" s="434"/>
      <c r="DH86" s="434"/>
      <c r="DJ86" s="399"/>
    </row>
    <row r="87" spans="8:114" x14ac:dyDescent="0.25">
      <c r="H87" s="416" t="str">
        <f ca="1">IF(IMPORT!C100="","",IMPORT!C100)</f>
        <v/>
      </c>
      <c r="I87" s="416" t="str">
        <f ca="1">IF(IMPORT!D100="","",IMPORT!D100)</f>
        <v/>
      </c>
      <c r="J87" s="416" t="str">
        <f ca="1">IF(IMPORT!E100="","",IMPORT!E100)</f>
        <v/>
      </c>
      <c r="K87" s="416" t="str">
        <f ca="1">IF(IMPORT!F100="","",IMPORT!F100)</f>
        <v/>
      </c>
      <c r="L87" s="416" t="str">
        <f ca="1">IF(IMPORT!G100="","",IMPORT!G100)</f>
        <v/>
      </c>
      <c r="M87" s="416" t="str">
        <f>IF(IMPORT!H100="","",IMPORT!H100)</f>
        <v/>
      </c>
      <c r="N87" s="399" t="str">
        <f t="shared" si="17"/>
        <v/>
      </c>
      <c r="P87" s="406" t="str">
        <f t="shared" si="18"/>
        <v/>
      </c>
      <c r="Q87" s="406" t="str">
        <f t="array" ref="Q87">IFERROR(INDEX($N$1:$N$203,SMALL(IF($N$1:$N$203&lt;&gt;"",ROW($N$1:$N$203)),ROW(85:85))),"")</f>
        <v/>
      </c>
      <c r="R87" s="399" t="str">
        <f t="shared" si="15"/>
        <v/>
      </c>
      <c r="S87" s="399" t="str">
        <f t="shared" si="19"/>
        <v/>
      </c>
      <c r="T87" s="399" t="str">
        <f t="shared" si="20"/>
        <v/>
      </c>
      <c r="U87" s="419" t="str">
        <f t="shared" si="27"/>
        <v/>
      </c>
      <c r="V87" s="433" t="b">
        <v>0</v>
      </c>
      <c r="W87" s="464"/>
      <c r="X87" s="433"/>
      <c r="Y87" s="433" t="s">
        <v>92</v>
      </c>
      <c r="Z87" s="433"/>
      <c r="AA87" s="433"/>
      <c r="AB87" s="433"/>
      <c r="AC87" s="433" t="s">
        <v>1401</v>
      </c>
      <c r="AD87" s="433"/>
      <c r="AE87" s="433" t="s">
        <v>111</v>
      </c>
      <c r="AF87" s="433" t="s">
        <v>299</v>
      </c>
      <c r="AG87" s="433"/>
      <c r="AH87" s="433"/>
      <c r="AI87" s="433"/>
      <c r="AJ87" s="433"/>
      <c r="AK87" s="433"/>
      <c r="AL87" s="433"/>
      <c r="AM87" s="433"/>
      <c r="AN87" s="433"/>
      <c r="AO87" s="433"/>
      <c r="AP87" s="433"/>
      <c r="AQ87" s="433"/>
      <c r="AR87" s="433"/>
      <c r="AS87" s="433" t="b">
        <v>0</v>
      </c>
      <c r="AT87" s="433"/>
      <c r="AU87" s="433"/>
      <c r="AV87" s="433"/>
      <c r="AW87" s="433"/>
      <c r="AX87" s="433"/>
      <c r="AY87" s="433"/>
      <c r="AZ87" s="433"/>
      <c r="BA87" s="433"/>
      <c r="BB87" s="433"/>
      <c r="BC87" s="433"/>
      <c r="BD87" s="433"/>
      <c r="BE87" s="433"/>
      <c r="BF87" s="433"/>
      <c r="BG87" s="433"/>
      <c r="BH87" s="433"/>
      <c r="BI87" s="433"/>
      <c r="BJ87" s="433"/>
      <c r="BK87" s="433"/>
      <c r="BL87" s="433"/>
      <c r="BM87" s="433"/>
      <c r="BN87" s="433"/>
      <c r="BO87" s="433"/>
      <c r="BP87" s="433"/>
      <c r="BQ87" s="433"/>
      <c r="BR87" s="433"/>
      <c r="BS87" s="433"/>
      <c r="BT87" s="433"/>
      <c r="BU87" s="399" t="str">
        <f t="shared" si="21"/>
        <v/>
      </c>
      <c r="BV87" s="433"/>
      <c r="BW87" s="433"/>
      <c r="BX87" s="433"/>
      <c r="BY87" s="433"/>
      <c r="BZ87" s="433"/>
      <c r="CA87" s="433"/>
      <c r="CB87" s="433"/>
      <c r="CC87" s="433"/>
      <c r="CD87" s="433"/>
      <c r="CE87" s="433"/>
      <c r="CF87" s="433"/>
      <c r="CG87" s="433"/>
      <c r="CH87" s="433"/>
      <c r="CI87" s="433"/>
      <c r="CJ87" s="433"/>
      <c r="CK87" s="433"/>
      <c r="CL87" s="433"/>
      <c r="CM87" s="433"/>
      <c r="CN87" s="433"/>
      <c r="CO87" s="433"/>
      <c r="CP87" s="433"/>
      <c r="CQ87" s="433"/>
      <c r="CR87" s="433"/>
      <c r="CS87" s="433"/>
      <c r="CT87" s="433"/>
      <c r="CU87" s="433"/>
      <c r="CV87" s="433"/>
      <c r="CW87" s="433"/>
      <c r="CX87" s="433"/>
      <c r="CY87" s="433"/>
      <c r="CZ87" s="399" t="str">
        <f t="shared" si="22"/>
        <v/>
      </c>
      <c r="DA87" s="399" t="str">
        <f t="shared" si="23"/>
        <v/>
      </c>
      <c r="DB87" s="399" t="str">
        <f t="shared" si="24"/>
        <v/>
      </c>
      <c r="DC87" s="399" t="str">
        <f t="shared" si="25"/>
        <v/>
      </c>
      <c r="DD87" s="399" t="str">
        <f t="shared" si="16"/>
        <v/>
      </c>
      <c r="DE87" s="399" t="str">
        <f t="shared" si="26"/>
        <v/>
      </c>
      <c r="DG87" s="434"/>
      <c r="DH87" s="434"/>
      <c r="DJ87" s="399"/>
    </row>
    <row r="88" spans="8:114" x14ac:dyDescent="0.25">
      <c r="H88" s="416" t="str">
        <f ca="1">IF(IMPORT!C101="","",IMPORT!C101)</f>
        <v/>
      </c>
      <c r="I88" s="416" t="str">
        <f ca="1">IF(IMPORT!D101="","",IMPORT!D101)</f>
        <v/>
      </c>
      <c r="J88" s="416" t="str">
        <f ca="1">IF(IMPORT!E101="","",IMPORT!E101)</f>
        <v/>
      </c>
      <c r="K88" s="416" t="str">
        <f ca="1">IF(IMPORT!F101="","",IMPORT!F101)</f>
        <v/>
      </c>
      <c r="L88" s="416" t="str">
        <f ca="1">IF(IMPORT!G101="","",IMPORT!G101)</f>
        <v/>
      </c>
      <c r="M88" s="416" t="str">
        <f>IF(IMPORT!H101="","",IMPORT!H101)</f>
        <v/>
      </c>
      <c r="N88" s="399" t="str">
        <f t="shared" si="17"/>
        <v/>
      </c>
      <c r="P88" s="406" t="str">
        <f t="shared" si="18"/>
        <v/>
      </c>
      <c r="Q88" s="406" t="str">
        <f t="array" ref="Q88">IFERROR(INDEX($N$1:$N$203,SMALL(IF($N$1:$N$203&lt;&gt;"",ROW($N$1:$N$203)),ROW(86:86))),"")</f>
        <v/>
      </c>
      <c r="R88" s="399" t="str">
        <f t="shared" si="15"/>
        <v/>
      </c>
      <c r="S88" s="399" t="str">
        <f t="shared" si="19"/>
        <v/>
      </c>
      <c r="T88" s="399" t="str">
        <f t="shared" si="20"/>
        <v/>
      </c>
      <c r="U88" s="419" t="str">
        <f t="shared" si="27"/>
        <v/>
      </c>
      <c r="V88" s="433" t="b">
        <v>0</v>
      </c>
      <c r="W88" s="464"/>
      <c r="X88" s="433"/>
      <c r="Y88" s="433" t="s">
        <v>92</v>
      </c>
      <c r="Z88" s="433"/>
      <c r="AA88" s="433"/>
      <c r="AB88" s="433"/>
      <c r="AC88" s="433" t="s">
        <v>1401</v>
      </c>
      <c r="AD88" s="433"/>
      <c r="AE88" s="433" t="s">
        <v>111</v>
      </c>
      <c r="AF88" s="433" t="s">
        <v>299</v>
      </c>
      <c r="AG88" s="433"/>
      <c r="AH88" s="433"/>
      <c r="AI88" s="433"/>
      <c r="AJ88" s="433"/>
      <c r="AK88" s="433"/>
      <c r="AL88" s="433"/>
      <c r="AM88" s="433"/>
      <c r="AN88" s="433"/>
      <c r="AO88" s="433"/>
      <c r="AP88" s="433"/>
      <c r="AQ88" s="433"/>
      <c r="AR88" s="433"/>
      <c r="AS88" s="433" t="b">
        <v>0</v>
      </c>
      <c r="AT88" s="433"/>
      <c r="AU88" s="433"/>
      <c r="AV88" s="433"/>
      <c r="AW88" s="433"/>
      <c r="AX88" s="433"/>
      <c r="AY88" s="433"/>
      <c r="AZ88" s="433"/>
      <c r="BA88" s="433"/>
      <c r="BB88" s="433"/>
      <c r="BC88" s="433"/>
      <c r="BD88" s="433"/>
      <c r="BE88" s="433"/>
      <c r="BF88" s="433"/>
      <c r="BG88" s="433"/>
      <c r="BH88" s="433"/>
      <c r="BI88" s="433"/>
      <c r="BJ88" s="433"/>
      <c r="BK88" s="433"/>
      <c r="BL88" s="433"/>
      <c r="BM88" s="433"/>
      <c r="BN88" s="433"/>
      <c r="BO88" s="433"/>
      <c r="BP88" s="433"/>
      <c r="BQ88" s="433"/>
      <c r="BR88" s="433"/>
      <c r="BS88" s="433"/>
      <c r="BT88" s="433"/>
      <c r="BU88" s="399" t="str">
        <f t="shared" si="21"/>
        <v/>
      </c>
      <c r="BV88" s="433"/>
      <c r="BW88" s="433"/>
      <c r="BX88" s="433"/>
      <c r="BY88" s="433"/>
      <c r="BZ88" s="433"/>
      <c r="CA88" s="433"/>
      <c r="CB88" s="433"/>
      <c r="CC88" s="433"/>
      <c r="CD88" s="433"/>
      <c r="CE88" s="433"/>
      <c r="CF88" s="433"/>
      <c r="CG88" s="433"/>
      <c r="CH88" s="433"/>
      <c r="CI88" s="433"/>
      <c r="CJ88" s="433"/>
      <c r="CK88" s="433"/>
      <c r="CL88" s="433"/>
      <c r="CM88" s="433"/>
      <c r="CN88" s="433"/>
      <c r="CO88" s="433"/>
      <c r="CP88" s="433"/>
      <c r="CQ88" s="433"/>
      <c r="CR88" s="433"/>
      <c r="CS88" s="433"/>
      <c r="CT88" s="433"/>
      <c r="CU88" s="433"/>
      <c r="CV88" s="433"/>
      <c r="CW88" s="433"/>
      <c r="CX88" s="433"/>
      <c r="CY88" s="433"/>
      <c r="CZ88" s="399" t="str">
        <f t="shared" si="22"/>
        <v/>
      </c>
      <c r="DA88" s="399" t="str">
        <f t="shared" si="23"/>
        <v/>
      </c>
      <c r="DB88" s="399" t="str">
        <f t="shared" si="24"/>
        <v/>
      </c>
      <c r="DC88" s="399" t="str">
        <f t="shared" si="25"/>
        <v/>
      </c>
      <c r="DD88" s="399" t="str">
        <f t="shared" si="16"/>
        <v/>
      </c>
      <c r="DE88" s="399" t="str">
        <f t="shared" si="26"/>
        <v/>
      </c>
      <c r="DG88" s="434"/>
      <c r="DH88" s="434"/>
      <c r="DJ88" s="399"/>
    </row>
    <row r="89" spans="8:114" x14ac:dyDescent="0.25">
      <c r="H89" s="416" t="str">
        <f ca="1">IF(IMPORT!C102="","",IMPORT!C102)</f>
        <v/>
      </c>
      <c r="I89" s="416" t="str">
        <f ca="1">IF(IMPORT!D102="","",IMPORT!D102)</f>
        <v/>
      </c>
      <c r="J89" s="416" t="str">
        <f ca="1">IF(IMPORT!E102="","",IMPORT!E102)</f>
        <v/>
      </c>
      <c r="K89" s="416" t="str">
        <f ca="1">IF(IMPORT!F102="","",IMPORT!F102)</f>
        <v/>
      </c>
      <c r="L89" s="416" t="str">
        <f ca="1">IF(IMPORT!G102="","",IMPORT!G102)</f>
        <v/>
      </c>
      <c r="M89" s="416" t="str">
        <f>IF(IMPORT!H102="","",IMPORT!H102)</f>
        <v/>
      </c>
      <c r="N89" s="399" t="str">
        <f t="shared" si="17"/>
        <v/>
      </c>
      <c r="P89" s="406" t="str">
        <f t="shared" si="18"/>
        <v/>
      </c>
      <c r="Q89" s="406" t="str">
        <f t="array" ref="Q89">IFERROR(INDEX($N$1:$N$203,SMALL(IF($N$1:$N$203&lt;&gt;"",ROW($N$1:$N$203)),ROW(87:87))),"")</f>
        <v/>
      </c>
      <c r="R89" s="399" t="str">
        <f t="shared" si="15"/>
        <v/>
      </c>
      <c r="S89" s="399" t="str">
        <f t="shared" si="19"/>
        <v/>
      </c>
      <c r="T89" s="399" t="str">
        <f t="shared" si="20"/>
        <v/>
      </c>
      <c r="U89" s="419" t="str">
        <f t="shared" si="27"/>
        <v/>
      </c>
      <c r="V89" s="433" t="b">
        <v>0</v>
      </c>
      <c r="W89" s="464"/>
      <c r="X89" s="433"/>
      <c r="Y89" s="433" t="s">
        <v>92</v>
      </c>
      <c r="Z89" s="433"/>
      <c r="AA89" s="433"/>
      <c r="AB89" s="433"/>
      <c r="AC89" s="433" t="s">
        <v>1401</v>
      </c>
      <c r="AD89" s="433"/>
      <c r="AE89" s="433" t="s">
        <v>111</v>
      </c>
      <c r="AF89" s="433" t="s">
        <v>299</v>
      </c>
      <c r="AG89" s="433"/>
      <c r="AH89" s="433"/>
      <c r="AI89" s="433"/>
      <c r="AJ89" s="433"/>
      <c r="AK89" s="433"/>
      <c r="AL89" s="433"/>
      <c r="AM89" s="433"/>
      <c r="AN89" s="433"/>
      <c r="AO89" s="433"/>
      <c r="AP89" s="433"/>
      <c r="AQ89" s="433"/>
      <c r="AR89" s="433"/>
      <c r="AS89" s="433" t="b">
        <v>0</v>
      </c>
      <c r="AT89" s="433"/>
      <c r="AU89" s="433"/>
      <c r="AV89" s="433"/>
      <c r="AW89" s="433"/>
      <c r="AX89" s="433"/>
      <c r="AY89" s="433"/>
      <c r="AZ89" s="433"/>
      <c r="BA89" s="433"/>
      <c r="BB89" s="433"/>
      <c r="BC89" s="433"/>
      <c r="BD89" s="433"/>
      <c r="BE89" s="433"/>
      <c r="BF89" s="433"/>
      <c r="BG89" s="433"/>
      <c r="BH89" s="433"/>
      <c r="BI89" s="433"/>
      <c r="BJ89" s="433"/>
      <c r="BK89" s="433"/>
      <c r="BL89" s="433"/>
      <c r="BM89" s="433"/>
      <c r="BN89" s="433"/>
      <c r="BO89" s="433"/>
      <c r="BP89" s="433"/>
      <c r="BQ89" s="433"/>
      <c r="BR89" s="433"/>
      <c r="BS89" s="433"/>
      <c r="BT89" s="433"/>
      <c r="BU89" s="399" t="str">
        <f t="shared" si="21"/>
        <v/>
      </c>
      <c r="BV89" s="433"/>
      <c r="BW89" s="433"/>
      <c r="BX89" s="433"/>
      <c r="BY89" s="433"/>
      <c r="BZ89" s="433"/>
      <c r="CA89" s="433"/>
      <c r="CB89" s="433"/>
      <c r="CC89" s="433"/>
      <c r="CD89" s="433"/>
      <c r="CE89" s="433"/>
      <c r="CF89" s="433"/>
      <c r="CG89" s="433"/>
      <c r="CH89" s="433"/>
      <c r="CI89" s="433"/>
      <c r="CJ89" s="433"/>
      <c r="CK89" s="433"/>
      <c r="CL89" s="433"/>
      <c r="CM89" s="433"/>
      <c r="CN89" s="433"/>
      <c r="CO89" s="433"/>
      <c r="CP89" s="433"/>
      <c r="CQ89" s="433"/>
      <c r="CR89" s="433"/>
      <c r="CS89" s="433"/>
      <c r="CT89" s="433"/>
      <c r="CU89" s="433"/>
      <c r="CV89" s="433"/>
      <c r="CW89" s="433"/>
      <c r="CX89" s="433"/>
      <c r="CY89" s="433"/>
      <c r="CZ89" s="399" t="str">
        <f t="shared" si="22"/>
        <v/>
      </c>
      <c r="DA89" s="399" t="str">
        <f t="shared" si="23"/>
        <v/>
      </c>
      <c r="DB89" s="399" t="str">
        <f t="shared" si="24"/>
        <v/>
      </c>
      <c r="DC89" s="399" t="str">
        <f t="shared" si="25"/>
        <v/>
      </c>
      <c r="DD89" s="399" t="str">
        <f t="shared" si="16"/>
        <v/>
      </c>
      <c r="DE89" s="399" t="str">
        <f t="shared" si="26"/>
        <v/>
      </c>
      <c r="DG89" s="434"/>
      <c r="DH89" s="434"/>
      <c r="DJ89" s="399"/>
    </row>
    <row r="90" spans="8:114" x14ac:dyDescent="0.25">
      <c r="H90" s="416" t="str">
        <f ca="1">IF(IMPORT!C103="","",IMPORT!C103)</f>
        <v/>
      </c>
      <c r="I90" s="416" t="str">
        <f ca="1">IF(IMPORT!D103="","",IMPORT!D103)</f>
        <v/>
      </c>
      <c r="J90" s="416" t="str">
        <f ca="1">IF(IMPORT!E103="","",IMPORT!E103)</f>
        <v/>
      </c>
      <c r="K90" s="416" t="str">
        <f ca="1">IF(IMPORT!F103="","",IMPORT!F103)</f>
        <v/>
      </c>
      <c r="L90" s="416" t="str">
        <f ca="1">IF(IMPORT!G103="","",IMPORT!G103)</f>
        <v/>
      </c>
      <c r="M90" s="416" t="str">
        <f>IF(IMPORT!H103="","",IMPORT!H103)</f>
        <v/>
      </c>
      <c r="N90" s="399" t="str">
        <f t="shared" si="17"/>
        <v/>
      </c>
      <c r="P90" s="406" t="str">
        <f t="shared" si="18"/>
        <v/>
      </c>
      <c r="Q90" s="406" t="str">
        <f t="array" ref="Q90">IFERROR(INDEX($N$1:$N$203,SMALL(IF($N$1:$N$203&lt;&gt;"",ROW($N$1:$N$203)),ROW(88:88))),"")</f>
        <v/>
      </c>
      <c r="R90" s="399" t="str">
        <f t="shared" si="15"/>
        <v/>
      </c>
      <c r="S90" s="399" t="str">
        <f t="shared" si="19"/>
        <v/>
      </c>
      <c r="T90" s="399" t="str">
        <f t="shared" si="20"/>
        <v/>
      </c>
      <c r="U90" s="419" t="str">
        <f t="shared" si="27"/>
        <v/>
      </c>
      <c r="V90" s="433" t="b">
        <v>0</v>
      </c>
      <c r="W90" s="464"/>
      <c r="X90" s="433"/>
      <c r="Y90" s="433" t="s">
        <v>92</v>
      </c>
      <c r="Z90" s="433"/>
      <c r="AA90" s="433"/>
      <c r="AB90" s="433"/>
      <c r="AC90" s="433" t="s">
        <v>1401</v>
      </c>
      <c r="AD90" s="433"/>
      <c r="AE90" s="433" t="s">
        <v>111</v>
      </c>
      <c r="AF90" s="433" t="s">
        <v>299</v>
      </c>
      <c r="AG90" s="433"/>
      <c r="AH90" s="433"/>
      <c r="AI90" s="433"/>
      <c r="AJ90" s="433"/>
      <c r="AK90" s="433"/>
      <c r="AL90" s="433"/>
      <c r="AM90" s="433"/>
      <c r="AN90" s="433"/>
      <c r="AO90" s="433"/>
      <c r="AP90" s="433"/>
      <c r="AQ90" s="433"/>
      <c r="AR90" s="433"/>
      <c r="AS90" s="433" t="b">
        <v>0</v>
      </c>
      <c r="AT90" s="433"/>
      <c r="AU90" s="433"/>
      <c r="AV90" s="433"/>
      <c r="AW90" s="433"/>
      <c r="AX90" s="433"/>
      <c r="AY90" s="433"/>
      <c r="AZ90" s="433"/>
      <c r="BA90" s="433"/>
      <c r="BB90" s="433"/>
      <c r="BC90" s="433"/>
      <c r="BD90" s="433"/>
      <c r="BE90" s="433"/>
      <c r="BF90" s="433"/>
      <c r="BG90" s="433"/>
      <c r="BH90" s="433"/>
      <c r="BI90" s="433"/>
      <c r="BJ90" s="433"/>
      <c r="BK90" s="433"/>
      <c r="BL90" s="433"/>
      <c r="BM90" s="433"/>
      <c r="BN90" s="433"/>
      <c r="BO90" s="433"/>
      <c r="BP90" s="433"/>
      <c r="BQ90" s="433"/>
      <c r="BR90" s="433"/>
      <c r="BS90" s="433"/>
      <c r="BT90" s="433"/>
      <c r="BU90" s="399" t="str">
        <f t="shared" si="21"/>
        <v/>
      </c>
      <c r="BV90" s="433"/>
      <c r="BW90" s="433"/>
      <c r="BX90" s="433"/>
      <c r="BY90" s="433"/>
      <c r="BZ90" s="433"/>
      <c r="CA90" s="433"/>
      <c r="CB90" s="433"/>
      <c r="CC90" s="433"/>
      <c r="CD90" s="433"/>
      <c r="CE90" s="433"/>
      <c r="CF90" s="433"/>
      <c r="CG90" s="433"/>
      <c r="CH90" s="433"/>
      <c r="CI90" s="433"/>
      <c r="CJ90" s="433"/>
      <c r="CK90" s="433"/>
      <c r="CL90" s="433"/>
      <c r="CM90" s="433"/>
      <c r="CN90" s="433"/>
      <c r="CO90" s="433"/>
      <c r="CP90" s="433"/>
      <c r="CQ90" s="433"/>
      <c r="CR90" s="433"/>
      <c r="CS90" s="433"/>
      <c r="CT90" s="433"/>
      <c r="CU90" s="433"/>
      <c r="CV90" s="433"/>
      <c r="CW90" s="433"/>
      <c r="CX90" s="433"/>
      <c r="CY90" s="433"/>
      <c r="CZ90" s="399" t="str">
        <f t="shared" si="22"/>
        <v/>
      </c>
      <c r="DA90" s="399" t="str">
        <f t="shared" si="23"/>
        <v/>
      </c>
      <c r="DB90" s="399" t="str">
        <f t="shared" si="24"/>
        <v/>
      </c>
      <c r="DC90" s="399" t="str">
        <f t="shared" si="25"/>
        <v/>
      </c>
      <c r="DD90" s="399" t="str">
        <f t="shared" si="16"/>
        <v/>
      </c>
      <c r="DE90" s="399" t="str">
        <f t="shared" si="26"/>
        <v/>
      </c>
      <c r="DG90" s="434"/>
      <c r="DH90" s="434"/>
      <c r="DJ90" s="399"/>
    </row>
    <row r="91" spans="8:114" x14ac:dyDescent="0.25">
      <c r="H91" s="416" t="str">
        <f ca="1">IF(IMPORT!C104="","",IMPORT!C104)</f>
        <v/>
      </c>
      <c r="I91" s="416" t="str">
        <f ca="1">IF(IMPORT!D104="","",IMPORT!D104)</f>
        <v/>
      </c>
      <c r="J91" s="416" t="str">
        <f ca="1">IF(IMPORT!E104="","",IMPORT!E104)</f>
        <v/>
      </c>
      <c r="K91" s="416" t="str">
        <f ca="1">IF(IMPORT!F104="","",IMPORT!F104)</f>
        <v/>
      </c>
      <c r="L91" s="416" t="str">
        <f ca="1">IF(IMPORT!G104="","",IMPORT!G104)</f>
        <v/>
      </c>
      <c r="M91" s="416" t="str">
        <f>IF(IMPORT!H104="","",IMPORT!H104)</f>
        <v/>
      </c>
      <c r="N91" s="399" t="str">
        <f t="shared" si="17"/>
        <v/>
      </c>
      <c r="P91" s="406" t="str">
        <f t="shared" si="18"/>
        <v/>
      </c>
      <c r="Q91" s="406" t="str">
        <f t="array" ref="Q91">IFERROR(INDEX($N$1:$N$203,SMALL(IF($N$1:$N$203&lt;&gt;"",ROW($N$1:$N$203)),ROW(89:89))),"")</f>
        <v/>
      </c>
      <c r="R91" s="399" t="str">
        <f t="shared" si="15"/>
        <v/>
      </c>
      <c r="S91" s="399" t="str">
        <f t="shared" si="19"/>
        <v/>
      </c>
      <c r="T91" s="399" t="str">
        <f t="shared" si="20"/>
        <v/>
      </c>
      <c r="U91" s="419" t="str">
        <f t="shared" si="27"/>
        <v/>
      </c>
      <c r="V91" s="433" t="b">
        <v>0</v>
      </c>
      <c r="W91" s="464"/>
      <c r="X91" s="433"/>
      <c r="Y91" s="433" t="s">
        <v>92</v>
      </c>
      <c r="Z91" s="433"/>
      <c r="AA91" s="433"/>
      <c r="AB91" s="433"/>
      <c r="AC91" s="433" t="s">
        <v>1401</v>
      </c>
      <c r="AD91" s="433"/>
      <c r="AE91" s="433" t="s">
        <v>111</v>
      </c>
      <c r="AF91" s="433" t="s">
        <v>299</v>
      </c>
      <c r="AG91" s="433"/>
      <c r="AH91" s="433"/>
      <c r="AI91" s="433"/>
      <c r="AJ91" s="433"/>
      <c r="AK91" s="433"/>
      <c r="AL91" s="433"/>
      <c r="AM91" s="433"/>
      <c r="AN91" s="433"/>
      <c r="AO91" s="433"/>
      <c r="AP91" s="433"/>
      <c r="AQ91" s="433"/>
      <c r="AR91" s="433"/>
      <c r="AS91" s="433" t="b">
        <v>0</v>
      </c>
      <c r="AT91" s="433"/>
      <c r="AU91" s="433"/>
      <c r="AV91" s="433"/>
      <c r="AW91" s="433"/>
      <c r="AX91" s="433"/>
      <c r="AY91" s="433"/>
      <c r="AZ91" s="433"/>
      <c r="BA91" s="433"/>
      <c r="BB91" s="433"/>
      <c r="BC91" s="433"/>
      <c r="BD91" s="433"/>
      <c r="BE91" s="433"/>
      <c r="BF91" s="433"/>
      <c r="BG91" s="433"/>
      <c r="BH91" s="433"/>
      <c r="BI91" s="433"/>
      <c r="BJ91" s="433"/>
      <c r="BK91" s="433"/>
      <c r="BL91" s="433"/>
      <c r="BM91" s="433"/>
      <c r="BN91" s="433"/>
      <c r="BO91" s="433"/>
      <c r="BP91" s="433"/>
      <c r="BQ91" s="433"/>
      <c r="BR91" s="433"/>
      <c r="BS91" s="433"/>
      <c r="BT91" s="433"/>
      <c r="BU91" s="399" t="str">
        <f t="shared" si="21"/>
        <v/>
      </c>
      <c r="BV91" s="433"/>
      <c r="BW91" s="433"/>
      <c r="BX91" s="433"/>
      <c r="BY91" s="433"/>
      <c r="BZ91" s="433"/>
      <c r="CA91" s="433"/>
      <c r="CB91" s="433"/>
      <c r="CC91" s="433"/>
      <c r="CD91" s="433"/>
      <c r="CE91" s="433"/>
      <c r="CF91" s="433"/>
      <c r="CG91" s="433"/>
      <c r="CH91" s="433"/>
      <c r="CI91" s="433"/>
      <c r="CJ91" s="433"/>
      <c r="CK91" s="433"/>
      <c r="CL91" s="433"/>
      <c r="CM91" s="433"/>
      <c r="CN91" s="433"/>
      <c r="CO91" s="433"/>
      <c r="CP91" s="433"/>
      <c r="CQ91" s="433"/>
      <c r="CR91" s="433"/>
      <c r="CS91" s="433"/>
      <c r="CT91" s="433"/>
      <c r="CU91" s="433"/>
      <c r="CV91" s="433"/>
      <c r="CW91" s="433"/>
      <c r="CX91" s="433"/>
      <c r="CY91" s="433"/>
      <c r="CZ91" s="399" t="str">
        <f t="shared" si="22"/>
        <v/>
      </c>
      <c r="DA91" s="399" t="str">
        <f t="shared" si="23"/>
        <v/>
      </c>
      <c r="DB91" s="399" t="str">
        <f t="shared" si="24"/>
        <v/>
      </c>
      <c r="DC91" s="399" t="str">
        <f t="shared" si="25"/>
        <v/>
      </c>
      <c r="DD91" s="399" t="str">
        <f t="shared" si="16"/>
        <v/>
      </c>
      <c r="DE91" s="399" t="str">
        <f t="shared" si="26"/>
        <v/>
      </c>
      <c r="DG91" s="434"/>
      <c r="DH91" s="434"/>
      <c r="DJ91" s="399"/>
    </row>
    <row r="92" spans="8:114" x14ac:dyDescent="0.25">
      <c r="H92" s="416" t="str">
        <f ca="1">IF(IMPORT!C105="","",IMPORT!C105)</f>
        <v/>
      </c>
      <c r="I92" s="416" t="str">
        <f ca="1">IF(IMPORT!D105="","",IMPORT!D105)</f>
        <v/>
      </c>
      <c r="J92" s="416" t="str">
        <f ca="1">IF(IMPORT!E105="","",IMPORT!E105)</f>
        <v/>
      </c>
      <c r="K92" s="416" t="str">
        <f ca="1">IF(IMPORT!F105="","",IMPORT!F105)</f>
        <v/>
      </c>
      <c r="L92" s="416" t="str">
        <f ca="1">IF(IMPORT!G105="","",IMPORT!G105)</f>
        <v/>
      </c>
      <c r="M92" s="416" t="str">
        <f>IF(IMPORT!H105="","",IMPORT!H105)</f>
        <v/>
      </c>
      <c r="N92" s="399" t="str">
        <f t="shared" si="17"/>
        <v/>
      </c>
      <c r="P92" s="406" t="str">
        <f t="shared" si="18"/>
        <v/>
      </c>
      <c r="Q92" s="406" t="str">
        <f t="array" ref="Q92">IFERROR(INDEX($N$1:$N$203,SMALL(IF($N$1:$N$203&lt;&gt;"",ROW($N$1:$N$203)),ROW(90:90))),"")</f>
        <v/>
      </c>
      <c r="R92" s="399" t="str">
        <f t="shared" si="15"/>
        <v/>
      </c>
      <c r="S92" s="399" t="str">
        <f t="shared" si="19"/>
        <v/>
      </c>
      <c r="T92" s="399" t="str">
        <f t="shared" si="20"/>
        <v/>
      </c>
      <c r="U92" s="419" t="str">
        <f t="shared" si="27"/>
        <v/>
      </c>
      <c r="V92" s="433" t="b">
        <v>0</v>
      </c>
      <c r="W92" s="464"/>
      <c r="X92" s="433"/>
      <c r="Y92" s="433" t="s">
        <v>92</v>
      </c>
      <c r="Z92" s="433"/>
      <c r="AA92" s="433"/>
      <c r="AB92" s="433"/>
      <c r="AC92" s="433" t="s">
        <v>1401</v>
      </c>
      <c r="AD92" s="433"/>
      <c r="AE92" s="433" t="s">
        <v>111</v>
      </c>
      <c r="AF92" s="433" t="s">
        <v>299</v>
      </c>
      <c r="AG92" s="433"/>
      <c r="AH92" s="433"/>
      <c r="AI92" s="433"/>
      <c r="AJ92" s="433"/>
      <c r="AK92" s="433"/>
      <c r="AL92" s="433"/>
      <c r="AM92" s="433"/>
      <c r="AN92" s="433"/>
      <c r="AO92" s="433"/>
      <c r="AP92" s="433"/>
      <c r="AQ92" s="433"/>
      <c r="AR92" s="433"/>
      <c r="AS92" s="433" t="b">
        <v>0</v>
      </c>
      <c r="AT92" s="433"/>
      <c r="AU92" s="433"/>
      <c r="AV92" s="433"/>
      <c r="AW92" s="433"/>
      <c r="AX92" s="433"/>
      <c r="AY92" s="433"/>
      <c r="AZ92" s="433"/>
      <c r="BA92" s="433"/>
      <c r="BB92" s="433"/>
      <c r="BC92" s="433"/>
      <c r="BD92" s="433"/>
      <c r="BE92" s="433"/>
      <c r="BF92" s="433"/>
      <c r="BG92" s="433"/>
      <c r="BH92" s="433"/>
      <c r="BI92" s="433"/>
      <c r="BJ92" s="433"/>
      <c r="BK92" s="433"/>
      <c r="BL92" s="433"/>
      <c r="BM92" s="433"/>
      <c r="BN92" s="433"/>
      <c r="BO92" s="433"/>
      <c r="BP92" s="433"/>
      <c r="BQ92" s="433"/>
      <c r="BR92" s="433"/>
      <c r="BS92" s="433"/>
      <c r="BT92" s="433"/>
      <c r="BU92" s="399" t="str">
        <f t="shared" si="21"/>
        <v/>
      </c>
      <c r="BV92" s="433"/>
      <c r="BW92" s="433"/>
      <c r="BX92" s="433"/>
      <c r="BY92" s="433"/>
      <c r="BZ92" s="433"/>
      <c r="CA92" s="433"/>
      <c r="CB92" s="433"/>
      <c r="CC92" s="433"/>
      <c r="CD92" s="433"/>
      <c r="CE92" s="433"/>
      <c r="CF92" s="433"/>
      <c r="CG92" s="433"/>
      <c r="CH92" s="433"/>
      <c r="CI92" s="433"/>
      <c r="CJ92" s="433"/>
      <c r="CK92" s="433"/>
      <c r="CL92" s="433"/>
      <c r="CM92" s="433"/>
      <c r="CN92" s="433"/>
      <c r="CO92" s="433"/>
      <c r="CP92" s="433"/>
      <c r="CQ92" s="433"/>
      <c r="CR92" s="433"/>
      <c r="CS92" s="433"/>
      <c r="CT92" s="433"/>
      <c r="CU92" s="433"/>
      <c r="CV92" s="433"/>
      <c r="CW92" s="433"/>
      <c r="CX92" s="433"/>
      <c r="CY92" s="433"/>
      <c r="CZ92" s="399" t="str">
        <f t="shared" si="22"/>
        <v/>
      </c>
      <c r="DA92" s="399" t="str">
        <f t="shared" si="23"/>
        <v/>
      </c>
      <c r="DB92" s="399" t="str">
        <f t="shared" si="24"/>
        <v/>
      </c>
      <c r="DC92" s="399" t="str">
        <f t="shared" si="25"/>
        <v/>
      </c>
      <c r="DD92" s="399" t="str">
        <f t="shared" si="16"/>
        <v/>
      </c>
      <c r="DE92" s="399" t="str">
        <f t="shared" si="26"/>
        <v/>
      </c>
      <c r="DG92" s="434"/>
      <c r="DH92" s="434"/>
      <c r="DJ92" s="399"/>
    </row>
    <row r="93" spans="8:114" x14ac:dyDescent="0.25">
      <c r="H93" s="416" t="str">
        <f ca="1">IF(IMPORT!C106="","",IMPORT!C106)</f>
        <v/>
      </c>
      <c r="I93" s="416" t="str">
        <f ca="1">IF(IMPORT!D106="","",IMPORT!D106)</f>
        <v/>
      </c>
      <c r="J93" s="416" t="str">
        <f ca="1">IF(IMPORT!E106="","",IMPORT!E106)</f>
        <v/>
      </c>
      <c r="K93" s="416" t="str">
        <f ca="1">IF(IMPORT!F106="","",IMPORT!F106)</f>
        <v/>
      </c>
      <c r="L93" s="416" t="str">
        <f ca="1">IF(IMPORT!G106="","",IMPORT!G106)</f>
        <v/>
      </c>
      <c r="M93" s="416" t="str">
        <f>IF(IMPORT!H106="","",IMPORT!H106)</f>
        <v/>
      </c>
      <c r="N93" s="399" t="str">
        <f t="shared" si="17"/>
        <v/>
      </c>
      <c r="P93" s="406" t="str">
        <f t="shared" si="18"/>
        <v/>
      </c>
      <c r="Q93" s="406" t="str">
        <f t="array" ref="Q93">IFERROR(INDEX($N$1:$N$203,SMALL(IF($N$1:$N$203&lt;&gt;"",ROW($N$1:$N$203)),ROW(91:91))),"")</f>
        <v/>
      </c>
      <c r="R93" s="399" t="str">
        <f t="shared" si="15"/>
        <v/>
      </c>
      <c r="S93" s="399" t="str">
        <f t="shared" si="19"/>
        <v/>
      </c>
      <c r="T93" s="399" t="str">
        <f t="shared" si="20"/>
        <v/>
      </c>
      <c r="U93" s="419" t="str">
        <f t="shared" si="27"/>
        <v/>
      </c>
      <c r="V93" s="433" t="b">
        <v>0</v>
      </c>
      <c r="W93" s="464"/>
      <c r="X93" s="433"/>
      <c r="Y93" s="433" t="s">
        <v>92</v>
      </c>
      <c r="Z93" s="433"/>
      <c r="AA93" s="433"/>
      <c r="AB93" s="433"/>
      <c r="AC93" s="433" t="s">
        <v>1401</v>
      </c>
      <c r="AD93" s="433"/>
      <c r="AE93" s="433" t="s">
        <v>111</v>
      </c>
      <c r="AF93" s="433" t="s">
        <v>299</v>
      </c>
      <c r="AG93" s="433"/>
      <c r="AH93" s="433"/>
      <c r="AI93" s="433"/>
      <c r="AJ93" s="433"/>
      <c r="AK93" s="433"/>
      <c r="AL93" s="433"/>
      <c r="AM93" s="433"/>
      <c r="AN93" s="433"/>
      <c r="AO93" s="433"/>
      <c r="AP93" s="433"/>
      <c r="AQ93" s="433"/>
      <c r="AR93" s="433"/>
      <c r="AS93" s="433" t="b">
        <v>0</v>
      </c>
      <c r="AT93" s="433"/>
      <c r="AU93" s="433"/>
      <c r="AV93" s="433"/>
      <c r="AW93" s="433"/>
      <c r="AX93" s="433"/>
      <c r="AY93" s="433"/>
      <c r="AZ93" s="433"/>
      <c r="BA93" s="433"/>
      <c r="BB93" s="433"/>
      <c r="BC93" s="433"/>
      <c r="BD93" s="433"/>
      <c r="BE93" s="433"/>
      <c r="BF93" s="433"/>
      <c r="BG93" s="433"/>
      <c r="BH93" s="433"/>
      <c r="BI93" s="433"/>
      <c r="BJ93" s="433"/>
      <c r="BK93" s="433"/>
      <c r="BL93" s="433"/>
      <c r="BM93" s="433"/>
      <c r="BN93" s="433"/>
      <c r="BO93" s="433"/>
      <c r="BP93" s="433"/>
      <c r="BQ93" s="433"/>
      <c r="BR93" s="433"/>
      <c r="BS93" s="433"/>
      <c r="BT93" s="433"/>
      <c r="BU93" s="399" t="str">
        <f t="shared" si="21"/>
        <v/>
      </c>
      <c r="BV93" s="433"/>
      <c r="BW93" s="433"/>
      <c r="BX93" s="433"/>
      <c r="BY93" s="433"/>
      <c r="BZ93" s="433"/>
      <c r="CA93" s="433"/>
      <c r="CB93" s="433"/>
      <c r="CC93" s="433"/>
      <c r="CD93" s="433"/>
      <c r="CE93" s="433"/>
      <c r="CF93" s="433"/>
      <c r="CG93" s="433"/>
      <c r="CH93" s="433"/>
      <c r="CI93" s="433"/>
      <c r="CJ93" s="433"/>
      <c r="CK93" s="433"/>
      <c r="CL93" s="433"/>
      <c r="CM93" s="433"/>
      <c r="CN93" s="433"/>
      <c r="CO93" s="433"/>
      <c r="CP93" s="433"/>
      <c r="CQ93" s="433"/>
      <c r="CR93" s="433"/>
      <c r="CS93" s="433"/>
      <c r="CT93" s="433"/>
      <c r="CU93" s="433"/>
      <c r="CV93" s="433"/>
      <c r="CW93" s="433"/>
      <c r="CX93" s="433"/>
      <c r="CY93" s="433"/>
      <c r="CZ93" s="399" t="str">
        <f t="shared" si="22"/>
        <v/>
      </c>
      <c r="DA93" s="399" t="str">
        <f t="shared" si="23"/>
        <v/>
      </c>
      <c r="DB93" s="399" t="str">
        <f t="shared" si="24"/>
        <v/>
      </c>
      <c r="DC93" s="399" t="str">
        <f t="shared" si="25"/>
        <v/>
      </c>
      <c r="DD93" s="399" t="str">
        <f t="shared" si="16"/>
        <v/>
      </c>
      <c r="DE93" s="399" t="str">
        <f t="shared" si="26"/>
        <v/>
      </c>
      <c r="DG93" s="434"/>
      <c r="DH93" s="434"/>
      <c r="DJ93" s="399"/>
    </row>
    <row r="94" spans="8:114" x14ac:dyDescent="0.25">
      <c r="H94" s="416" t="str">
        <f ca="1">IF(IMPORT!C107="","",IMPORT!C107)</f>
        <v/>
      </c>
      <c r="I94" s="416" t="str">
        <f ca="1">IF(IMPORT!D107="","",IMPORT!D107)</f>
        <v/>
      </c>
      <c r="J94" s="416" t="str">
        <f ca="1">IF(IMPORT!E107="","",IMPORT!E107)</f>
        <v/>
      </c>
      <c r="K94" s="416" t="str">
        <f ca="1">IF(IMPORT!F107="","",IMPORT!F107)</f>
        <v/>
      </c>
      <c r="L94" s="416" t="str">
        <f ca="1">IF(IMPORT!G107="","",IMPORT!G107)</f>
        <v/>
      </c>
      <c r="M94" s="416" t="str">
        <f>IF(IMPORT!H107="","",IMPORT!H107)</f>
        <v/>
      </c>
      <c r="N94" s="399" t="str">
        <f t="shared" si="17"/>
        <v/>
      </c>
      <c r="P94" s="406" t="str">
        <f t="shared" si="18"/>
        <v/>
      </c>
      <c r="Q94" s="406" t="str">
        <f t="array" ref="Q94">IFERROR(INDEX($N$1:$N$203,SMALL(IF($N$1:$N$203&lt;&gt;"",ROW($N$1:$N$203)),ROW(92:92))),"")</f>
        <v/>
      </c>
      <c r="R94" s="399" t="str">
        <f t="shared" si="15"/>
        <v/>
      </c>
      <c r="S94" s="399" t="str">
        <f t="shared" si="19"/>
        <v/>
      </c>
      <c r="T94" s="399" t="str">
        <f t="shared" si="20"/>
        <v/>
      </c>
      <c r="U94" s="419" t="str">
        <f t="shared" si="27"/>
        <v/>
      </c>
      <c r="V94" s="433" t="b">
        <v>0</v>
      </c>
      <c r="W94" s="464"/>
      <c r="X94" s="433"/>
      <c r="Y94" s="433" t="s">
        <v>92</v>
      </c>
      <c r="Z94" s="433"/>
      <c r="AA94" s="433"/>
      <c r="AB94" s="433"/>
      <c r="AC94" s="433" t="s">
        <v>1401</v>
      </c>
      <c r="AD94" s="433"/>
      <c r="AE94" s="433" t="s">
        <v>111</v>
      </c>
      <c r="AF94" s="433" t="s">
        <v>299</v>
      </c>
      <c r="AG94" s="433"/>
      <c r="AH94" s="433"/>
      <c r="AI94" s="433"/>
      <c r="AJ94" s="433"/>
      <c r="AK94" s="433"/>
      <c r="AL94" s="433"/>
      <c r="AM94" s="433"/>
      <c r="AN94" s="433"/>
      <c r="AO94" s="433"/>
      <c r="AP94" s="433"/>
      <c r="AQ94" s="433"/>
      <c r="AR94" s="433"/>
      <c r="AS94" s="433" t="b">
        <v>0</v>
      </c>
      <c r="AT94" s="433"/>
      <c r="AU94" s="433"/>
      <c r="AV94" s="433"/>
      <c r="AW94" s="433"/>
      <c r="AX94" s="433"/>
      <c r="AY94" s="433"/>
      <c r="AZ94" s="433"/>
      <c r="BA94" s="433"/>
      <c r="BB94" s="433"/>
      <c r="BC94" s="433"/>
      <c r="BD94" s="433"/>
      <c r="BE94" s="433"/>
      <c r="BF94" s="433"/>
      <c r="BG94" s="433"/>
      <c r="BH94" s="433"/>
      <c r="BI94" s="433"/>
      <c r="BJ94" s="433"/>
      <c r="BK94" s="433"/>
      <c r="BL94" s="433"/>
      <c r="BM94" s="433"/>
      <c r="BN94" s="433"/>
      <c r="BO94" s="433"/>
      <c r="BP94" s="433"/>
      <c r="BQ94" s="433"/>
      <c r="BR94" s="433"/>
      <c r="BS94" s="433"/>
      <c r="BT94" s="433"/>
      <c r="BU94" s="399" t="str">
        <f t="shared" si="21"/>
        <v/>
      </c>
      <c r="BV94" s="433"/>
      <c r="BW94" s="433"/>
      <c r="BX94" s="433"/>
      <c r="BY94" s="433"/>
      <c r="BZ94" s="433"/>
      <c r="CA94" s="433"/>
      <c r="CB94" s="433"/>
      <c r="CC94" s="433"/>
      <c r="CD94" s="433"/>
      <c r="CE94" s="433"/>
      <c r="CF94" s="433"/>
      <c r="CG94" s="433"/>
      <c r="CH94" s="433"/>
      <c r="CI94" s="433"/>
      <c r="CJ94" s="433"/>
      <c r="CK94" s="433"/>
      <c r="CL94" s="433"/>
      <c r="CM94" s="433"/>
      <c r="CN94" s="433"/>
      <c r="CO94" s="433"/>
      <c r="CP94" s="433"/>
      <c r="CQ94" s="433"/>
      <c r="CR94" s="433"/>
      <c r="CS94" s="433"/>
      <c r="CT94" s="433"/>
      <c r="CU94" s="433"/>
      <c r="CV94" s="433"/>
      <c r="CW94" s="433"/>
      <c r="CX94" s="433"/>
      <c r="CY94" s="433"/>
      <c r="CZ94" s="399" t="str">
        <f t="shared" si="22"/>
        <v/>
      </c>
      <c r="DA94" s="399" t="str">
        <f t="shared" si="23"/>
        <v/>
      </c>
      <c r="DB94" s="399" t="str">
        <f t="shared" si="24"/>
        <v/>
      </c>
      <c r="DC94" s="399" t="str">
        <f t="shared" si="25"/>
        <v/>
      </c>
      <c r="DD94" s="399" t="str">
        <f t="shared" si="16"/>
        <v/>
      </c>
      <c r="DE94" s="399" t="str">
        <f t="shared" si="26"/>
        <v/>
      </c>
      <c r="DG94" s="434"/>
      <c r="DH94" s="434"/>
      <c r="DJ94" s="399"/>
    </row>
    <row r="95" spans="8:114" x14ac:dyDescent="0.25">
      <c r="H95" s="416" t="str">
        <f ca="1">IF(IMPORT!C108="","",IMPORT!C108)</f>
        <v/>
      </c>
      <c r="I95" s="416" t="str">
        <f ca="1">IF(IMPORT!D108="","",IMPORT!D108)</f>
        <v/>
      </c>
      <c r="J95" s="416" t="str">
        <f ca="1">IF(IMPORT!E108="","",IMPORT!E108)</f>
        <v/>
      </c>
      <c r="K95" s="416" t="str">
        <f ca="1">IF(IMPORT!F108="","",IMPORT!F108)</f>
        <v/>
      </c>
      <c r="L95" s="416" t="str">
        <f ca="1">IF(IMPORT!G108="","",IMPORT!G108)</f>
        <v/>
      </c>
      <c r="M95" s="416" t="str">
        <f>IF(IMPORT!H108="","",IMPORT!H108)</f>
        <v/>
      </c>
      <c r="N95" s="399" t="str">
        <f t="shared" si="17"/>
        <v/>
      </c>
      <c r="P95" s="406" t="str">
        <f t="shared" si="18"/>
        <v/>
      </c>
      <c r="Q95" s="406" t="str">
        <f t="array" ref="Q95">IFERROR(INDEX($N$1:$N$203,SMALL(IF($N$1:$N$203&lt;&gt;"",ROW($N$1:$N$203)),ROW(93:93))),"")</f>
        <v/>
      </c>
      <c r="R95" s="399" t="str">
        <f t="shared" si="15"/>
        <v/>
      </c>
      <c r="S95" s="399" t="str">
        <f t="shared" si="19"/>
        <v/>
      </c>
      <c r="T95" s="399" t="str">
        <f t="shared" si="20"/>
        <v/>
      </c>
      <c r="U95" s="419" t="str">
        <f t="shared" si="27"/>
        <v/>
      </c>
      <c r="V95" s="433" t="b">
        <v>0</v>
      </c>
      <c r="W95" s="464"/>
      <c r="X95" s="433"/>
      <c r="Y95" s="433" t="s">
        <v>92</v>
      </c>
      <c r="Z95" s="433"/>
      <c r="AA95" s="433"/>
      <c r="AB95" s="433"/>
      <c r="AC95" s="433" t="s">
        <v>1401</v>
      </c>
      <c r="AD95" s="433"/>
      <c r="AE95" s="433" t="s">
        <v>111</v>
      </c>
      <c r="AF95" s="433" t="s">
        <v>299</v>
      </c>
      <c r="AG95" s="433"/>
      <c r="AH95" s="433"/>
      <c r="AI95" s="433"/>
      <c r="AJ95" s="433"/>
      <c r="AK95" s="433"/>
      <c r="AL95" s="433"/>
      <c r="AM95" s="433"/>
      <c r="AN95" s="433"/>
      <c r="AO95" s="433"/>
      <c r="AP95" s="433"/>
      <c r="AQ95" s="433"/>
      <c r="AR95" s="433"/>
      <c r="AS95" s="433" t="b">
        <v>0</v>
      </c>
      <c r="AT95" s="433"/>
      <c r="AU95" s="433"/>
      <c r="AV95" s="433"/>
      <c r="AW95" s="433"/>
      <c r="AX95" s="433"/>
      <c r="AY95" s="433"/>
      <c r="AZ95" s="433"/>
      <c r="BA95" s="433"/>
      <c r="BB95" s="433"/>
      <c r="BC95" s="433"/>
      <c r="BD95" s="433"/>
      <c r="BE95" s="433"/>
      <c r="BF95" s="433"/>
      <c r="BG95" s="433"/>
      <c r="BH95" s="433"/>
      <c r="BI95" s="433"/>
      <c r="BJ95" s="433"/>
      <c r="BK95" s="433"/>
      <c r="BL95" s="433"/>
      <c r="BM95" s="433"/>
      <c r="BN95" s="433"/>
      <c r="BO95" s="433"/>
      <c r="BP95" s="433"/>
      <c r="BQ95" s="433"/>
      <c r="BR95" s="433"/>
      <c r="BS95" s="433"/>
      <c r="BT95" s="433"/>
      <c r="BU95" s="399" t="str">
        <f t="shared" si="21"/>
        <v/>
      </c>
      <c r="BV95" s="433"/>
      <c r="BW95" s="433"/>
      <c r="BX95" s="433"/>
      <c r="BY95" s="433"/>
      <c r="BZ95" s="433"/>
      <c r="CA95" s="433"/>
      <c r="CB95" s="433"/>
      <c r="CC95" s="433"/>
      <c r="CD95" s="433"/>
      <c r="CE95" s="433"/>
      <c r="CF95" s="433"/>
      <c r="CG95" s="433"/>
      <c r="CH95" s="433"/>
      <c r="CI95" s="433"/>
      <c r="CJ95" s="433"/>
      <c r="CK95" s="433"/>
      <c r="CL95" s="433"/>
      <c r="CM95" s="433"/>
      <c r="CN95" s="433"/>
      <c r="CO95" s="433"/>
      <c r="CP95" s="433"/>
      <c r="CQ95" s="433"/>
      <c r="CR95" s="433"/>
      <c r="CS95" s="433"/>
      <c r="CT95" s="433"/>
      <c r="CU95" s="433"/>
      <c r="CV95" s="433"/>
      <c r="CW95" s="433"/>
      <c r="CX95" s="433"/>
      <c r="CY95" s="433"/>
      <c r="CZ95" s="399" t="str">
        <f t="shared" si="22"/>
        <v/>
      </c>
      <c r="DA95" s="399" t="str">
        <f t="shared" si="23"/>
        <v/>
      </c>
      <c r="DB95" s="399" t="str">
        <f t="shared" si="24"/>
        <v/>
      </c>
      <c r="DC95" s="399" t="str">
        <f t="shared" si="25"/>
        <v/>
      </c>
      <c r="DD95" s="399" t="str">
        <f t="shared" si="16"/>
        <v/>
      </c>
      <c r="DE95" s="399" t="str">
        <f t="shared" si="26"/>
        <v/>
      </c>
      <c r="DG95" s="434"/>
      <c r="DH95" s="434"/>
      <c r="DJ95" s="399"/>
    </row>
    <row r="96" spans="8:114" x14ac:dyDescent="0.25">
      <c r="H96" s="416" t="str">
        <f ca="1">IF(IMPORT!C109="","",IMPORT!C109)</f>
        <v/>
      </c>
      <c r="I96" s="416" t="str">
        <f ca="1">IF(IMPORT!D109="","",IMPORT!D109)</f>
        <v/>
      </c>
      <c r="J96" s="416" t="str">
        <f ca="1">IF(IMPORT!E109="","",IMPORT!E109)</f>
        <v/>
      </c>
      <c r="K96" s="416" t="str">
        <f ca="1">IF(IMPORT!F109="","",IMPORT!F109)</f>
        <v/>
      </c>
      <c r="L96" s="416" t="str">
        <f ca="1">IF(IMPORT!G109="","",IMPORT!G109)</f>
        <v/>
      </c>
      <c r="M96" s="416" t="str">
        <f>IF(IMPORT!H109="","",IMPORT!H109)</f>
        <v/>
      </c>
      <c r="N96" s="399" t="str">
        <f t="shared" si="17"/>
        <v/>
      </c>
      <c r="P96" s="406" t="str">
        <f t="shared" si="18"/>
        <v/>
      </c>
      <c r="Q96" s="406" t="str">
        <f t="array" ref="Q96">IFERROR(INDEX($N$1:$N$203,SMALL(IF($N$1:$N$203&lt;&gt;"",ROW($N$1:$N$203)),ROW(94:94))),"")</f>
        <v/>
      </c>
      <c r="R96" s="399" t="str">
        <f t="shared" si="15"/>
        <v/>
      </c>
      <c r="S96" s="399" t="str">
        <f t="shared" si="19"/>
        <v/>
      </c>
      <c r="T96" s="399" t="str">
        <f t="shared" si="20"/>
        <v/>
      </c>
      <c r="U96" s="419" t="str">
        <f t="shared" si="27"/>
        <v/>
      </c>
      <c r="V96" s="433" t="b">
        <v>0</v>
      </c>
      <c r="W96" s="464"/>
      <c r="X96" s="433"/>
      <c r="Y96" s="433" t="s">
        <v>92</v>
      </c>
      <c r="Z96" s="433"/>
      <c r="AA96" s="433"/>
      <c r="AB96" s="433"/>
      <c r="AC96" s="433" t="s">
        <v>1401</v>
      </c>
      <c r="AD96" s="433"/>
      <c r="AE96" s="433" t="s">
        <v>111</v>
      </c>
      <c r="AF96" s="433" t="s">
        <v>299</v>
      </c>
      <c r="AG96" s="433"/>
      <c r="AH96" s="433"/>
      <c r="AI96" s="433"/>
      <c r="AJ96" s="433"/>
      <c r="AK96" s="433"/>
      <c r="AL96" s="433"/>
      <c r="AM96" s="433"/>
      <c r="AN96" s="433"/>
      <c r="AO96" s="433"/>
      <c r="AP96" s="433"/>
      <c r="AQ96" s="433"/>
      <c r="AR96" s="433"/>
      <c r="AS96" s="433" t="b">
        <v>0</v>
      </c>
      <c r="AT96" s="433"/>
      <c r="AU96" s="433"/>
      <c r="AV96" s="433"/>
      <c r="AW96" s="433"/>
      <c r="AX96" s="433"/>
      <c r="AY96" s="433"/>
      <c r="AZ96" s="433"/>
      <c r="BA96" s="433"/>
      <c r="BB96" s="433"/>
      <c r="BC96" s="433"/>
      <c r="BD96" s="433"/>
      <c r="BE96" s="433"/>
      <c r="BF96" s="433"/>
      <c r="BG96" s="433"/>
      <c r="BH96" s="433"/>
      <c r="BI96" s="433"/>
      <c r="BJ96" s="433"/>
      <c r="BK96" s="433"/>
      <c r="BL96" s="433"/>
      <c r="BM96" s="433"/>
      <c r="BN96" s="433"/>
      <c r="BO96" s="433"/>
      <c r="BP96" s="433"/>
      <c r="BQ96" s="433"/>
      <c r="BR96" s="433"/>
      <c r="BS96" s="433"/>
      <c r="BT96" s="433"/>
      <c r="BU96" s="399" t="str">
        <f t="shared" si="21"/>
        <v/>
      </c>
      <c r="BV96" s="433"/>
      <c r="BW96" s="433"/>
      <c r="BX96" s="433"/>
      <c r="BY96" s="433"/>
      <c r="BZ96" s="433"/>
      <c r="CA96" s="433"/>
      <c r="CB96" s="433"/>
      <c r="CC96" s="433"/>
      <c r="CD96" s="433"/>
      <c r="CE96" s="433"/>
      <c r="CF96" s="433"/>
      <c r="CG96" s="433"/>
      <c r="CH96" s="433"/>
      <c r="CI96" s="433"/>
      <c r="CJ96" s="433"/>
      <c r="CK96" s="433"/>
      <c r="CL96" s="433"/>
      <c r="CM96" s="433"/>
      <c r="CN96" s="433"/>
      <c r="CO96" s="433"/>
      <c r="CP96" s="433"/>
      <c r="CQ96" s="433"/>
      <c r="CR96" s="433"/>
      <c r="CS96" s="433"/>
      <c r="CT96" s="433"/>
      <c r="CU96" s="433"/>
      <c r="CV96" s="433"/>
      <c r="CW96" s="433"/>
      <c r="CX96" s="433"/>
      <c r="CY96" s="433"/>
      <c r="CZ96" s="399" t="str">
        <f t="shared" si="22"/>
        <v/>
      </c>
      <c r="DA96" s="399" t="str">
        <f t="shared" si="23"/>
        <v/>
      </c>
      <c r="DB96" s="399" t="str">
        <f t="shared" si="24"/>
        <v/>
      </c>
      <c r="DC96" s="399" t="str">
        <f t="shared" si="25"/>
        <v/>
      </c>
      <c r="DD96" s="399" t="str">
        <f t="shared" si="16"/>
        <v/>
      </c>
      <c r="DE96" s="399" t="str">
        <f t="shared" si="26"/>
        <v/>
      </c>
      <c r="DG96" s="434"/>
      <c r="DH96" s="434"/>
      <c r="DJ96" s="399"/>
    </row>
    <row r="97" spans="8:114" x14ac:dyDescent="0.25">
      <c r="H97" s="416" t="str">
        <f ca="1">IF(IMPORT!C110="","",IMPORT!C110)</f>
        <v/>
      </c>
      <c r="I97" s="416" t="str">
        <f ca="1">IF(IMPORT!D110="","",IMPORT!D110)</f>
        <v/>
      </c>
      <c r="J97" s="416" t="str">
        <f ca="1">IF(IMPORT!E110="","",IMPORT!E110)</f>
        <v/>
      </c>
      <c r="K97" s="416" t="str">
        <f ca="1">IF(IMPORT!F110="","",IMPORT!F110)</f>
        <v/>
      </c>
      <c r="L97" s="416" t="str">
        <f ca="1">IF(IMPORT!G110="","",IMPORT!G110)</f>
        <v/>
      </c>
      <c r="M97" s="416" t="str">
        <f>IF(IMPORT!H110="","",IMPORT!H110)</f>
        <v/>
      </c>
      <c r="N97" s="399" t="str">
        <f t="shared" si="17"/>
        <v/>
      </c>
      <c r="P97" s="406" t="str">
        <f t="shared" si="18"/>
        <v/>
      </c>
      <c r="Q97" s="406" t="str">
        <f t="array" ref="Q97">IFERROR(INDEX($N$1:$N$203,SMALL(IF($N$1:$N$203&lt;&gt;"",ROW($N$1:$N$203)),ROW(95:95))),"")</f>
        <v/>
      </c>
      <c r="R97" s="399" t="str">
        <f t="shared" si="15"/>
        <v/>
      </c>
      <c r="S97" s="399" t="str">
        <f t="shared" si="19"/>
        <v/>
      </c>
      <c r="T97" s="399" t="str">
        <f t="shared" si="20"/>
        <v/>
      </c>
      <c r="U97" s="419" t="str">
        <f t="shared" si="27"/>
        <v/>
      </c>
      <c r="V97" s="433" t="b">
        <v>0</v>
      </c>
      <c r="W97" s="464"/>
      <c r="X97" s="433"/>
      <c r="Y97" s="433" t="s">
        <v>92</v>
      </c>
      <c r="Z97" s="433"/>
      <c r="AA97" s="433"/>
      <c r="AB97" s="433"/>
      <c r="AC97" s="433" t="s">
        <v>1401</v>
      </c>
      <c r="AD97" s="433"/>
      <c r="AE97" s="433" t="s">
        <v>111</v>
      </c>
      <c r="AF97" s="433" t="s">
        <v>299</v>
      </c>
      <c r="AG97" s="433"/>
      <c r="AH97" s="433"/>
      <c r="AI97" s="433"/>
      <c r="AJ97" s="433"/>
      <c r="AK97" s="433"/>
      <c r="AL97" s="433"/>
      <c r="AM97" s="433"/>
      <c r="AN97" s="433"/>
      <c r="AO97" s="433"/>
      <c r="AP97" s="433"/>
      <c r="AQ97" s="433"/>
      <c r="AR97" s="433"/>
      <c r="AS97" s="433" t="b">
        <v>0</v>
      </c>
      <c r="AT97" s="433"/>
      <c r="AU97" s="433"/>
      <c r="AV97" s="433"/>
      <c r="AW97" s="433"/>
      <c r="AX97" s="433"/>
      <c r="AY97" s="433"/>
      <c r="AZ97" s="433"/>
      <c r="BA97" s="433"/>
      <c r="BB97" s="433"/>
      <c r="BC97" s="433"/>
      <c r="BD97" s="433"/>
      <c r="BE97" s="433"/>
      <c r="BF97" s="433"/>
      <c r="BG97" s="433"/>
      <c r="BH97" s="433"/>
      <c r="BI97" s="433"/>
      <c r="BJ97" s="433"/>
      <c r="BK97" s="433"/>
      <c r="BL97" s="433"/>
      <c r="BM97" s="433"/>
      <c r="BN97" s="433"/>
      <c r="BO97" s="433"/>
      <c r="BP97" s="433"/>
      <c r="BQ97" s="433"/>
      <c r="BR97" s="433"/>
      <c r="BS97" s="433"/>
      <c r="BT97" s="433"/>
      <c r="BU97" s="399" t="str">
        <f t="shared" si="21"/>
        <v/>
      </c>
      <c r="BV97" s="433"/>
      <c r="BW97" s="433"/>
      <c r="BX97" s="433"/>
      <c r="BY97" s="433"/>
      <c r="BZ97" s="433"/>
      <c r="CA97" s="433"/>
      <c r="CB97" s="433"/>
      <c r="CC97" s="433"/>
      <c r="CD97" s="433"/>
      <c r="CE97" s="433"/>
      <c r="CF97" s="433"/>
      <c r="CG97" s="433"/>
      <c r="CH97" s="433"/>
      <c r="CI97" s="433"/>
      <c r="CJ97" s="433"/>
      <c r="CK97" s="433"/>
      <c r="CL97" s="433"/>
      <c r="CM97" s="433"/>
      <c r="CN97" s="433"/>
      <c r="CO97" s="433"/>
      <c r="CP97" s="433"/>
      <c r="CQ97" s="433"/>
      <c r="CR97" s="433"/>
      <c r="CS97" s="433"/>
      <c r="CT97" s="433"/>
      <c r="CU97" s="433"/>
      <c r="CV97" s="433"/>
      <c r="CW97" s="433"/>
      <c r="CX97" s="433"/>
      <c r="CY97" s="433"/>
      <c r="CZ97" s="399" t="str">
        <f t="shared" si="22"/>
        <v/>
      </c>
      <c r="DA97" s="399" t="str">
        <f t="shared" si="23"/>
        <v/>
      </c>
      <c r="DB97" s="399" t="str">
        <f t="shared" si="24"/>
        <v/>
      </c>
      <c r="DC97" s="399" t="str">
        <f t="shared" si="25"/>
        <v/>
      </c>
      <c r="DD97" s="399" t="str">
        <f t="shared" si="16"/>
        <v/>
      </c>
      <c r="DE97" s="399" t="str">
        <f t="shared" si="26"/>
        <v/>
      </c>
      <c r="DG97" s="434"/>
      <c r="DH97" s="434"/>
      <c r="DJ97" s="399"/>
    </row>
    <row r="98" spans="8:114" x14ac:dyDescent="0.25">
      <c r="H98" s="416" t="str">
        <f ca="1">IF(IMPORT!C111="","",IMPORT!C111)</f>
        <v/>
      </c>
      <c r="I98" s="416" t="str">
        <f ca="1">IF(IMPORT!D111="","",IMPORT!D111)</f>
        <v/>
      </c>
      <c r="J98" s="416" t="str">
        <f ca="1">IF(IMPORT!E111="","",IMPORT!E111)</f>
        <v/>
      </c>
      <c r="K98" s="416" t="str">
        <f ca="1">IF(IMPORT!F111="","",IMPORT!F111)</f>
        <v/>
      </c>
      <c r="L98" s="416" t="str">
        <f ca="1">IF(IMPORT!G111="","",IMPORT!G111)</f>
        <v/>
      </c>
      <c r="M98" s="416" t="str">
        <f>IF(IMPORT!H111="","",IMPORT!H111)</f>
        <v/>
      </c>
      <c r="N98" s="399" t="str">
        <f t="shared" si="17"/>
        <v/>
      </c>
      <c r="P98" s="406" t="str">
        <f t="shared" si="18"/>
        <v/>
      </c>
      <c r="Q98" s="406" t="str">
        <f t="array" ref="Q98">IFERROR(INDEX($N$1:$N$203,SMALL(IF($N$1:$N$203&lt;&gt;"",ROW($N$1:$N$203)),ROW(96:96))),"")</f>
        <v/>
      </c>
      <c r="R98" s="399" t="str">
        <f t="shared" si="15"/>
        <v/>
      </c>
      <c r="S98" s="399" t="str">
        <f t="shared" si="19"/>
        <v/>
      </c>
      <c r="T98" s="399" t="str">
        <f t="shared" si="20"/>
        <v/>
      </c>
      <c r="U98" s="419" t="str">
        <f t="shared" si="27"/>
        <v/>
      </c>
      <c r="V98" s="433" t="b">
        <v>0</v>
      </c>
      <c r="W98" s="464"/>
      <c r="X98" s="433"/>
      <c r="Y98" s="433" t="s">
        <v>92</v>
      </c>
      <c r="Z98" s="433"/>
      <c r="AA98" s="433"/>
      <c r="AB98" s="433"/>
      <c r="AC98" s="433" t="s">
        <v>1401</v>
      </c>
      <c r="AD98" s="433"/>
      <c r="AE98" s="433" t="s">
        <v>111</v>
      </c>
      <c r="AF98" s="433" t="s">
        <v>299</v>
      </c>
      <c r="AG98" s="433"/>
      <c r="AH98" s="433"/>
      <c r="AI98" s="433"/>
      <c r="AJ98" s="433"/>
      <c r="AK98" s="433"/>
      <c r="AL98" s="433"/>
      <c r="AM98" s="433"/>
      <c r="AN98" s="433"/>
      <c r="AO98" s="433"/>
      <c r="AP98" s="433"/>
      <c r="AQ98" s="433"/>
      <c r="AR98" s="433"/>
      <c r="AS98" s="433" t="b">
        <v>0</v>
      </c>
      <c r="AT98" s="433"/>
      <c r="AU98" s="433"/>
      <c r="AV98" s="433"/>
      <c r="AW98" s="433"/>
      <c r="AX98" s="433"/>
      <c r="AY98" s="433"/>
      <c r="AZ98" s="433"/>
      <c r="BA98" s="433"/>
      <c r="BB98" s="433"/>
      <c r="BC98" s="433"/>
      <c r="BD98" s="433"/>
      <c r="BE98" s="433"/>
      <c r="BF98" s="433"/>
      <c r="BG98" s="433"/>
      <c r="BH98" s="433"/>
      <c r="BI98" s="433"/>
      <c r="BJ98" s="433"/>
      <c r="BK98" s="433"/>
      <c r="BL98" s="433"/>
      <c r="BM98" s="433"/>
      <c r="BN98" s="433"/>
      <c r="BO98" s="433"/>
      <c r="BP98" s="433"/>
      <c r="BQ98" s="433"/>
      <c r="BR98" s="433"/>
      <c r="BS98" s="433"/>
      <c r="BT98" s="433"/>
      <c r="BU98" s="399" t="str">
        <f t="shared" si="21"/>
        <v/>
      </c>
      <c r="BV98" s="433"/>
      <c r="BW98" s="433"/>
      <c r="BX98" s="433"/>
      <c r="BY98" s="433"/>
      <c r="BZ98" s="433"/>
      <c r="CA98" s="433"/>
      <c r="CB98" s="433"/>
      <c r="CC98" s="433"/>
      <c r="CD98" s="433"/>
      <c r="CE98" s="433"/>
      <c r="CF98" s="433"/>
      <c r="CG98" s="433"/>
      <c r="CH98" s="433"/>
      <c r="CI98" s="433"/>
      <c r="CJ98" s="433"/>
      <c r="CK98" s="433"/>
      <c r="CL98" s="433"/>
      <c r="CM98" s="433"/>
      <c r="CN98" s="433"/>
      <c r="CO98" s="433"/>
      <c r="CP98" s="433"/>
      <c r="CQ98" s="433"/>
      <c r="CR98" s="433"/>
      <c r="CS98" s="433"/>
      <c r="CT98" s="433"/>
      <c r="CU98" s="433"/>
      <c r="CV98" s="433"/>
      <c r="CW98" s="433"/>
      <c r="CX98" s="433"/>
      <c r="CY98" s="433"/>
      <c r="CZ98" s="399" t="str">
        <f t="shared" si="22"/>
        <v/>
      </c>
      <c r="DA98" s="399" t="str">
        <f t="shared" si="23"/>
        <v/>
      </c>
      <c r="DB98" s="399" t="str">
        <f t="shared" si="24"/>
        <v/>
      </c>
      <c r="DC98" s="399" t="str">
        <f t="shared" si="25"/>
        <v/>
      </c>
      <c r="DD98" s="399" t="str">
        <f t="shared" si="16"/>
        <v/>
      </c>
      <c r="DE98" s="399" t="str">
        <f t="shared" si="26"/>
        <v/>
      </c>
      <c r="DG98" s="434"/>
      <c r="DH98" s="434"/>
      <c r="DJ98" s="399"/>
    </row>
    <row r="99" spans="8:114" x14ac:dyDescent="0.25">
      <c r="H99" s="416" t="str">
        <f ca="1">IF(IMPORT!C112="","",IMPORT!C112)</f>
        <v/>
      </c>
      <c r="I99" s="416" t="str">
        <f ca="1">IF(IMPORT!D112="","",IMPORT!D112)</f>
        <v/>
      </c>
      <c r="J99" s="416" t="str">
        <f ca="1">IF(IMPORT!E112="","",IMPORT!E112)</f>
        <v/>
      </c>
      <c r="K99" s="416" t="str">
        <f ca="1">IF(IMPORT!F112="","",IMPORT!F112)</f>
        <v/>
      </c>
      <c r="L99" s="416" t="str">
        <f ca="1">IF(IMPORT!G112="","",IMPORT!G112)</f>
        <v/>
      </c>
      <c r="M99" s="416" t="str">
        <f>IF(IMPORT!H112="","",IMPORT!H112)</f>
        <v/>
      </c>
      <c r="N99" s="399" t="str">
        <f t="shared" si="17"/>
        <v/>
      </c>
      <c r="P99" s="406" t="str">
        <f t="shared" si="18"/>
        <v/>
      </c>
      <c r="Q99" s="406" t="str">
        <f t="array" ref="Q99">IFERROR(INDEX($N$1:$N$203,SMALL(IF($N$1:$N$203&lt;&gt;"",ROW($N$1:$N$203)),ROW(97:97))),"")</f>
        <v/>
      </c>
      <c r="R99" s="399" t="str">
        <f t="shared" si="15"/>
        <v/>
      </c>
      <c r="S99" s="399" t="str">
        <f t="shared" si="19"/>
        <v/>
      </c>
      <c r="T99" s="399" t="str">
        <f t="shared" si="20"/>
        <v/>
      </c>
      <c r="U99" s="419" t="str">
        <f t="shared" si="27"/>
        <v/>
      </c>
      <c r="V99" s="433" t="b">
        <v>0</v>
      </c>
      <c r="W99" s="464"/>
      <c r="X99" s="433"/>
      <c r="Y99" s="433" t="s">
        <v>92</v>
      </c>
      <c r="Z99" s="433"/>
      <c r="AA99" s="433"/>
      <c r="AB99" s="433"/>
      <c r="AC99" s="433" t="s">
        <v>1401</v>
      </c>
      <c r="AD99" s="433"/>
      <c r="AE99" s="433" t="s">
        <v>111</v>
      </c>
      <c r="AF99" s="433" t="s">
        <v>299</v>
      </c>
      <c r="AG99" s="433"/>
      <c r="AH99" s="433"/>
      <c r="AI99" s="433"/>
      <c r="AJ99" s="433"/>
      <c r="AK99" s="433"/>
      <c r="AL99" s="433"/>
      <c r="AM99" s="433"/>
      <c r="AN99" s="433"/>
      <c r="AO99" s="433"/>
      <c r="AP99" s="433"/>
      <c r="AQ99" s="433"/>
      <c r="AR99" s="433"/>
      <c r="AS99" s="433" t="b">
        <v>0</v>
      </c>
      <c r="AT99" s="433"/>
      <c r="AU99" s="433"/>
      <c r="AV99" s="433"/>
      <c r="AW99" s="433"/>
      <c r="AX99" s="433"/>
      <c r="AY99" s="433"/>
      <c r="AZ99" s="433"/>
      <c r="BA99" s="433"/>
      <c r="BB99" s="433"/>
      <c r="BC99" s="433"/>
      <c r="BD99" s="433"/>
      <c r="BE99" s="433"/>
      <c r="BF99" s="433"/>
      <c r="BG99" s="433"/>
      <c r="BH99" s="433"/>
      <c r="BI99" s="433"/>
      <c r="BJ99" s="433"/>
      <c r="BK99" s="433"/>
      <c r="BL99" s="433"/>
      <c r="BM99" s="433"/>
      <c r="BN99" s="433"/>
      <c r="BO99" s="433"/>
      <c r="BP99" s="433"/>
      <c r="BQ99" s="433"/>
      <c r="BR99" s="433"/>
      <c r="BS99" s="433"/>
      <c r="BT99" s="433"/>
      <c r="BU99" s="399" t="str">
        <f t="shared" si="21"/>
        <v/>
      </c>
      <c r="BV99" s="433"/>
      <c r="BW99" s="433"/>
      <c r="BX99" s="433"/>
      <c r="BY99" s="433"/>
      <c r="BZ99" s="433"/>
      <c r="CA99" s="433"/>
      <c r="CB99" s="433"/>
      <c r="CC99" s="433"/>
      <c r="CD99" s="433"/>
      <c r="CE99" s="433"/>
      <c r="CF99" s="433"/>
      <c r="CG99" s="433"/>
      <c r="CH99" s="433"/>
      <c r="CI99" s="433"/>
      <c r="CJ99" s="433"/>
      <c r="CK99" s="433"/>
      <c r="CL99" s="433"/>
      <c r="CM99" s="433"/>
      <c r="CN99" s="433"/>
      <c r="CO99" s="433"/>
      <c r="CP99" s="433"/>
      <c r="CQ99" s="433"/>
      <c r="CR99" s="433"/>
      <c r="CS99" s="433"/>
      <c r="CT99" s="433"/>
      <c r="CU99" s="433"/>
      <c r="CV99" s="433"/>
      <c r="CW99" s="433"/>
      <c r="CX99" s="433"/>
      <c r="CY99" s="433"/>
      <c r="CZ99" s="399" t="str">
        <f t="shared" si="22"/>
        <v/>
      </c>
      <c r="DA99" s="399" t="str">
        <f t="shared" si="23"/>
        <v/>
      </c>
      <c r="DB99" s="399" t="str">
        <f t="shared" si="24"/>
        <v/>
      </c>
      <c r="DC99" s="399" t="str">
        <f t="shared" si="25"/>
        <v/>
      </c>
      <c r="DD99" s="399" t="str">
        <f t="shared" si="16"/>
        <v/>
      </c>
      <c r="DE99" s="399" t="str">
        <f t="shared" si="26"/>
        <v/>
      </c>
      <c r="DG99" s="434"/>
      <c r="DH99" s="434"/>
      <c r="DJ99" s="399"/>
    </row>
    <row r="100" spans="8:114" x14ac:dyDescent="0.25">
      <c r="H100" s="416" t="str">
        <f ca="1">IF(IMPORT!C113="","",IMPORT!C113)</f>
        <v/>
      </c>
      <c r="I100" s="416" t="str">
        <f ca="1">IF(IMPORT!D113="","",IMPORT!D113)</f>
        <v/>
      </c>
      <c r="J100" s="416" t="str">
        <f ca="1">IF(IMPORT!E113="","",IMPORT!E113)</f>
        <v/>
      </c>
      <c r="K100" s="416" t="str">
        <f ca="1">IF(IMPORT!F113="","",IMPORT!F113)</f>
        <v/>
      </c>
      <c r="L100" s="416" t="str">
        <f ca="1">IF(IMPORT!G113="","",IMPORT!G113)</f>
        <v/>
      </c>
      <c r="M100" s="416" t="str">
        <f>IF(IMPORT!H113="","",IMPORT!H113)</f>
        <v/>
      </c>
      <c r="N100" s="399" t="str">
        <f t="shared" si="17"/>
        <v/>
      </c>
      <c r="P100" s="406" t="str">
        <f t="shared" si="18"/>
        <v/>
      </c>
      <c r="Q100" s="406" t="str">
        <f t="array" ref="Q100">IFERROR(INDEX($N$1:$N$203,SMALL(IF($N$1:$N$203&lt;&gt;"",ROW($N$1:$N$203)),ROW(98:98))),"")</f>
        <v/>
      </c>
      <c r="R100" s="399" t="str">
        <f t="shared" si="15"/>
        <v/>
      </c>
      <c r="S100" s="399" t="str">
        <f t="shared" si="19"/>
        <v/>
      </c>
      <c r="T100" s="399" t="str">
        <f t="shared" si="20"/>
        <v/>
      </c>
      <c r="U100" s="419" t="str">
        <f t="shared" si="27"/>
        <v/>
      </c>
      <c r="V100" s="433" t="b">
        <v>0</v>
      </c>
      <c r="W100" s="464"/>
      <c r="X100" s="433"/>
      <c r="Y100" s="433" t="s">
        <v>92</v>
      </c>
      <c r="Z100" s="433"/>
      <c r="AA100" s="433"/>
      <c r="AB100" s="433"/>
      <c r="AC100" s="433" t="s">
        <v>1401</v>
      </c>
      <c r="AD100" s="433"/>
      <c r="AE100" s="433" t="s">
        <v>111</v>
      </c>
      <c r="AF100" s="433" t="s">
        <v>299</v>
      </c>
      <c r="AG100" s="433"/>
      <c r="AH100" s="433"/>
      <c r="AI100" s="433"/>
      <c r="AJ100" s="433"/>
      <c r="AK100" s="433"/>
      <c r="AL100" s="433"/>
      <c r="AM100" s="433"/>
      <c r="AN100" s="433"/>
      <c r="AO100" s="433"/>
      <c r="AP100" s="433"/>
      <c r="AQ100" s="433"/>
      <c r="AR100" s="433"/>
      <c r="AS100" s="433" t="b">
        <v>0</v>
      </c>
      <c r="AT100" s="433"/>
      <c r="AU100" s="433"/>
      <c r="AV100" s="433"/>
      <c r="AW100" s="433"/>
      <c r="AX100" s="433"/>
      <c r="AY100" s="433"/>
      <c r="AZ100" s="433"/>
      <c r="BA100" s="433"/>
      <c r="BB100" s="433"/>
      <c r="BC100" s="433"/>
      <c r="BD100" s="433"/>
      <c r="BE100" s="433"/>
      <c r="BF100" s="433"/>
      <c r="BG100" s="433"/>
      <c r="BH100" s="433"/>
      <c r="BI100" s="433"/>
      <c r="BJ100" s="433"/>
      <c r="BK100" s="433"/>
      <c r="BL100" s="433"/>
      <c r="BM100" s="433"/>
      <c r="BN100" s="433"/>
      <c r="BO100" s="433"/>
      <c r="BP100" s="433"/>
      <c r="BQ100" s="433"/>
      <c r="BR100" s="433"/>
      <c r="BS100" s="433"/>
      <c r="BT100" s="433"/>
      <c r="BU100" s="399" t="str">
        <f t="shared" si="21"/>
        <v/>
      </c>
      <c r="BV100" s="433"/>
      <c r="BW100" s="433"/>
      <c r="BX100" s="433"/>
      <c r="BY100" s="433"/>
      <c r="BZ100" s="433"/>
      <c r="CA100" s="433"/>
      <c r="CB100" s="433"/>
      <c r="CC100" s="433"/>
      <c r="CD100" s="433"/>
      <c r="CE100" s="433"/>
      <c r="CF100" s="433"/>
      <c r="CG100" s="433"/>
      <c r="CH100" s="433"/>
      <c r="CI100" s="433"/>
      <c r="CJ100" s="433"/>
      <c r="CK100" s="433"/>
      <c r="CL100" s="433"/>
      <c r="CM100" s="433"/>
      <c r="CN100" s="433"/>
      <c r="CO100" s="433"/>
      <c r="CP100" s="433"/>
      <c r="CQ100" s="433"/>
      <c r="CR100" s="433"/>
      <c r="CS100" s="433"/>
      <c r="CT100" s="433"/>
      <c r="CU100" s="433"/>
      <c r="CV100" s="433"/>
      <c r="CW100" s="433"/>
      <c r="CX100" s="433"/>
      <c r="CY100" s="433"/>
      <c r="CZ100" s="399" t="str">
        <f t="shared" si="22"/>
        <v/>
      </c>
      <c r="DA100" s="399" t="str">
        <f t="shared" si="23"/>
        <v/>
      </c>
      <c r="DB100" s="399" t="str">
        <f t="shared" si="24"/>
        <v/>
      </c>
      <c r="DC100" s="399" t="str">
        <f t="shared" si="25"/>
        <v/>
      </c>
      <c r="DD100" s="399" t="str">
        <f t="shared" ref="DD100:DD131" si="28">IFERROR(IF($P100="","",VLOOKUP($DC100,MaterialGrades,4,0)),"A36")</f>
        <v/>
      </c>
      <c r="DE100" s="399" t="str">
        <f t="shared" si="26"/>
        <v/>
      </c>
      <c r="DG100" s="434"/>
      <c r="DH100" s="434"/>
      <c r="DJ100" s="399"/>
    </row>
    <row r="101" spans="8:114" x14ac:dyDescent="0.25">
      <c r="H101" s="416" t="str">
        <f ca="1">IF(IMPORT!C114="","",IMPORT!C114)</f>
        <v/>
      </c>
      <c r="I101" s="416" t="str">
        <f ca="1">IF(IMPORT!D114="","",IMPORT!D114)</f>
        <v/>
      </c>
      <c r="J101" s="416" t="str">
        <f ca="1">IF(IMPORT!E114="","",IMPORT!E114)</f>
        <v/>
      </c>
      <c r="K101" s="416" t="str">
        <f ca="1">IF(IMPORT!F114="","",IMPORT!F114)</f>
        <v/>
      </c>
      <c r="L101" s="416" t="str">
        <f ca="1">IF(IMPORT!G114="","",IMPORT!G114)</f>
        <v/>
      </c>
      <c r="M101" s="416" t="str">
        <f>IF(IMPORT!H114="","",IMPORT!H114)</f>
        <v/>
      </c>
      <c r="N101" s="399" t="str">
        <f t="shared" si="17"/>
        <v/>
      </c>
      <c r="P101" s="406" t="str">
        <f t="shared" si="18"/>
        <v/>
      </c>
      <c r="Q101" s="406" t="str">
        <f t="array" ref="Q101">IFERROR(INDEX($N$1:$N$203,SMALL(IF($N$1:$N$203&lt;&gt;"",ROW($N$1:$N$203)),ROW(99:99))),"")</f>
        <v/>
      </c>
      <c r="R101" s="399" t="str">
        <f t="shared" si="15"/>
        <v/>
      </c>
      <c r="S101" s="399" t="str">
        <f t="shared" si="19"/>
        <v/>
      </c>
      <c r="T101" s="399" t="str">
        <f t="shared" si="20"/>
        <v/>
      </c>
      <c r="U101" s="419" t="str">
        <f t="shared" si="27"/>
        <v/>
      </c>
      <c r="V101" s="433" t="b">
        <v>0</v>
      </c>
      <c r="W101" s="464"/>
      <c r="X101" s="433"/>
      <c r="Y101" s="433" t="s">
        <v>92</v>
      </c>
      <c r="Z101" s="433"/>
      <c r="AA101" s="433"/>
      <c r="AB101" s="433"/>
      <c r="AC101" s="433" t="s">
        <v>1401</v>
      </c>
      <c r="AD101" s="433"/>
      <c r="AE101" s="433" t="s">
        <v>111</v>
      </c>
      <c r="AF101" s="433" t="s">
        <v>299</v>
      </c>
      <c r="AG101" s="433"/>
      <c r="AH101" s="433"/>
      <c r="AI101" s="433"/>
      <c r="AJ101" s="433"/>
      <c r="AK101" s="433"/>
      <c r="AL101" s="433"/>
      <c r="AM101" s="433"/>
      <c r="AN101" s="433"/>
      <c r="AO101" s="433"/>
      <c r="AP101" s="433"/>
      <c r="AQ101" s="433"/>
      <c r="AR101" s="433"/>
      <c r="AS101" s="433" t="b">
        <v>0</v>
      </c>
      <c r="AT101" s="433"/>
      <c r="AU101" s="433"/>
      <c r="AV101" s="433"/>
      <c r="AW101" s="433"/>
      <c r="AX101" s="433"/>
      <c r="AY101" s="433"/>
      <c r="AZ101" s="433"/>
      <c r="BA101" s="433"/>
      <c r="BB101" s="433"/>
      <c r="BC101" s="433"/>
      <c r="BD101" s="433"/>
      <c r="BE101" s="433"/>
      <c r="BF101" s="433"/>
      <c r="BG101" s="433"/>
      <c r="BH101" s="433"/>
      <c r="BI101" s="433"/>
      <c r="BJ101" s="433"/>
      <c r="BK101" s="433"/>
      <c r="BL101" s="433"/>
      <c r="BM101" s="433"/>
      <c r="BN101" s="433"/>
      <c r="BO101" s="433"/>
      <c r="BP101" s="433"/>
      <c r="BQ101" s="433"/>
      <c r="BR101" s="433"/>
      <c r="BS101" s="433"/>
      <c r="BT101" s="433"/>
      <c r="BU101" s="399" t="str">
        <f t="shared" si="21"/>
        <v/>
      </c>
      <c r="BV101" s="433"/>
      <c r="BW101" s="433"/>
      <c r="BX101" s="433"/>
      <c r="BY101" s="433"/>
      <c r="BZ101" s="433"/>
      <c r="CA101" s="433"/>
      <c r="CB101" s="433"/>
      <c r="CC101" s="433"/>
      <c r="CD101" s="433"/>
      <c r="CE101" s="433"/>
      <c r="CF101" s="433"/>
      <c r="CG101" s="433"/>
      <c r="CH101" s="433"/>
      <c r="CI101" s="433"/>
      <c r="CJ101" s="433"/>
      <c r="CK101" s="433"/>
      <c r="CL101" s="433"/>
      <c r="CM101" s="433"/>
      <c r="CN101" s="433"/>
      <c r="CO101" s="433"/>
      <c r="CP101" s="433"/>
      <c r="CQ101" s="433"/>
      <c r="CR101" s="433"/>
      <c r="CS101" s="433"/>
      <c r="CT101" s="433"/>
      <c r="CU101" s="433"/>
      <c r="CV101" s="433"/>
      <c r="CW101" s="433"/>
      <c r="CX101" s="433"/>
      <c r="CY101" s="433"/>
      <c r="CZ101" s="399" t="str">
        <f t="shared" si="22"/>
        <v/>
      </c>
      <c r="DA101" s="399" t="str">
        <f t="shared" si="23"/>
        <v/>
      </c>
      <c r="DB101" s="399" t="str">
        <f t="shared" si="24"/>
        <v/>
      </c>
      <c r="DC101" s="399" t="str">
        <f t="shared" si="25"/>
        <v/>
      </c>
      <c r="DD101" s="399" t="str">
        <f t="shared" si="28"/>
        <v/>
      </c>
      <c r="DE101" s="399" t="str">
        <f t="shared" si="26"/>
        <v/>
      </c>
      <c r="DG101" s="434"/>
      <c r="DH101" s="434"/>
      <c r="DJ101" s="399"/>
    </row>
    <row r="102" spans="8:114" x14ac:dyDescent="0.25">
      <c r="H102" s="416" t="str">
        <f ca="1">IF(IMPORT!C115="","",IMPORT!C115)</f>
        <v/>
      </c>
      <c r="I102" s="416" t="str">
        <f ca="1">IF(IMPORT!D115="","",IMPORT!D115)</f>
        <v/>
      </c>
      <c r="J102" s="416" t="str">
        <f ca="1">IF(IMPORT!E115="","",IMPORT!E115)</f>
        <v/>
      </c>
      <c r="K102" s="416" t="str">
        <f ca="1">IF(IMPORT!F115="","",IMPORT!F115)</f>
        <v/>
      </c>
      <c r="L102" s="416" t="str">
        <f ca="1">IF(IMPORT!G115="","",IMPORT!G115)</f>
        <v/>
      </c>
      <c r="M102" s="416" t="str">
        <f>IF(IMPORT!H115="","",IMPORT!H115)</f>
        <v/>
      </c>
      <c r="N102" s="399" t="str">
        <f t="shared" si="17"/>
        <v/>
      </c>
      <c r="P102" s="406" t="str">
        <f t="shared" si="18"/>
        <v/>
      </c>
      <c r="Q102" s="406" t="str">
        <f t="array" ref="Q102">IFERROR(INDEX($N$1:$N$203,SMALL(IF($N$1:$N$203&lt;&gt;"",ROW($N$1:$N$203)),ROW(100:100))),"")</f>
        <v/>
      </c>
      <c r="R102" s="399" t="str">
        <f t="shared" si="15"/>
        <v/>
      </c>
      <c r="S102" s="399" t="str">
        <f t="shared" si="19"/>
        <v/>
      </c>
      <c r="T102" s="399" t="str">
        <f t="shared" si="20"/>
        <v/>
      </c>
      <c r="U102" s="419" t="str">
        <f t="shared" si="27"/>
        <v/>
      </c>
      <c r="V102" s="433" t="b">
        <v>0</v>
      </c>
      <c r="W102" s="464"/>
      <c r="X102" s="433"/>
      <c r="Y102" s="433" t="s">
        <v>92</v>
      </c>
      <c r="Z102" s="433"/>
      <c r="AA102" s="433"/>
      <c r="AB102" s="433"/>
      <c r="AC102" s="433" t="s">
        <v>1401</v>
      </c>
      <c r="AD102" s="433"/>
      <c r="AE102" s="433" t="s">
        <v>111</v>
      </c>
      <c r="AF102" s="433" t="s">
        <v>299</v>
      </c>
      <c r="AG102" s="433"/>
      <c r="AH102" s="433"/>
      <c r="AI102" s="433"/>
      <c r="AJ102" s="433"/>
      <c r="AK102" s="433"/>
      <c r="AL102" s="433"/>
      <c r="AM102" s="433"/>
      <c r="AN102" s="433"/>
      <c r="AO102" s="433"/>
      <c r="AP102" s="433"/>
      <c r="AQ102" s="433"/>
      <c r="AR102" s="433"/>
      <c r="AS102" s="433" t="b">
        <v>0</v>
      </c>
      <c r="AT102" s="433"/>
      <c r="AU102" s="433"/>
      <c r="AV102" s="433"/>
      <c r="AW102" s="433"/>
      <c r="AX102" s="433"/>
      <c r="AY102" s="433"/>
      <c r="AZ102" s="433"/>
      <c r="BA102" s="433"/>
      <c r="BB102" s="433"/>
      <c r="BC102" s="433"/>
      <c r="BD102" s="433"/>
      <c r="BE102" s="433"/>
      <c r="BF102" s="433"/>
      <c r="BG102" s="433"/>
      <c r="BH102" s="433"/>
      <c r="BI102" s="433"/>
      <c r="BJ102" s="433"/>
      <c r="BK102" s="433"/>
      <c r="BL102" s="433"/>
      <c r="BM102" s="433"/>
      <c r="BN102" s="433"/>
      <c r="BO102" s="433"/>
      <c r="BP102" s="433"/>
      <c r="BQ102" s="433"/>
      <c r="BR102" s="433"/>
      <c r="BS102" s="433"/>
      <c r="BT102" s="433"/>
      <c r="BU102" s="399" t="str">
        <f t="shared" si="21"/>
        <v/>
      </c>
      <c r="BV102" s="433"/>
      <c r="BW102" s="433"/>
      <c r="BX102" s="433"/>
      <c r="BY102" s="433"/>
      <c r="BZ102" s="433"/>
      <c r="CA102" s="433"/>
      <c r="CB102" s="433"/>
      <c r="CC102" s="433"/>
      <c r="CD102" s="433"/>
      <c r="CE102" s="433"/>
      <c r="CF102" s="433"/>
      <c r="CG102" s="433"/>
      <c r="CH102" s="433"/>
      <c r="CI102" s="433"/>
      <c r="CJ102" s="433"/>
      <c r="CK102" s="433"/>
      <c r="CL102" s="433"/>
      <c r="CM102" s="433"/>
      <c r="CN102" s="433"/>
      <c r="CO102" s="433"/>
      <c r="CP102" s="433"/>
      <c r="CQ102" s="433"/>
      <c r="CR102" s="433"/>
      <c r="CS102" s="433"/>
      <c r="CT102" s="433"/>
      <c r="CU102" s="433"/>
      <c r="CV102" s="433"/>
      <c r="CW102" s="433"/>
      <c r="CX102" s="433"/>
      <c r="CY102" s="433"/>
      <c r="CZ102" s="399" t="str">
        <f t="shared" si="22"/>
        <v/>
      </c>
      <c r="DA102" s="399" t="str">
        <f t="shared" si="23"/>
        <v/>
      </c>
      <c r="DB102" s="399" t="str">
        <f t="shared" si="24"/>
        <v/>
      </c>
      <c r="DC102" s="399" t="str">
        <f t="shared" si="25"/>
        <v/>
      </c>
      <c r="DD102" s="399" t="str">
        <f t="shared" si="28"/>
        <v/>
      </c>
      <c r="DE102" s="399" t="str">
        <f t="shared" si="26"/>
        <v/>
      </c>
      <c r="DG102" s="434"/>
      <c r="DH102" s="434"/>
      <c r="DJ102" s="399"/>
    </row>
    <row r="103" spans="8:114" x14ac:dyDescent="0.25">
      <c r="H103" s="416" t="str">
        <f ca="1">IF(IMPORT!C116="","",IMPORT!C116)</f>
        <v/>
      </c>
      <c r="I103" s="416" t="str">
        <f ca="1">IF(IMPORT!D116="","",IMPORT!D116)</f>
        <v/>
      </c>
      <c r="J103" s="416" t="str">
        <f ca="1">IF(IMPORT!E116="","",IMPORT!E116)</f>
        <v/>
      </c>
      <c r="K103" s="416" t="str">
        <f ca="1">IF(IMPORT!F116="","",IMPORT!F116)</f>
        <v/>
      </c>
      <c r="L103" s="416" t="str">
        <f ca="1">IF(IMPORT!G116="","",IMPORT!G116)</f>
        <v/>
      </c>
      <c r="M103" s="416" t="str">
        <f>IF(IMPORT!H116="","",IMPORT!H116)</f>
        <v/>
      </c>
      <c r="N103" s="399" t="str">
        <f t="shared" si="17"/>
        <v/>
      </c>
      <c r="P103" s="406" t="str">
        <f t="shared" si="18"/>
        <v/>
      </c>
      <c r="Q103" s="406" t="str">
        <f t="array" ref="Q103">IFERROR(INDEX($N$1:$N$203,SMALL(IF($N$1:$N$203&lt;&gt;"",ROW($N$1:$N$203)),ROW(101:101))),"")</f>
        <v/>
      </c>
      <c r="R103" s="399" t="str">
        <f t="shared" si="15"/>
        <v/>
      </c>
      <c r="S103" s="399" t="str">
        <f t="shared" si="19"/>
        <v/>
      </c>
      <c r="T103" s="399" t="str">
        <f t="shared" si="20"/>
        <v/>
      </c>
      <c r="U103" s="419" t="str">
        <f t="shared" si="27"/>
        <v/>
      </c>
      <c r="V103" s="433" t="b">
        <v>0</v>
      </c>
      <c r="W103" s="464"/>
      <c r="X103" s="433"/>
      <c r="Y103" s="433" t="s">
        <v>92</v>
      </c>
      <c r="Z103" s="433"/>
      <c r="AA103" s="433"/>
      <c r="AB103" s="433"/>
      <c r="AC103" s="433" t="s">
        <v>1401</v>
      </c>
      <c r="AD103" s="433"/>
      <c r="AE103" s="433" t="s">
        <v>111</v>
      </c>
      <c r="AF103" s="433" t="s">
        <v>299</v>
      </c>
      <c r="AG103" s="433"/>
      <c r="AH103" s="433"/>
      <c r="AI103" s="433"/>
      <c r="AJ103" s="433"/>
      <c r="AK103" s="433"/>
      <c r="AL103" s="433"/>
      <c r="AM103" s="433"/>
      <c r="AN103" s="433"/>
      <c r="AO103" s="433"/>
      <c r="AP103" s="433"/>
      <c r="AQ103" s="433"/>
      <c r="AR103" s="433"/>
      <c r="AS103" s="433" t="b">
        <v>0</v>
      </c>
      <c r="AT103" s="433"/>
      <c r="AU103" s="433"/>
      <c r="AV103" s="433"/>
      <c r="AW103" s="433"/>
      <c r="AX103" s="433"/>
      <c r="AY103" s="433"/>
      <c r="AZ103" s="433"/>
      <c r="BA103" s="433"/>
      <c r="BB103" s="433"/>
      <c r="BC103" s="433"/>
      <c r="BD103" s="433"/>
      <c r="BE103" s="433"/>
      <c r="BF103" s="433"/>
      <c r="BG103" s="433"/>
      <c r="BH103" s="433"/>
      <c r="BI103" s="433"/>
      <c r="BJ103" s="433"/>
      <c r="BK103" s="433"/>
      <c r="BL103" s="433"/>
      <c r="BM103" s="433"/>
      <c r="BN103" s="433"/>
      <c r="BO103" s="433"/>
      <c r="BP103" s="433"/>
      <c r="BQ103" s="433"/>
      <c r="BR103" s="433"/>
      <c r="BS103" s="433"/>
      <c r="BT103" s="433"/>
      <c r="BU103" s="399" t="str">
        <f t="shared" si="21"/>
        <v/>
      </c>
      <c r="BV103" s="433"/>
      <c r="BW103" s="433"/>
      <c r="BX103" s="433"/>
      <c r="BY103" s="433"/>
      <c r="BZ103" s="433"/>
      <c r="CA103" s="433"/>
      <c r="CB103" s="433"/>
      <c r="CC103" s="433"/>
      <c r="CD103" s="433"/>
      <c r="CE103" s="433"/>
      <c r="CF103" s="433"/>
      <c r="CG103" s="433"/>
      <c r="CH103" s="433"/>
      <c r="CI103" s="433"/>
      <c r="CJ103" s="433"/>
      <c r="CK103" s="433"/>
      <c r="CL103" s="433"/>
      <c r="CM103" s="433"/>
      <c r="CN103" s="433"/>
      <c r="CO103" s="433"/>
      <c r="CP103" s="433"/>
      <c r="CQ103" s="433"/>
      <c r="CR103" s="433"/>
      <c r="CS103" s="433"/>
      <c r="CT103" s="433"/>
      <c r="CU103" s="433"/>
      <c r="CV103" s="433"/>
      <c r="CW103" s="433"/>
      <c r="CX103" s="433"/>
      <c r="CY103" s="433"/>
      <c r="CZ103" s="399" t="str">
        <f t="shared" si="22"/>
        <v/>
      </c>
      <c r="DA103" s="399" t="str">
        <f t="shared" si="23"/>
        <v/>
      </c>
      <c r="DB103" s="399" t="str">
        <f t="shared" si="24"/>
        <v/>
      </c>
      <c r="DC103" s="399" t="str">
        <f t="shared" si="25"/>
        <v/>
      </c>
      <c r="DD103" s="399" t="str">
        <f t="shared" si="28"/>
        <v/>
      </c>
      <c r="DE103" s="399" t="str">
        <f t="shared" si="26"/>
        <v/>
      </c>
      <c r="DG103" s="434"/>
      <c r="DH103" s="434"/>
      <c r="DJ103" s="399"/>
    </row>
    <row r="104" spans="8:114" x14ac:dyDescent="0.25">
      <c r="H104" s="416" t="str">
        <f ca="1">IF(IMPORT!C117="","",IMPORT!C117)</f>
        <v/>
      </c>
      <c r="I104" s="416" t="str">
        <f ca="1">IF(IMPORT!D117="","",IMPORT!D117)</f>
        <v/>
      </c>
      <c r="J104" s="416" t="str">
        <f ca="1">IF(IMPORT!E117="","",IMPORT!E117)</f>
        <v/>
      </c>
      <c r="K104" s="416" t="str">
        <f ca="1">IF(IMPORT!F117="","",IMPORT!F117)</f>
        <v/>
      </c>
      <c r="L104" s="416" t="str">
        <f ca="1">IF(IMPORT!G117="","",IMPORT!G117)</f>
        <v/>
      </c>
      <c r="M104" s="416" t="str">
        <f>IF(IMPORT!H117="","",IMPORT!H117)</f>
        <v/>
      </c>
      <c r="N104" s="399" t="str">
        <f t="shared" si="17"/>
        <v/>
      </c>
      <c r="P104" s="406" t="str">
        <f t="shared" si="18"/>
        <v/>
      </c>
      <c r="Q104" s="406" t="str">
        <f t="array" ref="Q104">IFERROR(INDEX($N$1:$N$203,SMALL(IF($N$1:$N$203&lt;&gt;"",ROW($N$1:$N$203)),ROW(102:102))),"")</f>
        <v/>
      </c>
      <c r="R104" s="399" t="str">
        <f t="shared" si="15"/>
        <v/>
      </c>
      <c r="S104" s="399" t="str">
        <f t="shared" si="19"/>
        <v/>
      </c>
      <c r="T104" s="399" t="str">
        <f t="shared" si="20"/>
        <v/>
      </c>
      <c r="U104" s="419" t="str">
        <f t="shared" si="27"/>
        <v/>
      </c>
      <c r="V104" s="433" t="b">
        <v>0</v>
      </c>
      <c r="W104" s="464"/>
      <c r="X104" s="433"/>
      <c r="Y104" s="433" t="s">
        <v>92</v>
      </c>
      <c r="Z104" s="433"/>
      <c r="AA104" s="433"/>
      <c r="AB104" s="433"/>
      <c r="AC104" s="433" t="s">
        <v>1401</v>
      </c>
      <c r="AD104" s="433"/>
      <c r="AE104" s="433" t="s">
        <v>111</v>
      </c>
      <c r="AF104" s="433" t="s">
        <v>299</v>
      </c>
      <c r="AG104" s="433"/>
      <c r="AH104" s="433"/>
      <c r="AI104" s="433"/>
      <c r="AJ104" s="433"/>
      <c r="AK104" s="433"/>
      <c r="AL104" s="433"/>
      <c r="AM104" s="433"/>
      <c r="AN104" s="433"/>
      <c r="AO104" s="433"/>
      <c r="AP104" s="433"/>
      <c r="AQ104" s="433"/>
      <c r="AR104" s="433"/>
      <c r="AS104" s="433" t="b">
        <v>0</v>
      </c>
      <c r="AT104" s="433"/>
      <c r="AU104" s="433"/>
      <c r="AV104" s="433"/>
      <c r="AW104" s="433"/>
      <c r="AX104" s="433"/>
      <c r="AY104" s="433"/>
      <c r="AZ104" s="433"/>
      <c r="BA104" s="433"/>
      <c r="BB104" s="433"/>
      <c r="BC104" s="433"/>
      <c r="BD104" s="433"/>
      <c r="BE104" s="433"/>
      <c r="BF104" s="433"/>
      <c r="BG104" s="433"/>
      <c r="BH104" s="433"/>
      <c r="BI104" s="433"/>
      <c r="BJ104" s="433"/>
      <c r="BK104" s="433"/>
      <c r="BL104" s="433"/>
      <c r="BM104" s="433"/>
      <c r="BN104" s="433"/>
      <c r="BO104" s="433"/>
      <c r="BP104" s="433"/>
      <c r="BQ104" s="433"/>
      <c r="BR104" s="433"/>
      <c r="BS104" s="433"/>
      <c r="BT104" s="433"/>
      <c r="BU104" s="399" t="str">
        <f t="shared" si="21"/>
        <v/>
      </c>
      <c r="BV104" s="433"/>
      <c r="BW104" s="433"/>
      <c r="BX104" s="433"/>
      <c r="BY104" s="433"/>
      <c r="BZ104" s="433"/>
      <c r="CA104" s="433"/>
      <c r="CB104" s="433"/>
      <c r="CC104" s="433"/>
      <c r="CD104" s="433"/>
      <c r="CE104" s="433"/>
      <c r="CF104" s="433"/>
      <c r="CG104" s="433"/>
      <c r="CH104" s="433"/>
      <c r="CI104" s="433"/>
      <c r="CJ104" s="433"/>
      <c r="CK104" s="433"/>
      <c r="CL104" s="433"/>
      <c r="CM104" s="433"/>
      <c r="CN104" s="433"/>
      <c r="CO104" s="433"/>
      <c r="CP104" s="433"/>
      <c r="CQ104" s="433"/>
      <c r="CR104" s="433"/>
      <c r="CS104" s="433"/>
      <c r="CT104" s="433"/>
      <c r="CU104" s="433"/>
      <c r="CV104" s="433"/>
      <c r="CW104" s="433"/>
      <c r="CX104" s="433"/>
      <c r="CY104" s="433"/>
      <c r="CZ104" s="399" t="str">
        <f t="shared" si="22"/>
        <v/>
      </c>
      <c r="DA104" s="399" t="str">
        <f t="shared" si="23"/>
        <v/>
      </c>
      <c r="DB104" s="399" t="str">
        <f t="shared" si="24"/>
        <v/>
      </c>
      <c r="DC104" s="399" t="str">
        <f t="shared" si="25"/>
        <v/>
      </c>
      <c r="DD104" s="399" t="str">
        <f t="shared" si="28"/>
        <v/>
      </c>
      <c r="DE104" s="399" t="str">
        <f t="shared" si="26"/>
        <v/>
      </c>
      <c r="DG104" s="434"/>
      <c r="DH104" s="434"/>
      <c r="DJ104" s="399"/>
    </row>
    <row r="105" spans="8:114" x14ac:dyDescent="0.25">
      <c r="H105" s="416" t="str">
        <f ca="1">IF(IMPORT!C118="","",IMPORT!C118)</f>
        <v/>
      </c>
      <c r="I105" s="416" t="str">
        <f ca="1">IF(IMPORT!D118="","",IMPORT!D118)</f>
        <v/>
      </c>
      <c r="J105" s="416" t="str">
        <f ca="1">IF(IMPORT!E118="","",IMPORT!E118)</f>
        <v/>
      </c>
      <c r="K105" s="416" t="str">
        <f ca="1">IF(IMPORT!F118="","",IMPORT!F118)</f>
        <v/>
      </c>
      <c r="L105" s="416" t="str">
        <f ca="1">IF(IMPORT!G118="","",IMPORT!G118)</f>
        <v/>
      </c>
      <c r="M105" s="416" t="str">
        <f>IF(IMPORT!H118="","",IMPORT!H118)</f>
        <v/>
      </c>
      <c r="N105" s="399" t="str">
        <f t="shared" si="17"/>
        <v/>
      </c>
      <c r="P105" s="406" t="str">
        <f t="shared" si="18"/>
        <v/>
      </c>
      <c r="Q105" s="406" t="str">
        <f t="array" ref="Q105">IFERROR(INDEX($N$1:$N$203,SMALL(IF($N$1:$N$203&lt;&gt;"",ROW($N$1:$N$203)),ROW(103:103))),"")</f>
        <v/>
      </c>
      <c r="R105" s="399" t="str">
        <f t="shared" si="15"/>
        <v/>
      </c>
      <c r="S105" s="399" t="str">
        <f t="shared" si="19"/>
        <v/>
      </c>
      <c r="T105" s="399" t="str">
        <f t="shared" si="20"/>
        <v/>
      </c>
      <c r="U105" s="419" t="str">
        <f t="shared" si="27"/>
        <v/>
      </c>
      <c r="V105" s="433" t="b">
        <v>0</v>
      </c>
      <c r="W105" s="464"/>
      <c r="X105" s="433"/>
      <c r="Y105" s="433" t="s">
        <v>92</v>
      </c>
      <c r="Z105" s="433"/>
      <c r="AA105" s="433"/>
      <c r="AB105" s="433"/>
      <c r="AC105" s="433" t="s">
        <v>1401</v>
      </c>
      <c r="AD105" s="433"/>
      <c r="AE105" s="433" t="s">
        <v>111</v>
      </c>
      <c r="AF105" s="433" t="s">
        <v>299</v>
      </c>
      <c r="AG105" s="433"/>
      <c r="AH105" s="433"/>
      <c r="AI105" s="433"/>
      <c r="AJ105" s="433"/>
      <c r="AK105" s="433"/>
      <c r="AL105" s="433"/>
      <c r="AM105" s="433"/>
      <c r="AN105" s="433"/>
      <c r="AO105" s="433"/>
      <c r="AP105" s="433"/>
      <c r="AQ105" s="433"/>
      <c r="AR105" s="433"/>
      <c r="AS105" s="433" t="b">
        <v>0</v>
      </c>
      <c r="AT105" s="433"/>
      <c r="AU105" s="433"/>
      <c r="AV105" s="433"/>
      <c r="AW105" s="433"/>
      <c r="AX105" s="433"/>
      <c r="AY105" s="433"/>
      <c r="AZ105" s="433"/>
      <c r="BA105" s="433"/>
      <c r="BB105" s="433"/>
      <c r="BC105" s="433"/>
      <c r="BD105" s="433"/>
      <c r="BE105" s="433"/>
      <c r="BF105" s="433"/>
      <c r="BG105" s="433"/>
      <c r="BH105" s="433"/>
      <c r="BI105" s="433"/>
      <c r="BJ105" s="433"/>
      <c r="BK105" s="433"/>
      <c r="BL105" s="433"/>
      <c r="BM105" s="433"/>
      <c r="BN105" s="433"/>
      <c r="BO105" s="433"/>
      <c r="BP105" s="433"/>
      <c r="BQ105" s="433"/>
      <c r="BR105" s="433"/>
      <c r="BS105" s="433"/>
      <c r="BT105" s="433"/>
      <c r="BU105" s="399" t="str">
        <f t="shared" si="21"/>
        <v/>
      </c>
      <c r="BV105" s="433"/>
      <c r="BW105" s="433"/>
      <c r="BX105" s="433"/>
      <c r="BY105" s="433"/>
      <c r="BZ105" s="433"/>
      <c r="CA105" s="433"/>
      <c r="CB105" s="433"/>
      <c r="CC105" s="433"/>
      <c r="CD105" s="433"/>
      <c r="CE105" s="433"/>
      <c r="CF105" s="433"/>
      <c r="CG105" s="433"/>
      <c r="CH105" s="433"/>
      <c r="CI105" s="433"/>
      <c r="CJ105" s="433"/>
      <c r="CK105" s="433"/>
      <c r="CL105" s="433"/>
      <c r="CM105" s="433"/>
      <c r="CN105" s="433"/>
      <c r="CO105" s="433"/>
      <c r="CP105" s="433"/>
      <c r="CQ105" s="433"/>
      <c r="CR105" s="433"/>
      <c r="CS105" s="433"/>
      <c r="CT105" s="433"/>
      <c r="CU105" s="433"/>
      <c r="CV105" s="433"/>
      <c r="CW105" s="433"/>
      <c r="CX105" s="433"/>
      <c r="CY105" s="433"/>
      <c r="CZ105" s="399" t="str">
        <f t="shared" si="22"/>
        <v/>
      </c>
      <c r="DA105" s="399" t="str">
        <f t="shared" si="23"/>
        <v/>
      </c>
      <c r="DB105" s="399" t="str">
        <f t="shared" si="24"/>
        <v/>
      </c>
      <c r="DC105" s="399" t="str">
        <f t="shared" si="25"/>
        <v/>
      </c>
      <c r="DD105" s="399" t="str">
        <f t="shared" si="28"/>
        <v/>
      </c>
      <c r="DE105" s="399" t="str">
        <f t="shared" si="26"/>
        <v/>
      </c>
      <c r="DG105" s="434"/>
      <c r="DH105" s="434"/>
      <c r="DJ105" s="399"/>
    </row>
    <row r="106" spans="8:114" x14ac:dyDescent="0.25">
      <c r="H106" s="416" t="str">
        <f ca="1">IF(IMPORT!C119="","",IMPORT!C119)</f>
        <v/>
      </c>
      <c r="I106" s="416" t="str">
        <f ca="1">IF(IMPORT!D119="","",IMPORT!D119)</f>
        <v/>
      </c>
      <c r="J106" s="416" t="str">
        <f ca="1">IF(IMPORT!E119="","",IMPORT!E119)</f>
        <v/>
      </c>
      <c r="K106" s="416" t="str">
        <f ca="1">IF(IMPORT!F119="","",IMPORT!F119)</f>
        <v/>
      </c>
      <c r="L106" s="416" t="str">
        <f ca="1">IF(IMPORT!G119="","",IMPORT!G119)</f>
        <v/>
      </c>
      <c r="M106" s="416" t="str">
        <f>IF(IMPORT!H119="","",IMPORT!H119)</f>
        <v/>
      </c>
      <c r="N106" s="399" t="str">
        <f t="shared" si="17"/>
        <v/>
      </c>
      <c r="P106" s="406" t="str">
        <f t="shared" si="18"/>
        <v/>
      </c>
      <c r="Q106" s="406" t="str">
        <f t="array" ref="Q106">IFERROR(INDEX($N$1:$N$203,SMALL(IF($N$1:$N$203&lt;&gt;"",ROW($N$1:$N$203)),ROW(104:104))),"")</f>
        <v/>
      </c>
      <c r="R106" s="399" t="str">
        <f t="shared" si="15"/>
        <v/>
      </c>
      <c r="S106" s="399" t="str">
        <f t="shared" si="19"/>
        <v/>
      </c>
      <c r="T106" s="399" t="str">
        <f t="shared" si="20"/>
        <v/>
      </c>
      <c r="U106" s="419" t="str">
        <f t="shared" si="27"/>
        <v/>
      </c>
      <c r="V106" s="433" t="b">
        <v>0</v>
      </c>
      <c r="W106" s="464"/>
      <c r="X106" s="433"/>
      <c r="Y106" s="433" t="s">
        <v>92</v>
      </c>
      <c r="Z106" s="433"/>
      <c r="AA106" s="433"/>
      <c r="AB106" s="433"/>
      <c r="AC106" s="433" t="s">
        <v>1401</v>
      </c>
      <c r="AD106" s="433"/>
      <c r="AE106" s="433" t="s">
        <v>111</v>
      </c>
      <c r="AF106" s="433" t="s">
        <v>299</v>
      </c>
      <c r="AG106" s="433"/>
      <c r="AH106" s="433"/>
      <c r="AI106" s="433"/>
      <c r="AJ106" s="433"/>
      <c r="AK106" s="433"/>
      <c r="AL106" s="433"/>
      <c r="AM106" s="433"/>
      <c r="AN106" s="433"/>
      <c r="AO106" s="433"/>
      <c r="AP106" s="433"/>
      <c r="AQ106" s="433"/>
      <c r="AR106" s="433"/>
      <c r="AS106" s="433" t="b">
        <v>0</v>
      </c>
      <c r="AT106" s="433"/>
      <c r="AU106" s="433"/>
      <c r="AV106" s="433"/>
      <c r="AW106" s="433"/>
      <c r="AX106" s="433"/>
      <c r="AY106" s="433"/>
      <c r="AZ106" s="433"/>
      <c r="BA106" s="433"/>
      <c r="BB106" s="433"/>
      <c r="BC106" s="433"/>
      <c r="BD106" s="433"/>
      <c r="BE106" s="433"/>
      <c r="BF106" s="433"/>
      <c r="BG106" s="433"/>
      <c r="BH106" s="433"/>
      <c r="BI106" s="433"/>
      <c r="BJ106" s="433"/>
      <c r="BK106" s="433"/>
      <c r="BL106" s="433"/>
      <c r="BM106" s="433"/>
      <c r="BN106" s="433"/>
      <c r="BO106" s="433"/>
      <c r="BP106" s="433"/>
      <c r="BQ106" s="433"/>
      <c r="BR106" s="433"/>
      <c r="BS106" s="433"/>
      <c r="BT106" s="433"/>
      <c r="BU106" s="399" t="str">
        <f t="shared" si="21"/>
        <v/>
      </c>
      <c r="BV106" s="433"/>
      <c r="BW106" s="433"/>
      <c r="BX106" s="433"/>
      <c r="BY106" s="433"/>
      <c r="BZ106" s="433"/>
      <c r="CA106" s="433"/>
      <c r="CB106" s="433"/>
      <c r="CC106" s="433"/>
      <c r="CD106" s="433"/>
      <c r="CE106" s="433"/>
      <c r="CF106" s="433"/>
      <c r="CG106" s="433"/>
      <c r="CH106" s="433"/>
      <c r="CI106" s="433"/>
      <c r="CJ106" s="433"/>
      <c r="CK106" s="433"/>
      <c r="CL106" s="433"/>
      <c r="CM106" s="433"/>
      <c r="CN106" s="433"/>
      <c r="CO106" s="433"/>
      <c r="CP106" s="433"/>
      <c r="CQ106" s="433"/>
      <c r="CR106" s="433"/>
      <c r="CS106" s="433"/>
      <c r="CT106" s="433"/>
      <c r="CU106" s="433"/>
      <c r="CV106" s="433"/>
      <c r="CW106" s="433"/>
      <c r="CX106" s="433"/>
      <c r="CY106" s="433"/>
      <c r="CZ106" s="399" t="str">
        <f t="shared" si="22"/>
        <v/>
      </c>
      <c r="DA106" s="399" t="str">
        <f t="shared" si="23"/>
        <v/>
      </c>
      <c r="DB106" s="399" t="str">
        <f t="shared" si="24"/>
        <v/>
      </c>
      <c r="DC106" s="399" t="str">
        <f t="shared" si="25"/>
        <v/>
      </c>
      <c r="DD106" s="399" t="str">
        <f t="shared" si="28"/>
        <v/>
      </c>
      <c r="DE106" s="399" t="str">
        <f t="shared" si="26"/>
        <v/>
      </c>
      <c r="DG106" s="434"/>
      <c r="DH106" s="434"/>
      <c r="DJ106" s="399"/>
    </row>
    <row r="107" spans="8:114" x14ac:dyDescent="0.25">
      <c r="H107" s="416" t="str">
        <f ca="1">IF(IMPORT!C120="","",IMPORT!C120)</f>
        <v/>
      </c>
      <c r="I107" s="416" t="str">
        <f ca="1">IF(IMPORT!D120="","",IMPORT!D120)</f>
        <v/>
      </c>
      <c r="J107" s="416" t="str">
        <f ca="1">IF(IMPORT!E120="","",IMPORT!E120)</f>
        <v/>
      </c>
      <c r="K107" s="416" t="str">
        <f ca="1">IF(IMPORT!F120="","",IMPORT!F120)</f>
        <v/>
      </c>
      <c r="L107" s="416" t="str">
        <f ca="1">IF(IMPORT!G120="","",IMPORT!G120)</f>
        <v/>
      </c>
      <c r="M107" s="416" t="str">
        <f>IF(IMPORT!H120="","",IMPORT!H120)</f>
        <v/>
      </c>
      <c r="N107" s="399" t="str">
        <f t="shared" si="17"/>
        <v/>
      </c>
      <c r="P107" s="406" t="str">
        <f t="shared" si="18"/>
        <v/>
      </c>
      <c r="Q107" s="406" t="str">
        <f t="array" ref="Q107">IFERROR(INDEX($N$1:$N$203,SMALL(IF($N$1:$N$203&lt;&gt;"",ROW($N$1:$N$203)),ROW(105:105))),"")</f>
        <v/>
      </c>
      <c r="R107" s="399" t="str">
        <f t="shared" si="15"/>
        <v/>
      </c>
      <c r="S107" s="399" t="str">
        <f t="shared" si="19"/>
        <v/>
      </c>
      <c r="T107" s="399" t="str">
        <f t="shared" si="20"/>
        <v/>
      </c>
      <c r="U107" s="419" t="str">
        <f t="shared" si="27"/>
        <v/>
      </c>
      <c r="V107" s="433" t="b">
        <v>0</v>
      </c>
      <c r="W107" s="464"/>
      <c r="X107" s="433"/>
      <c r="Y107" s="433" t="s">
        <v>92</v>
      </c>
      <c r="Z107" s="433"/>
      <c r="AA107" s="433"/>
      <c r="AB107" s="433"/>
      <c r="AC107" s="433" t="s">
        <v>1401</v>
      </c>
      <c r="AD107" s="433"/>
      <c r="AE107" s="433" t="s">
        <v>111</v>
      </c>
      <c r="AF107" s="433" t="s">
        <v>299</v>
      </c>
      <c r="AG107" s="433"/>
      <c r="AH107" s="433"/>
      <c r="AI107" s="433"/>
      <c r="AJ107" s="433"/>
      <c r="AK107" s="433"/>
      <c r="AL107" s="433"/>
      <c r="AM107" s="433"/>
      <c r="AN107" s="433"/>
      <c r="AO107" s="433"/>
      <c r="AP107" s="433"/>
      <c r="AQ107" s="433"/>
      <c r="AR107" s="433"/>
      <c r="AS107" s="433" t="b">
        <v>0</v>
      </c>
      <c r="AT107" s="433"/>
      <c r="AU107" s="433"/>
      <c r="AV107" s="433"/>
      <c r="AW107" s="433"/>
      <c r="AX107" s="433"/>
      <c r="AY107" s="433"/>
      <c r="AZ107" s="433"/>
      <c r="BA107" s="433"/>
      <c r="BB107" s="433"/>
      <c r="BC107" s="433"/>
      <c r="BD107" s="433"/>
      <c r="BE107" s="433"/>
      <c r="BF107" s="433"/>
      <c r="BG107" s="433"/>
      <c r="BH107" s="433"/>
      <c r="BI107" s="433"/>
      <c r="BJ107" s="433"/>
      <c r="BK107" s="433"/>
      <c r="BL107" s="433"/>
      <c r="BM107" s="433"/>
      <c r="BN107" s="433"/>
      <c r="BO107" s="433"/>
      <c r="BP107" s="433"/>
      <c r="BQ107" s="433"/>
      <c r="BR107" s="433"/>
      <c r="BS107" s="433"/>
      <c r="BT107" s="433"/>
      <c r="BU107" s="399" t="str">
        <f t="shared" si="21"/>
        <v/>
      </c>
      <c r="BV107" s="433"/>
      <c r="BW107" s="433"/>
      <c r="BX107" s="433"/>
      <c r="BY107" s="433"/>
      <c r="BZ107" s="433"/>
      <c r="CA107" s="433"/>
      <c r="CB107" s="433"/>
      <c r="CC107" s="433"/>
      <c r="CD107" s="433"/>
      <c r="CE107" s="433"/>
      <c r="CF107" s="433"/>
      <c r="CG107" s="433"/>
      <c r="CH107" s="433"/>
      <c r="CI107" s="433"/>
      <c r="CJ107" s="433"/>
      <c r="CK107" s="433"/>
      <c r="CL107" s="433"/>
      <c r="CM107" s="433"/>
      <c r="CN107" s="433"/>
      <c r="CO107" s="433"/>
      <c r="CP107" s="433"/>
      <c r="CQ107" s="433"/>
      <c r="CR107" s="433"/>
      <c r="CS107" s="433"/>
      <c r="CT107" s="433"/>
      <c r="CU107" s="433"/>
      <c r="CV107" s="433"/>
      <c r="CW107" s="433"/>
      <c r="CX107" s="433"/>
      <c r="CY107" s="433"/>
      <c r="CZ107" s="399" t="str">
        <f t="shared" si="22"/>
        <v/>
      </c>
      <c r="DA107" s="399" t="str">
        <f t="shared" si="23"/>
        <v/>
      </c>
      <c r="DB107" s="399" t="str">
        <f t="shared" si="24"/>
        <v/>
      </c>
      <c r="DC107" s="399" t="str">
        <f t="shared" si="25"/>
        <v/>
      </c>
      <c r="DD107" s="399" t="str">
        <f t="shared" si="28"/>
        <v/>
      </c>
      <c r="DE107" s="399" t="str">
        <f t="shared" si="26"/>
        <v/>
      </c>
      <c r="DG107" s="434"/>
      <c r="DH107" s="434"/>
      <c r="DJ107" s="399"/>
    </row>
    <row r="108" spans="8:114" x14ac:dyDescent="0.25">
      <c r="H108" s="416" t="str">
        <f ca="1">IF(IMPORT!C121="","",IMPORT!C121)</f>
        <v/>
      </c>
      <c r="I108" s="416" t="str">
        <f ca="1">IF(IMPORT!D121="","",IMPORT!D121)</f>
        <v/>
      </c>
      <c r="J108" s="416" t="str">
        <f ca="1">IF(IMPORT!E121="","",IMPORT!E121)</f>
        <v/>
      </c>
      <c r="K108" s="416" t="str">
        <f ca="1">IF(IMPORT!F121="","",IMPORT!F121)</f>
        <v/>
      </c>
      <c r="L108" s="416" t="str">
        <f ca="1">IF(IMPORT!G121="","",IMPORT!G121)</f>
        <v/>
      </c>
      <c r="M108" s="416" t="str">
        <f>IF(IMPORT!H121="","",IMPORT!H121)</f>
        <v/>
      </c>
      <c r="N108" s="399" t="str">
        <f t="shared" si="17"/>
        <v/>
      </c>
      <c r="P108" s="406" t="str">
        <f t="shared" si="18"/>
        <v/>
      </c>
      <c r="Q108" s="406" t="str">
        <f t="array" ref="Q108">IFERROR(INDEX($N$1:$N$203,SMALL(IF($N$1:$N$203&lt;&gt;"",ROW($N$1:$N$203)),ROW(106:106))),"")</f>
        <v/>
      </c>
      <c r="R108" s="399" t="str">
        <f t="shared" si="15"/>
        <v/>
      </c>
      <c r="S108" s="399" t="str">
        <f t="shared" si="19"/>
        <v/>
      </c>
      <c r="T108" s="399" t="str">
        <f t="shared" si="20"/>
        <v/>
      </c>
      <c r="U108" s="419" t="str">
        <f t="shared" si="27"/>
        <v/>
      </c>
      <c r="V108" s="433" t="b">
        <v>0</v>
      </c>
      <c r="W108" s="464"/>
      <c r="X108" s="433"/>
      <c r="Y108" s="433" t="s">
        <v>92</v>
      </c>
      <c r="Z108" s="433"/>
      <c r="AA108" s="433"/>
      <c r="AB108" s="433"/>
      <c r="AC108" s="433" t="s">
        <v>1401</v>
      </c>
      <c r="AD108" s="433"/>
      <c r="AE108" s="433" t="s">
        <v>111</v>
      </c>
      <c r="AF108" s="433" t="s">
        <v>299</v>
      </c>
      <c r="AG108" s="433"/>
      <c r="AH108" s="433"/>
      <c r="AI108" s="433"/>
      <c r="AJ108" s="433"/>
      <c r="AK108" s="433"/>
      <c r="AL108" s="433"/>
      <c r="AM108" s="433"/>
      <c r="AN108" s="433"/>
      <c r="AO108" s="433"/>
      <c r="AP108" s="433"/>
      <c r="AQ108" s="433"/>
      <c r="AR108" s="433"/>
      <c r="AS108" s="433" t="b">
        <v>0</v>
      </c>
      <c r="AT108" s="433"/>
      <c r="AU108" s="433"/>
      <c r="AV108" s="433"/>
      <c r="AW108" s="433"/>
      <c r="AX108" s="433"/>
      <c r="AY108" s="433"/>
      <c r="AZ108" s="433"/>
      <c r="BA108" s="433"/>
      <c r="BB108" s="433"/>
      <c r="BC108" s="433"/>
      <c r="BD108" s="433"/>
      <c r="BE108" s="433"/>
      <c r="BF108" s="433"/>
      <c r="BG108" s="433"/>
      <c r="BH108" s="433"/>
      <c r="BI108" s="433"/>
      <c r="BJ108" s="433"/>
      <c r="BK108" s="433"/>
      <c r="BL108" s="433"/>
      <c r="BM108" s="433"/>
      <c r="BN108" s="433"/>
      <c r="BO108" s="433"/>
      <c r="BP108" s="433"/>
      <c r="BQ108" s="433"/>
      <c r="BR108" s="433"/>
      <c r="BS108" s="433"/>
      <c r="BT108" s="433"/>
      <c r="BU108" s="399" t="str">
        <f t="shared" si="21"/>
        <v/>
      </c>
      <c r="BV108" s="433"/>
      <c r="BW108" s="433"/>
      <c r="BX108" s="433"/>
      <c r="BY108" s="433"/>
      <c r="BZ108" s="433"/>
      <c r="CA108" s="433"/>
      <c r="CB108" s="433"/>
      <c r="CC108" s="433"/>
      <c r="CD108" s="433"/>
      <c r="CE108" s="433"/>
      <c r="CF108" s="433"/>
      <c r="CG108" s="433"/>
      <c r="CH108" s="433"/>
      <c r="CI108" s="433"/>
      <c r="CJ108" s="433"/>
      <c r="CK108" s="433"/>
      <c r="CL108" s="433"/>
      <c r="CM108" s="433"/>
      <c r="CN108" s="433"/>
      <c r="CO108" s="433"/>
      <c r="CP108" s="433"/>
      <c r="CQ108" s="433"/>
      <c r="CR108" s="433"/>
      <c r="CS108" s="433"/>
      <c r="CT108" s="433"/>
      <c r="CU108" s="433"/>
      <c r="CV108" s="433"/>
      <c r="CW108" s="433"/>
      <c r="CX108" s="433"/>
      <c r="CY108" s="433"/>
      <c r="CZ108" s="399" t="str">
        <f t="shared" si="22"/>
        <v/>
      </c>
      <c r="DA108" s="399" t="str">
        <f t="shared" si="23"/>
        <v/>
      </c>
      <c r="DB108" s="399" t="str">
        <f t="shared" si="24"/>
        <v/>
      </c>
      <c r="DC108" s="399" t="str">
        <f t="shared" si="25"/>
        <v/>
      </c>
      <c r="DD108" s="399" t="str">
        <f t="shared" si="28"/>
        <v/>
      </c>
      <c r="DE108" s="399" t="str">
        <f t="shared" si="26"/>
        <v/>
      </c>
      <c r="DG108" s="434"/>
      <c r="DH108" s="434"/>
      <c r="DJ108" s="399"/>
    </row>
    <row r="109" spans="8:114" x14ac:dyDescent="0.25">
      <c r="H109" s="416" t="str">
        <f ca="1">IF(IMPORT!C122="","",IMPORT!C122)</f>
        <v/>
      </c>
      <c r="I109" s="416" t="str">
        <f ca="1">IF(IMPORT!D122="","",IMPORT!D122)</f>
        <v/>
      </c>
      <c r="J109" s="416" t="str">
        <f ca="1">IF(IMPORT!E122="","",IMPORT!E122)</f>
        <v/>
      </c>
      <c r="K109" s="416" t="str">
        <f ca="1">IF(IMPORT!F122="","",IMPORT!F122)</f>
        <v/>
      </c>
      <c r="L109" s="416" t="str">
        <f ca="1">IF(IMPORT!G122="","",IMPORT!G122)</f>
        <v/>
      </c>
      <c r="M109" s="416" t="str">
        <f>IF(IMPORT!H122="","",IMPORT!H122)</f>
        <v/>
      </c>
      <c r="N109" s="399" t="str">
        <f t="shared" si="17"/>
        <v/>
      </c>
      <c r="P109" s="406" t="str">
        <f t="shared" si="18"/>
        <v/>
      </c>
      <c r="Q109" s="406" t="str">
        <f t="array" ref="Q109">IFERROR(INDEX($N$1:$N$203,SMALL(IF($N$1:$N$203&lt;&gt;"",ROW($N$1:$N$203)),ROW(107:107))),"")</f>
        <v/>
      </c>
      <c r="R109" s="399" t="str">
        <f t="shared" si="15"/>
        <v/>
      </c>
      <c r="S109" s="399" t="str">
        <f t="shared" si="19"/>
        <v/>
      </c>
      <c r="T109" s="399" t="str">
        <f t="shared" si="20"/>
        <v/>
      </c>
      <c r="U109" s="419" t="str">
        <f t="shared" si="27"/>
        <v/>
      </c>
      <c r="V109" s="433" t="b">
        <v>0</v>
      </c>
      <c r="W109" s="464"/>
      <c r="X109" s="433"/>
      <c r="Y109" s="433" t="s">
        <v>92</v>
      </c>
      <c r="Z109" s="433"/>
      <c r="AA109" s="433"/>
      <c r="AB109" s="433"/>
      <c r="AC109" s="433" t="s">
        <v>1401</v>
      </c>
      <c r="AD109" s="433"/>
      <c r="AE109" s="433" t="s">
        <v>111</v>
      </c>
      <c r="AF109" s="433" t="s">
        <v>299</v>
      </c>
      <c r="AG109" s="433"/>
      <c r="AH109" s="433"/>
      <c r="AI109" s="433"/>
      <c r="AJ109" s="433"/>
      <c r="AK109" s="433"/>
      <c r="AL109" s="433"/>
      <c r="AM109" s="433"/>
      <c r="AN109" s="433"/>
      <c r="AO109" s="433"/>
      <c r="AP109" s="433"/>
      <c r="AQ109" s="433"/>
      <c r="AR109" s="433"/>
      <c r="AS109" s="433" t="b">
        <v>0</v>
      </c>
      <c r="AT109" s="433"/>
      <c r="AU109" s="433"/>
      <c r="AV109" s="433"/>
      <c r="AW109" s="433"/>
      <c r="AX109" s="433"/>
      <c r="AY109" s="433"/>
      <c r="AZ109" s="433"/>
      <c r="BA109" s="433"/>
      <c r="BB109" s="433"/>
      <c r="BC109" s="433"/>
      <c r="BD109" s="433"/>
      <c r="BE109" s="433"/>
      <c r="BF109" s="433"/>
      <c r="BG109" s="433"/>
      <c r="BH109" s="433"/>
      <c r="BI109" s="433"/>
      <c r="BJ109" s="433"/>
      <c r="BK109" s="433"/>
      <c r="BL109" s="433"/>
      <c r="BM109" s="433"/>
      <c r="BN109" s="433"/>
      <c r="BO109" s="433"/>
      <c r="BP109" s="433"/>
      <c r="BQ109" s="433"/>
      <c r="BR109" s="433"/>
      <c r="BS109" s="433"/>
      <c r="BT109" s="433"/>
      <c r="BU109" s="399" t="str">
        <f t="shared" si="21"/>
        <v/>
      </c>
      <c r="BV109" s="433"/>
      <c r="BW109" s="433"/>
      <c r="BX109" s="433"/>
      <c r="BY109" s="433"/>
      <c r="BZ109" s="433"/>
      <c r="CA109" s="433"/>
      <c r="CB109" s="433"/>
      <c r="CC109" s="433"/>
      <c r="CD109" s="433"/>
      <c r="CE109" s="433"/>
      <c r="CF109" s="433"/>
      <c r="CG109" s="433"/>
      <c r="CH109" s="433"/>
      <c r="CI109" s="433"/>
      <c r="CJ109" s="433"/>
      <c r="CK109" s="433"/>
      <c r="CL109" s="433"/>
      <c r="CM109" s="433"/>
      <c r="CN109" s="433"/>
      <c r="CO109" s="433"/>
      <c r="CP109" s="433"/>
      <c r="CQ109" s="433"/>
      <c r="CR109" s="433"/>
      <c r="CS109" s="433"/>
      <c r="CT109" s="433"/>
      <c r="CU109" s="433"/>
      <c r="CV109" s="433"/>
      <c r="CW109" s="433"/>
      <c r="CX109" s="433"/>
      <c r="CY109" s="433"/>
      <c r="CZ109" s="399" t="str">
        <f t="shared" si="22"/>
        <v/>
      </c>
      <c r="DA109" s="399" t="str">
        <f t="shared" si="23"/>
        <v/>
      </c>
      <c r="DB109" s="399" t="str">
        <f t="shared" si="24"/>
        <v/>
      </c>
      <c r="DC109" s="399" t="str">
        <f t="shared" si="25"/>
        <v/>
      </c>
      <c r="DD109" s="399" t="str">
        <f t="shared" si="28"/>
        <v/>
      </c>
      <c r="DE109" s="399" t="str">
        <f t="shared" si="26"/>
        <v/>
      </c>
      <c r="DG109" s="434"/>
      <c r="DH109" s="434"/>
      <c r="DJ109" s="399"/>
    </row>
    <row r="110" spans="8:114" x14ac:dyDescent="0.25">
      <c r="H110" s="416" t="str">
        <f ca="1">IF(IMPORT!C123="","",IMPORT!C123)</f>
        <v/>
      </c>
      <c r="I110" s="416" t="str">
        <f ca="1">IF(IMPORT!D123="","",IMPORT!D123)</f>
        <v/>
      </c>
      <c r="J110" s="416" t="str">
        <f ca="1">IF(IMPORT!E123="","",IMPORT!E123)</f>
        <v/>
      </c>
      <c r="K110" s="416" t="str">
        <f ca="1">IF(IMPORT!F123="","",IMPORT!F123)</f>
        <v/>
      </c>
      <c r="L110" s="416" t="str">
        <f ca="1">IF(IMPORT!G123="","",IMPORT!G123)</f>
        <v/>
      </c>
      <c r="M110" s="416" t="str">
        <f>IF(IMPORT!H123="","",IMPORT!H123)</f>
        <v/>
      </c>
      <c r="N110" s="399" t="str">
        <f t="shared" si="17"/>
        <v/>
      </c>
      <c r="P110" s="406" t="str">
        <f t="shared" si="18"/>
        <v/>
      </c>
      <c r="Q110" s="406" t="str">
        <f t="array" ref="Q110">IFERROR(INDEX($N$1:$N$203,SMALL(IF($N$1:$N$203&lt;&gt;"",ROW($N$1:$N$203)),ROW(108:108))),"")</f>
        <v/>
      </c>
      <c r="R110" s="399" t="str">
        <f t="shared" si="15"/>
        <v/>
      </c>
      <c r="S110" s="399" t="str">
        <f t="shared" si="19"/>
        <v/>
      </c>
      <c r="T110" s="399" t="str">
        <f t="shared" si="20"/>
        <v/>
      </c>
      <c r="U110" s="419" t="str">
        <f t="shared" si="27"/>
        <v/>
      </c>
      <c r="V110" s="433" t="b">
        <v>0</v>
      </c>
      <c r="W110" s="464"/>
      <c r="X110" s="433"/>
      <c r="Y110" s="433" t="s">
        <v>92</v>
      </c>
      <c r="Z110" s="433"/>
      <c r="AA110" s="433"/>
      <c r="AB110" s="433"/>
      <c r="AC110" s="433" t="s">
        <v>1401</v>
      </c>
      <c r="AD110" s="433"/>
      <c r="AE110" s="433" t="s">
        <v>111</v>
      </c>
      <c r="AF110" s="433" t="s">
        <v>299</v>
      </c>
      <c r="AG110" s="433"/>
      <c r="AH110" s="433"/>
      <c r="AI110" s="433"/>
      <c r="AJ110" s="433"/>
      <c r="AK110" s="433"/>
      <c r="AL110" s="433"/>
      <c r="AM110" s="433"/>
      <c r="AN110" s="433"/>
      <c r="AO110" s="433"/>
      <c r="AP110" s="433"/>
      <c r="AQ110" s="433"/>
      <c r="AR110" s="433"/>
      <c r="AS110" s="433" t="b">
        <v>0</v>
      </c>
      <c r="AT110" s="433"/>
      <c r="AU110" s="433"/>
      <c r="AV110" s="433"/>
      <c r="AW110" s="433"/>
      <c r="AX110" s="433"/>
      <c r="AY110" s="433"/>
      <c r="AZ110" s="433"/>
      <c r="BA110" s="433"/>
      <c r="BB110" s="433"/>
      <c r="BC110" s="433"/>
      <c r="BD110" s="433"/>
      <c r="BE110" s="433"/>
      <c r="BF110" s="433"/>
      <c r="BG110" s="433"/>
      <c r="BH110" s="433"/>
      <c r="BI110" s="433"/>
      <c r="BJ110" s="433"/>
      <c r="BK110" s="433"/>
      <c r="BL110" s="433"/>
      <c r="BM110" s="433"/>
      <c r="BN110" s="433"/>
      <c r="BO110" s="433"/>
      <c r="BP110" s="433"/>
      <c r="BQ110" s="433"/>
      <c r="BR110" s="433"/>
      <c r="BS110" s="433"/>
      <c r="BT110" s="433"/>
      <c r="BU110" s="399" t="str">
        <f t="shared" si="21"/>
        <v/>
      </c>
      <c r="BV110" s="433"/>
      <c r="BW110" s="433"/>
      <c r="BX110" s="433"/>
      <c r="BY110" s="433"/>
      <c r="BZ110" s="433"/>
      <c r="CA110" s="433"/>
      <c r="CB110" s="433"/>
      <c r="CC110" s="433"/>
      <c r="CD110" s="433"/>
      <c r="CE110" s="433"/>
      <c r="CF110" s="433"/>
      <c r="CG110" s="433"/>
      <c r="CH110" s="433"/>
      <c r="CI110" s="433"/>
      <c r="CJ110" s="433"/>
      <c r="CK110" s="433"/>
      <c r="CL110" s="433"/>
      <c r="CM110" s="433"/>
      <c r="CN110" s="433"/>
      <c r="CO110" s="433"/>
      <c r="CP110" s="433"/>
      <c r="CQ110" s="433"/>
      <c r="CR110" s="433"/>
      <c r="CS110" s="433"/>
      <c r="CT110" s="433"/>
      <c r="CU110" s="433"/>
      <c r="CV110" s="433"/>
      <c r="CW110" s="433"/>
      <c r="CX110" s="433"/>
      <c r="CY110" s="433"/>
      <c r="CZ110" s="399" t="str">
        <f t="shared" si="22"/>
        <v/>
      </c>
      <c r="DA110" s="399" t="str">
        <f t="shared" si="23"/>
        <v/>
      </c>
      <c r="DB110" s="399" t="str">
        <f t="shared" si="24"/>
        <v/>
      </c>
      <c r="DC110" s="399" t="str">
        <f t="shared" si="25"/>
        <v/>
      </c>
      <c r="DD110" s="399" t="str">
        <f t="shared" si="28"/>
        <v/>
      </c>
      <c r="DE110" s="399" t="str">
        <f t="shared" si="26"/>
        <v/>
      </c>
      <c r="DG110" s="434"/>
      <c r="DH110" s="434"/>
      <c r="DJ110" s="399"/>
    </row>
    <row r="111" spans="8:114" x14ac:dyDescent="0.25">
      <c r="H111" s="416" t="str">
        <f ca="1">IF(IMPORT!C124="","",IMPORT!C124)</f>
        <v/>
      </c>
      <c r="I111" s="416" t="str">
        <f ca="1">IF(IMPORT!D124="","",IMPORT!D124)</f>
        <v/>
      </c>
      <c r="J111" s="416" t="str">
        <f ca="1">IF(IMPORT!E124="","",IMPORT!E124)</f>
        <v/>
      </c>
      <c r="K111" s="416" t="str">
        <f ca="1">IF(IMPORT!F124="","",IMPORT!F124)</f>
        <v/>
      </c>
      <c r="L111" s="416" t="str">
        <f ca="1">IF(IMPORT!G124="","",IMPORT!G124)</f>
        <v/>
      </c>
      <c r="M111" s="416" t="str">
        <f>IF(IMPORT!H124="","",IMPORT!H124)</f>
        <v/>
      </c>
      <c r="N111" s="399" t="str">
        <f t="shared" si="17"/>
        <v/>
      </c>
      <c r="P111" s="406" t="str">
        <f t="shared" si="18"/>
        <v/>
      </c>
      <c r="Q111" s="406" t="str">
        <f t="array" ref="Q111">IFERROR(INDEX($N$1:$N$203,SMALL(IF($N$1:$N$203&lt;&gt;"",ROW($N$1:$N$203)),ROW(109:109))),"")</f>
        <v/>
      </c>
      <c r="R111" s="399" t="str">
        <f t="shared" si="15"/>
        <v/>
      </c>
      <c r="S111" s="399" t="str">
        <f t="shared" si="19"/>
        <v/>
      </c>
      <c r="T111" s="399" t="str">
        <f t="shared" si="20"/>
        <v/>
      </c>
      <c r="U111" s="419" t="str">
        <f t="shared" si="27"/>
        <v/>
      </c>
      <c r="V111" s="433" t="b">
        <v>0</v>
      </c>
      <c r="W111" s="464"/>
      <c r="X111" s="433"/>
      <c r="Y111" s="433" t="s">
        <v>92</v>
      </c>
      <c r="Z111" s="433"/>
      <c r="AA111" s="433"/>
      <c r="AB111" s="433"/>
      <c r="AC111" s="433" t="s">
        <v>1401</v>
      </c>
      <c r="AD111" s="433"/>
      <c r="AE111" s="433" t="s">
        <v>111</v>
      </c>
      <c r="AF111" s="433" t="s">
        <v>299</v>
      </c>
      <c r="AG111" s="433"/>
      <c r="AH111" s="433"/>
      <c r="AI111" s="433"/>
      <c r="AJ111" s="433"/>
      <c r="AK111" s="433"/>
      <c r="AL111" s="433"/>
      <c r="AM111" s="433"/>
      <c r="AN111" s="433"/>
      <c r="AO111" s="433"/>
      <c r="AP111" s="433"/>
      <c r="AQ111" s="433"/>
      <c r="AR111" s="433"/>
      <c r="AS111" s="433" t="b">
        <v>0</v>
      </c>
      <c r="AT111" s="433"/>
      <c r="AU111" s="433"/>
      <c r="AV111" s="433"/>
      <c r="AW111" s="433"/>
      <c r="AX111" s="433"/>
      <c r="AY111" s="433"/>
      <c r="AZ111" s="433"/>
      <c r="BA111" s="433"/>
      <c r="BB111" s="433"/>
      <c r="BC111" s="433"/>
      <c r="BD111" s="433"/>
      <c r="BE111" s="433"/>
      <c r="BF111" s="433"/>
      <c r="BG111" s="433"/>
      <c r="BH111" s="433"/>
      <c r="BI111" s="433"/>
      <c r="BJ111" s="433"/>
      <c r="BK111" s="433"/>
      <c r="BL111" s="433"/>
      <c r="BM111" s="433"/>
      <c r="BN111" s="433"/>
      <c r="BO111" s="433"/>
      <c r="BP111" s="433"/>
      <c r="BQ111" s="433"/>
      <c r="BR111" s="433"/>
      <c r="BS111" s="433"/>
      <c r="BT111" s="433"/>
      <c r="BU111" s="399" t="str">
        <f t="shared" si="21"/>
        <v/>
      </c>
      <c r="BV111" s="433"/>
      <c r="BW111" s="433"/>
      <c r="BX111" s="433"/>
      <c r="BY111" s="433"/>
      <c r="BZ111" s="433"/>
      <c r="CA111" s="433"/>
      <c r="CB111" s="433"/>
      <c r="CC111" s="433"/>
      <c r="CD111" s="433"/>
      <c r="CE111" s="433"/>
      <c r="CF111" s="433"/>
      <c r="CG111" s="433"/>
      <c r="CH111" s="433"/>
      <c r="CI111" s="433"/>
      <c r="CJ111" s="433"/>
      <c r="CK111" s="433"/>
      <c r="CL111" s="433"/>
      <c r="CM111" s="433"/>
      <c r="CN111" s="433"/>
      <c r="CO111" s="433"/>
      <c r="CP111" s="433"/>
      <c r="CQ111" s="433"/>
      <c r="CR111" s="433"/>
      <c r="CS111" s="433"/>
      <c r="CT111" s="433"/>
      <c r="CU111" s="433"/>
      <c r="CV111" s="433"/>
      <c r="CW111" s="433"/>
      <c r="CX111" s="433"/>
      <c r="CY111" s="433"/>
      <c r="CZ111" s="399" t="str">
        <f t="shared" si="22"/>
        <v/>
      </c>
      <c r="DA111" s="399" t="str">
        <f t="shared" si="23"/>
        <v/>
      </c>
      <c r="DB111" s="399" t="str">
        <f t="shared" si="24"/>
        <v/>
      </c>
      <c r="DC111" s="399" t="str">
        <f t="shared" si="25"/>
        <v/>
      </c>
      <c r="DD111" s="399" t="str">
        <f t="shared" si="28"/>
        <v/>
      </c>
      <c r="DE111" s="399" t="str">
        <f t="shared" si="26"/>
        <v/>
      </c>
      <c r="DG111" s="434"/>
      <c r="DH111" s="434"/>
      <c r="DJ111" s="399"/>
    </row>
    <row r="112" spans="8:114" x14ac:dyDescent="0.25">
      <c r="H112" s="416" t="str">
        <f ca="1">IF(IMPORT!C125="","",IMPORT!C125)</f>
        <v/>
      </c>
      <c r="I112" s="416" t="str">
        <f ca="1">IF(IMPORT!D125="","",IMPORT!D125)</f>
        <v/>
      </c>
      <c r="J112" s="416" t="str">
        <f ca="1">IF(IMPORT!E125="","",IMPORT!E125)</f>
        <v/>
      </c>
      <c r="K112" s="416" t="str">
        <f ca="1">IF(IMPORT!F125="","",IMPORT!F125)</f>
        <v/>
      </c>
      <c r="L112" s="416" t="str">
        <f ca="1">IF(IMPORT!G125="","",IMPORT!G125)</f>
        <v/>
      </c>
      <c r="M112" s="416" t="str">
        <f>IF(IMPORT!H125="","",IMPORT!H125)</f>
        <v/>
      </c>
      <c r="N112" s="399" t="str">
        <f t="shared" si="17"/>
        <v/>
      </c>
      <c r="P112" s="406" t="str">
        <f t="shared" si="18"/>
        <v/>
      </c>
      <c r="Q112" s="406" t="str">
        <f t="array" ref="Q112">IFERROR(INDEX($N$1:$N$203,SMALL(IF($N$1:$N$203&lt;&gt;"",ROW($N$1:$N$203)),ROW(110:110))),"")</f>
        <v/>
      </c>
      <c r="R112" s="399" t="str">
        <f t="shared" si="15"/>
        <v/>
      </c>
      <c r="S112" s="399" t="str">
        <f t="shared" si="19"/>
        <v/>
      </c>
      <c r="T112" s="399" t="str">
        <f t="shared" si="20"/>
        <v/>
      </c>
      <c r="U112" s="419" t="str">
        <f t="shared" si="27"/>
        <v/>
      </c>
      <c r="V112" s="433" t="b">
        <v>0</v>
      </c>
      <c r="W112" s="464"/>
      <c r="X112" s="433"/>
      <c r="Y112" s="433" t="s">
        <v>92</v>
      </c>
      <c r="Z112" s="433"/>
      <c r="AA112" s="433"/>
      <c r="AB112" s="433"/>
      <c r="AC112" s="433" t="s">
        <v>1401</v>
      </c>
      <c r="AD112" s="433"/>
      <c r="AE112" s="433" t="s">
        <v>111</v>
      </c>
      <c r="AF112" s="433" t="s">
        <v>299</v>
      </c>
      <c r="AG112" s="433"/>
      <c r="AH112" s="433"/>
      <c r="AI112" s="433"/>
      <c r="AJ112" s="433"/>
      <c r="AK112" s="433"/>
      <c r="AL112" s="433"/>
      <c r="AM112" s="433"/>
      <c r="AN112" s="433"/>
      <c r="AO112" s="433"/>
      <c r="AP112" s="433"/>
      <c r="AQ112" s="433"/>
      <c r="AR112" s="433"/>
      <c r="AS112" s="433" t="b">
        <v>0</v>
      </c>
      <c r="AT112" s="433"/>
      <c r="AU112" s="433"/>
      <c r="AV112" s="433"/>
      <c r="AW112" s="433"/>
      <c r="AX112" s="433"/>
      <c r="AY112" s="433"/>
      <c r="AZ112" s="433"/>
      <c r="BA112" s="433"/>
      <c r="BB112" s="433"/>
      <c r="BC112" s="433"/>
      <c r="BD112" s="433"/>
      <c r="BE112" s="433"/>
      <c r="BF112" s="433"/>
      <c r="BG112" s="433"/>
      <c r="BH112" s="433"/>
      <c r="BI112" s="433"/>
      <c r="BJ112" s="433"/>
      <c r="BK112" s="433"/>
      <c r="BL112" s="433"/>
      <c r="BM112" s="433"/>
      <c r="BN112" s="433"/>
      <c r="BO112" s="433"/>
      <c r="BP112" s="433"/>
      <c r="BQ112" s="433"/>
      <c r="BR112" s="433"/>
      <c r="BS112" s="433"/>
      <c r="BT112" s="433"/>
      <c r="BU112" s="399" t="str">
        <f t="shared" si="21"/>
        <v/>
      </c>
      <c r="BV112" s="433"/>
      <c r="BW112" s="433"/>
      <c r="BX112" s="433"/>
      <c r="BY112" s="433"/>
      <c r="BZ112" s="433"/>
      <c r="CA112" s="433"/>
      <c r="CB112" s="433"/>
      <c r="CC112" s="433"/>
      <c r="CD112" s="433"/>
      <c r="CE112" s="433"/>
      <c r="CF112" s="433"/>
      <c r="CG112" s="433"/>
      <c r="CH112" s="433"/>
      <c r="CI112" s="433"/>
      <c r="CJ112" s="433"/>
      <c r="CK112" s="433"/>
      <c r="CL112" s="433"/>
      <c r="CM112" s="433"/>
      <c r="CN112" s="433"/>
      <c r="CO112" s="433"/>
      <c r="CP112" s="433"/>
      <c r="CQ112" s="433"/>
      <c r="CR112" s="433"/>
      <c r="CS112" s="433"/>
      <c r="CT112" s="433"/>
      <c r="CU112" s="433"/>
      <c r="CV112" s="433"/>
      <c r="CW112" s="433"/>
      <c r="CX112" s="433"/>
      <c r="CY112" s="433"/>
      <c r="CZ112" s="399" t="str">
        <f t="shared" si="22"/>
        <v/>
      </c>
      <c r="DA112" s="399" t="str">
        <f t="shared" si="23"/>
        <v/>
      </c>
      <c r="DB112" s="399" t="str">
        <f t="shared" si="24"/>
        <v/>
      </c>
      <c r="DC112" s="399" t="str">
        <f t="shared" si="25"/>
        <v/>
      </c>
      <c r="DD112" s="399" t="str">
        <f t="shared" si="28"/>
        <v/>
      </c>
      <c r="DE112" s="399" t="str">
        <f t="shared" si="26"/>
        <v/>
      </c>
      <c r="DG112" s="434"/>
      <c r="DH112" s="434"/>
      <c r="DJ112" s="399"/>
    </row>
    <row r="113" spans="8:114" x14ac:dyDescent="0.25">
      <c r="H113" s="416" t="str">
        <f ca="1">IF(IMPORT!C126="","",IMPORT!C126)</f>
        <v/>
      </c>
      <c r="I113" s="416" t="str">
        <f ca="1">IF(IMPORT!D126="","",IMPORT!D126)</f>
        <v/>
      </c>
      <c r="J113" s="416" t="str">
        <f ca="1">IF(IMPORT!E126="","",IMPORT!E126)</f>
        <v/>
      </c>
      <c r="K113" s="416" t="str">
        <f ca="1">IF(IMPORT!F126="","",IMPORT!F126)</f>
        <v/>
      </c>
      <c r="L113" s="416" t="str">
        <f ca="1">IF(IMPORT!G126="","",IMPORT!G126)</f>
        <v/>
      </c>
      <c r="M113" s="416" t="str">
        <f>IF(IMPORT!H126="","",IMPORT!H126)</f>
        <v/>
      </c>
      <c r="N113" s="399" t="str">
        <f t="shared" si="17"/>
        <v/>
      </c>
      <c r="P113" s="406" t="str">
        <f t="shared" si="18"/>
        <v/>
      </c>
      <c r="Q113" s="406" t="str">
        <f t="array" ref="Q113">IFERROR(INDEX($N$1:$N$203,SMALL(IF($N$1:$N$203&lt;&gt;"",ROW($N$1:$N$203)),ROW(111:111))),"")</f>
        <v/>
      </c>
      <c r="R113" s="399" t="str">
        <f t="shared" si="15"/>
        <v/>
      </c>
      <c r="S113" s="399" t="str">
        <f t="shared" si="19"/>
        <v/>
      </c>
      <c r="T113" s="399" t="str">
        <f t="shared" si="20"/>
        <v/>
      </c>
      <c r="U113" s="419" t="str">
        <f t="shared" si="27"/>
        <v/>
      </c>
      <c r="V113" s="433" t="b">
        <v>0</v>
      </c>
      <c r="W113" s="464"/>
      <c r="X113" s="433"/>
      <c r="Y113" s="433" t="s">
        <v>92</v>
      </c>
      <c r="Z113" s="433"/>
      <c r="AA113" s="433"/>
      <c r="AB113" s="433"/>
      <c r="AC113" s="433" t="s">
        <v>1401</v>
      </c>
      <c r="AD113" s="433"/>
      <c r="AE113" s="433" t="s">
        <v>111</v>
      </c>
      <c r="AF113" s="433" t="s">
        <v>299</v>
      </c>
      <c r="AG113" s="433"/>
      <c r="AH113" s="433"/>
      <c r="AI113" s="433"/>
      <c r="AJ113" s="433"/>
      <c r="AK113" s="433"/>
      <c r="AL113" s="433"/>
      <c r="AM113" s="433"/>
      <c r="AN113" s="433"/>
      <c r="AO113" s="433"/>
      <c r="AP113" s="433"/>
      <c r="AQ113" s="433"/>
      <c r="AR113" s="433"/>
      <c r="AS113" s="433" t="b">
        <v>0</v>
      </c>
      <c r="AT113" s="433"/>
      <c r="AU113" s="433"/>
      <c r="AV113" s="433"/>
      <c r="AW113" s="433"/>
      <c r="AX113" s="433"/>
      <c r="AY113" s="433"/>
      <c r="AZ113" s="433"/>
      <c r="BA113" s="433"/>
      <c r="BB113" s="433"/>
      <c r="BC113" s="433"/>
      <c r="BD113" s="433"/>
      <c r="BE113" s="433"/>
      <c r="BF113" s="433"/>
      <c r="BG113" s="433"/>
      <c r="BH113" s="433"/>
      <c r="BI113" s="433"/>
      <c r="BJ113" s="433"/>
      <c r="BK113" s="433"/>
      <c r="BL113" s="433"/>
      <c r="BM113" s="433"/>
      <c r="BN113" s="433"/>
      <c r="BO113" s="433"/>
      <c r="BP113" s="433"/>
      <c r="BQ113" s="433"/>
      <c r="BR113" s="433"/>
      <c r="BS113" s="433"/>
      <c r="BT113" s="433"/>
      <c r="BU113" s="399" t="str">
        <f t="shared" si="21"/>
        <v/>
      </c>
      <c r="BV113" s="433"/>
      <c r="BW113" s="433"/>
      <c r="BX113" s="433"/>
      <c r="BY113" s="433"/>
      <c r="BZ113" s="433"/>
      <c r="CA113" s="433"/>
      <c r="CB113" s="433"/>
      <c r="CC113" s="433"/>
      <c r="CD113" s="433"/>
      <c r="CE113" s="433"/>
      <c r="CF113" s="433"/>
      <c r="CG113" s="433"/>
      <c r="CH113" s="433"/>
      <c r="CI113" s="433"/>
      <c r="CJ113" s="433"/>
      <c r="CK113" s="433"/>
      <c r="CL113" s="433"/>
      <c r="CM113" s="433"/>
      <c r="CN113" s="433"/>
      <c r="CO113" s="433"/>
      <c r="CP113" s="433"/>
      <c r="CQ113" s="433"/>
      <c r="CR113" s="433"/>
      <c r="CS113" s="433"/>
      <c r="CT113" s="433"/>
      <c r="CU113" s="433"/>
      <c r="CV113" s="433"/>
      <c r="CW113" s="433"/>
      <c r="CX113" s="433"/>
      <c r="CY113" s="433"/>
      <c r="CZ113" s="399" t="str">
        <f t="shared" si="22"/>
        <v/>
      </c>
      <c r="DA113" s="399" t="str">
        <f t="shared" si="23"/>
        <v/>
      </c>
      <c r="DB113" s="399" t="str">
        <f t="shared" si="24"/>
        <v/>
      </c>
      <c r="DC113" s="399" t="str">
        <f t="shared" si="25"/>
        <v/>
      </c>
      <c r="DD113" s="399" t="str">
        <f t="shared" si="28"/>
        <v/>
      </c>
      <c r="DE113" s="399" t="str">
        <f t="shared" si="26"/>
        <v/>
      </c>
      <c r="DG113" s="434"/>
      <c r="DH113" s="434"/>
      <c r="DJ113" s="399"/>
    </row>
    <row r="114" spans="8:114" x14ac:dyDescent="0.25">
      <c r="H114" s="416" t="str">
        <f ca="1">IF(IMPORT!C127="","",IMPORT!C127)</f>
        <v/>
      </c>
      <c r="I114" s="416" t="str">
        <f ca="1">IF(IMPORT!D127="","",IMPORT!D127)</f>
        <v/>
      </c>
      <c r="J114" s="416" t="str">
        <f ca="1">IF(IMPORT!E127="","",IMPORT!E127)</f>
        <v/>
      </c>
      <c r="K114" s="416" t="str">
        <f ca="1">IF(IMPORT!F127="","",IMPORT!F127)</f>
        <v/>
      </c>
      <c r="L114" s="416" t="str">
        <f ca="1">IF(IMPORT!G127="","",IMPORT!G127)</f>
        <v/>
      </c>
      <c r="M114" s="416" t="str">
        <f>IF(IMPORT!H127="","",IMPORT!H127)</f>
        <v/>
      </c>
      <c r="N114" s="399" t="str">
        <f t="shared" si="17"/>
        <v/>
      </c>
      <c r="P114" s="406" t="str">
        <f t="shared" si="18"/>
        <v/>
      </c>
      <c r="Q114" s="406" t="str">
        <f t="array" ref="Q114">IFERROR(INDEX($N$1:$N$203,SMALL(IF($N$1:$N$203&lt;&gt;"",ROW($N$1:$N$203)),ROW(112:112))),"")</f>
        <v/>
      </c>
      <c r="R114" s="399" t="str">
        <f t="shared" si="15"/>
        <v/>
      </c>
      <c r="S114" s="399" t="str">
        <f t="shared" si="19"/>
        <v/>
      </c>
      <c r="T114" s="399" t="str">
        <f t="shared" si="20"/>
        <v/>
      </c>
      <c r="U114" s="419" t="str">
        <f t="shared" si="27"/>
        <v/>
      </c>
      <c r="V114" s="433" t="b">
        <v>0</v>
      </c>
      <c r="W114" s="464"/>
      <c r="X114" s="433"/>
      <c r="Y114" s="433" t="s">
        <v>92</v>
      </c>
      <c r="Z114" s="433"/>
      <c r="AA114" s="433"/>
      <c r="AB114" s="433"/>
      <c r="AC114" s="433" t="s">
        <v>1401</v>
      </c>
      <c r="AD114" s="433"/>
      <c r="AE114" s="433" t="s">
        <v>111</v>
      </c>
      <c r="AF114" s="433" t="s">
        <v>299</v>
      </c>
      <c r="AG114" s="433"/>
      <c r="AH114" s="433"/>
      <c r="AI114" s="433"/>
      <c r="AJ114" s="433"/>
      <c r="AK114" s="433"/>
      <c r="AL114" s="433"/>
      <c r="AM114" s="433"/>
      <c r="AN114" s="433"/>
      <c r="AO114" s="433"/>
      <c r="AP114" s="433"/>
      <c r="AQ114" s="433"/>
      <c r="AR114" s="433"/>
      <c r="AS114" s="433" t="b">
        <v>0</v>
      </c>
      <c r="AT114" s="433"/>
      <c r="AU114" s="433"/>
      <c r="AV114" s="433"/>
      <c r="AW114" s="433"/>
      <c r="AX114" s="433"/>
      <c r="AY114" s="433"/>
      <c r="AZ114" s="433"/>
      <c r="BA114" s="433"/>
      <c r="BB114" s="433"/>
      <c r="BC114" s="433"/>
      <c r="BD114" s="433"/>
      <c r="BE114" s="433"/>
      <c r="BF114" s="433"/>
      <c r="BG114" s="433"/>
      <c r="BH114" s="433"/>
      <c r="BI114" s="433"/>
      <c r="BJ114" s="433"/>
      <c r="BK114" s="433"/>
      <c r="BL114" s="433"/>
      <c r="BM114" s="433"/>
      <c r="BN114" s="433"/>
      <c r="BO114" s="433"/>
      <c r="BP114" s="433"/>
      <c r="BQ114" s="433"/>
      <c r="BR114" s="433"/>
      <c r="BS114" s="433"/>
      <c r="BT114" s="433"/>
      <c r="BU114" s="399" t="str">
        <f t="shared" si="21"/>
        <v/>
      </c>
      <c r="BV114" s="433"/>
      <c r="BW114" s="433"/>
      <c r="BX114" s="433"/>
      <c r="BY114" s="433"/>
      <c r="BZ114" s="433"/>
      <c r="CA114" s="433"/>
      <c r="CB114" s="433"/>
      <c r="CC114" s="433"/>
      <c r="CD114" s="433"/>
      <c r="CE114" s="433"/>
      <c r="CF114" s="433"/>
      <c r="CG114" s="433"/>
      <c r="CH114" s="433"/>
      <c r="CI114" s="433"/>
      <c r="CJ114" s="433"/>
      <c r="CK114" s="433"/>
      <c r="CL114" s="433"/>
      <c r="CM114" s="433"/>
      <c r="CN114" s="433"/>
      <c r="CO114" s="433"/>
      <c r="CP114" s="433"/>
      <c r="CQ114" s="433"/>
      <c r="CR114" s="433"/>
      <c r="CS114" s="433"/>
      <c r="CT114" s="433"/>
      <c r="CU114" s="433"/>
      <c r="CV114" s="433"/>
      <c r="CW114" s="433"/>
      <c r="CX114" s="433"/>
      <c r="CY114" s="433"/>
      <c r="CZ114" s="399" t="str">
        <f t="shared" si="22"/>
        <v/>
      </c>
      <c r="DA114" s="399" t="str">
        <f t="shared" si="23"/>
        <v/>
      </c>
      <c r="DB114" s="399" t="str">
        <f t="shared" si="24"/>
        <v/>
      </c>
      <c r="DC114" s="399" t="str">
        <f t="shared" si="25"/>
        <v/>
      </c>
      <c r="DD114" s="399" t="str">
        <f t="shared" si="28"/>
        <v/>
      </c>
      <c r="DE114" s="399" t="str">
        <f t="shared" si="26"/>
        <v/>
      </c>
      <c r="DG114" s="434"/>
      <c r="DH114" s="434"/>
      <c r="DJ114" s="399"/>
    </row>
    <row r="115" spans="8:114" x14ac:dyDescent="0.25">
      <c r="H115" s="416" t="str">
        <f ca="1">IF(IMPORT!C128="","",IMPORT!C128)</f>
        <v/>
      </c>
      <c r="I115" s="416" t="str">
        <f ca="1">IF(IMPORT!D128="","",IMPORT!D128)</f>
        <v/>
      </c>
      <c r="J115" s="416" t="str">
        <f ca="1">IF(IMPORT!E128="","",IMPORT!E128)</f>
        <v/>
      </c>
      <c r="K115" s="416" t="str">
        <f ca="1">IF(IMPORT!F128="","",IMPORT!F128)</f>
        <v/>
      </c>
      <c r="L115" s="416" t="str">
        <f ca="1">IF(IMPORT!G128="","",IMPORT!G128)</f>
        <v/>
      </c>
      <c r="M115" s="416" t="str">
        <f>IF(IMPORT!H128="","",IMPORT!H128)</f>
        <v/>
      </c>
      <c r="N115" s="399" t="str">
        <f t="shared" si="17"/>
        <v/>
      </c>
      <c r="P115" s="406" t="str">
        <f t="shared" si="18"/>
        <v/>
      </c>
      <c r="Q115" s="406" t="str">
        <f t="array" ref="Q115">IFERROR(INDEX($N$1:$N$203,SMALL(IF($N$1:$N$203&lt;&gt;"",ROW($N$1:$N$203)),ROW(113:113))),"")</f>
        <v/>
      </c>
      <c r="R115" s="399" t="str">
        <f t="shared" si="15"/>
        <v/>
      </c>
      <c r="S115" s="399" t="str">
        <f t="shared" si="19"/>
        <v/>
      </c>
      <c r="T115" s="399" t="str">
        <f t="shared" si="20"/>
        <v/>
      </c>
      <c r="U115" s="419" t="str">
        <f t="shared" si="27"/>
        <v/>
      </c>
      <c r="V115" s="433" t="b">
        <v>0</v>
      </c>
      <c r="W115" s="464"/>
      <c r="X115" s="433"/>
      <c r="Y115" s="433" t="s">
        <v>92</v>
      </c>
      <c r="Z115" s="433"/>
      <c r="AA115" s="433"/>
      <c r="AB115" s="433"/>
      <c r="AC115" s="433" t="s">
        <v>1401</v>
      </c>
      <c r="AD115" s="433"/>
      <c r="AE115" s="433" t="s">
        <v>111</v>
      </c>
      <c r="AF115" s="433" t="s">
        <v>299</v>
      </c>
      <c r="AG115" s="433"/>
      <c r="AH115" s="433"/>
      <c r="AI115" s="433"/>
      <c r="AJ115" s="433"/>
      <c r="AK115" s="433"/>
      <c r="AL115" s="433"/>
      <c r="AM115" s="433"/>
      <c r="AN115" s="433"/>
      <c r="AO115" s="433"/>
      <c r="AP115" s="433"/>
      <c r="AQ115" s="433"/>
      <c r="AR115" s="433"/>
      <c r="AS115" s="433" t="b">
        <v>0</v>
      </c>
      <c r="AT115" s="433"/>
      <c r="AU115" s="433"/>
      <c r="AV115" s="433"/>
      <c r="AW115" s="433"/>
      <c r="AX115" s="433"/>
      <c r="AY115" s="433"/>
      <c r="AZ115" s="433"/>
      <c r="BA115" s="433"/>
      <c r="BB115" s="433"/>
      <c r="BC115" s="433"/>
      <c r="BD115" s="433"/>
      <c r="BE115" s="433"/>
      <c r="BF115" s="433"/>
      <c r="BG115" s="433"/>
      <c r="BH115" s="433"/>
      <c r="BI115" s="433"/>
      <c r="BJ115" s="433"/>
      <c r="BK115" s="433"/>
      <c r="BL115" s="433"/>
      <c r="BM115" s="433"/>
      <c r="BN115" s="433"/>
      <c r="BO115" s="433"/>
      <c r="BP115" s="433"/>
      <c r="BQ115" s="433"/>
      <c r="BR115" s="433"/>
      <c r="BS115" s="433"/>
      <c r="BT115" s="433"/>
      <c r="BU115" s="399" t="str">
        <f t="shared" si="21"/>
        <v/>
      </c>
      <c r="BV115" s="433"/>
      <c r="BW115" s="433"/>
      <c r="BX115" s="433"/>
      <c r="BY115" s="433"/>
      <c r="BZ115" s="433"/>
      <c r="CA115" s="433"/>
      <c r="CB115" s="433"/>
      <c r="CC115" s="433"/>
      <c r="CD115" s="433"/>
      <c r="CE115" s="433"/>
      <c r="CF115" s="433"/>
      <c r="CG115" s="433"/>
      <c r="CH115" s="433"/>
      <c r="CI115" s="433"/>
      <c r="CJ115" s="433"/>
      <c r="CK115" s="433"/>
      <c r="CL115" s="433"/>
      <c r="CM115" s="433"/>
      <c r="CN115" s="433"/>
      <c r="CO115" s="433"/>
      <c r="CP115" s="433"/>
      <c r="CQ115" s="433"/>
      <c r="CR115" s="433"/>
      <c r="CS115" s="433"/>
      <c r="CT115" s="433"/>
      <c r="CU115" s="433"/>
      <c r="CV115" s="433"/>
      <c r="CW115" s="433"/>
      <c r="CX115" s="433"/>
      <c r="CY115" s="433"/>
      <c r="CZ115" s="399" t="str">
        <f t="shared" si="22"/>
        <v/>
      </c>
      <c r="DA115" s="399" t="str">
        <f t="shared" si="23"/>
        <v/>
      </c>
      <c r="DB115" s="399" t="str">
        <f t="shared" si="24"/>
        <v/>
      </c>
      <c r="DC115" s="399" t="str">
        <f t="shared" si="25"/>
        <v/>
      </c>
      <c r="DD115" s="399" t="str">
        <f t="shared" si="28"/>
        <v/>
      </c>
      <c r="DE115" s="399" t="str">
        <f t="shared" si="26"/>
        <v/>
      </c>
      <c r="DG115" s="434"/>
      <c r="DH115" s="434"/>
      <c r="DJ115" s="399"/>
    </row>
    <row r="116" spans="8:114" x14ac:dyDescent="0.25">
      <c r="H116" s="416" t="str">
        <f ca="1">IF(IMPORT!C129="","",IMPORT!C129)</f>
        <v/>
      </c>
      <c r="I116" s="416" t="str">
        <f ca="1">IF(IMPORT!D129="","",IMPORT!D129)</f>
        <v/>
      </c>
      <c r="J116" s="416" t="str">
        <f ca="1">IF(IMPORT!E129="","",IMPORT!E129)</f>
        <v/>
      </c>
      <c r="K116" s="416" t="str">
        <f ca="1">IF(IMPORT!F129="","",IMPORT!F129)</f>
        <v/>
      </c>
      <c r="L116" s="416" t="str">
        <f ca="1">IF(IMPORT!G129="","",IMPORT!G129)</f>
        <v/>
      </c>
      <c r="M116" s="416" t="str">
        <f>IF(IMPORT!H129="","",IMPORT!H129)</f>
        <v/>
      </c>
      <c r="N116" s="399" t="str">
        <f t="shared" si="17"/>
        <v/>
      </c>
      <c r="P116" s="406" t="str">
        <f t="shared" si="18"/>
        <v/>
      </c>
      <c r="Q116" s="406" t="str">
        <f t="array" ref="Q116">IFERROR(INDEX($N$1:$N$203,SMALL(IF($N$1:$N$203&lt;&gt;"",ROW($N$1:$N$203)),ROW(114:114))),"")</f>
        <v/>
      </c>
      <c r="R116" s="399" t="str">
        <f t="shared" si="15"/>
        <v/>
      </c>
      <c r="S116" s="399" t="str">
        <f t="shared" si="19"/>
        <v/>
      </c>
      <c r="T116" s="399" t="str">
        <f t="shared" si="20"/>
        <v/>
      </c>
      <c r="U116" s="419" t="str">
        <f t="shared" si="27"/>
        <v/>
      </c>
      <c r="V116" s="433" t="b">
        <v>0</v>
      </c>
      <c r="W116" s="464"/>
      <c r="X116" s="433"/>
      <c r="Y116" s="433" t="s">
        <v>92</v>
      </c>
      <c r="Z116" s="433"/>
      <c r="AA116" s="433"/>
      <c r="AB116" s="433"/>
      <c r="AC116" s="433" t="s">
        <v>1401</v>
      </c>
      <c r="AD116" s="433"/>
      <c r="AE116" s="433" t="s">
        <v>111</v>
      </c>
      <c r="AF116" s="433" t="s">
        <v>299</v>
      </c>
      <c r="AG116" s="433"/>
      <c r="AH116" s="433"/>
      <c r="AI116" s="433"/>
      <c r="AJ116" s="433"/>
      <c r="AK116" s="433"/>
      <c r="AL116" s="433"/>
      <c r="AM116" s="433"/>
      <c r="AN116" s="433"/>
      <c r="AO116" s="433"/>
      <c r="AP116" s="433"/>
      <c r="AQ116" s="433"/>
      <c r="AR116" s="433"/>
      <c r="AS116" s="433" t="b">
        <v>0</v>
      </c>
      <c r="AT116" s="433"/>
      <c r="AU116" s="433"/>
      <c r="AV116" s="433"/>
      <c r="AW116" s="433"/>
      <c r="AX116" s="433"/>
      <c r="AY116" s="433"/>
      <c r="AZ116" s="433"/>
      <c r="BA116" s="433"/>
      <c r="BB116" s="433"/>
      <c r="BC116" s="433"/>
      <c r="BD116" s="433"/>
      <c r="BE116" s="433"/>
      <c r="BF116" s="433"/>
      <c r="BG116" s="433"/>
      <c r="BH116" s="433"/>
      <c r="BI116" s="433"/>
      <c r="BJ116" s="433"/>
      <c r="BK116" s="433"/>
      <c r="BL116" s="433"/>
      <c r="BM116" s="433"/>
      <c r="BN116" s="433"/>
      <c r="BO116" s="433"/>
      <c r="BP116" s="433"/>
      <c r="BQ116" s="433"/>
      <c r="BR116" s="433"/>
      <c r="BS116" s="433"/>
      <c r="BT116" s="433"/>
      <c r="BU116" s="399" t="str">
        <f t="shared" si="21"/>
        <v/>
      </c>
      <c r="BV116" s="433"/>
      <c r="BW116" s="433"/>
      <c r="BX116" s="433"/>
      <c r="BY116" s="433"/>
      <c r="BZ116" s="433"/>
      <c r="CA116" s="433"/>
      <c r="CB116" s="433"/>
      <c r="CC116" s="433"/>
      <c r="CD116" s="433"/>
      <c r="CE116" s="433"/>
      <c r="CF116" s="433"/>
      <c r="CG116" s="433"/>
      <c r="CH116" s="433"/>
      <c r="CI116" s="433"/>
      <c r="CJ116" s="433"/>
      <c r="CK116" s="433"/>
      <c r="CL116" s="433"/>
      <c r="CM116" s="433"/>
      <c r="CN116" s="433"/>
      <c r="CO116" s="433"/>
      <c r="CP116" s="433"/>
      <c r="CQ116" s="433"/>
      <c r="CR116" s="433"/>
      <c r="CS116" s="433"/>
      <c r="CT116" s="433"/>
      <c r="CU116" s="433"/>
      <c r="CV116" s="433"/>
      <c r="CW116" s="433"/>
      <c r="CX116" s="433"/>
      <c r="CY116" s="433"/>
      <c r="CZ116" s="399" t="str">
        <f t="shared" si="22"/>
        <v/>
      </c>
      <c r="DA116" s="399" t="str">
        <f t="shared" si="23"/>
        <v/>
      </c>
      <c r="DB116" s="399" t="str">
        <f t="shared" si="24"/>
        <v/>
      </c>
      <c r="DC116" s="399" t="str">
        <f t="shared" si="25"/>
        <v/>
      </c>
      <c r="DD116" s="399" t="str">
        <f t="shared" si="28"/>
        <v/>
      </c>
      <c r="DE116" s="399" t="str">
        <f t="shared" si="26"/>
        <v/>
      </c>
      <c r="DG116" s="434"/>
      <c r="DH116" s="434"/>
      <c r="DJ116" s="399"/>
    </row>
    <row r="117" spans="8:114" x14ac:dyDescent="0.25">
      <c r="H117" s="416" t="str">
        <f ca="1">IF(IMPORT!C130="","",IMPORT!C130)</f>
        <v/>
      </c>
      <c r="I117" s="416" t="str">
        <f ca="1">IF(IMPORT!D130="","",IMPORT!D130)</f>
        <v/>
      </c>
      <c r="J117" s="416" t="str">
        <f ca="1">IF(IMPORT!E130="","",IMPORT!E130)</f>
        <v/>
      </c>
      <c r="K117" s="416" t="str">
        <f ca="1">IF(IMPORT!F130="","",IMPORT!F130)</f>
        <v/>
      </c>
      <c r="L117" s="416" t="str">
        <f ca="1">IF(IMPORT!G130="","",IMPORT!G130)</f>
        <v/>
      </c>
      <c r="M117" s="416" t="str">
        <f>IF(IMPORT!H130="","",IMPORT!H130)</f>
        <v/>
      </c>
      <c r="N117" s="399" t="str">
        <f t="shared" si="17"/>
        <v/>
      </c>
      <c r="P117" s="406" t="str">
        <f t="shared" si="18"/>
        <v/>
      </c>
      <c r="Q117" s="406" t="str">
        <f t="array" ref="Q117">IFERROR(INDEX($N$1:$N$203,SMALL(IF($N$1:$N$203&lt;&gt;"",ROW($N$1:$N$203)),ROW(115:115))),"")</f>
        <v/>
      </c>
      <c r="R117" s="399" t="str">
        <f t="shared" si="15"/>
        <v/>
      </c>
      <c r="S117" s="399" t="str">
        <f t="shared" si="19"/>
        <v/>
      </c>
      <c r="T117" s="399" t="str">
        <f t="shared" si="20"/>
        <v/>
      </c>
      <c r="U117" s="419" t="str">
        <f t="shared" si="27"/>
        <v/>
      </c>
      <c r="V117" s="433" t="b">
        <v>0</v>
      </c>
      <c r="W117" s="464"/>
      <c r="X117" s="433"/>
      <c r="Y117" s="433" t="s">
        <v>92</v>
      </c>
      <c r="Z117" s="433"/>
      <c r="AA117" s="433"/>
      <c r="AB117" s="433"/>
      <c r="AC117" s="433" t="s">
        <v>1401</v>
      </c>
      <c r="AD117" s="433"/>
      <c r="AE117" s="433" t="s">
        <v>111</v>
      </c>
      <c r="AF117" s="433" t="s">
        <v>299</v>
      </c>
      <c r="AG117" s="433"/>
      <c r="AH117" s="433"/>
      <c r="AI117" s="433"/>
      <c r="AJ117" s="433"/>
      <c r="AK117" s="433"/>
      <c r="AL117" s="433"/>
      <c r="AM117" s="433"/>
      <c r="AN117" s="433"/>
      <c r="AO117" s="433"/>
      <c r="AP117" s="433"/>
      <c r="AQ117" s="433"/>
      <c r="AR117" s="433"/>
      <c r="AS117" s="433" t="b">
        <v>0</v>
      </c>
      <c r="AT117" s="433"/>
      <c r="AU117" s="433"/>
      <c r="AV117" s="433"/>
      <c r="AW117" s="433"/>
      <c r="AX117" s="433"/>
      <c r="AY117" s="433"/>
      <c r="AZ117" s="433"/>
      <c r="BA117" s="433"/>
      <c r="BB117" s="433"/>
      <c r="BC117" s="433"/>
      <c r="BD117" s="433"/>
      <c r="BE117" s="433"/>
      <c r="BF117" s="433"/>
      <c r="BG117" s="433"/>
      <c r="BH117" s="433"/>
      <c r="BI117" s="433"/>
      <c r="BJ117" s="433"/>
      <c r="BK117" s="433"/>
      <c r="BL117" s="433"/>
      <c r="BM117" s="433"/>
      <c r="BN117" s="433"/>
      <c r="BO117" s="433"/>
      <c r="BP117" s="433"/>
      <c r="BQ117" s="433"/>
      <c r="BR117" s="433"/>
      <c r="BS117" s="433"/>
      <c r="BT117" s="433"/>
      <c r="BU117" s="399" t="str">
        <f t="shared" si="21"/>
        <v/>
      </c>
      <c r="BV117" s="433"/>
      <c r="BW117" s="433"/>
      <c r="BX117" s="433"/>
      <c r="BY117" s="433"/>
      <c r="BZ117" s="433"/>
      <c r="CA117" s="433"/>
      <c r="CB117" s="433"/>
      <c r="CC117" s="433"/>
      <c r="CD117" s="433"/>
      <c r="CE117" s="433"/>
      <c r="CF117" s="433"/>
      <c r="CG117" s="433"/>
      <c r="CH117" s="433"/>
      <c r="CI117" s="433"/>
      <c r="CJ117" s="433"/>
      <c r="CK117" s="433"/>
      <c r="CL117" s="433"/>
      <c r="CM117" s="433"/>
      <c r="CN117" s="433"/>
      <c r="CO117" s="433"/>
      <c r="CP117" s="433"/>
      <c r="CQ117" s="433"/>
      <c r="CR117" s="433"/>
      <c r="CS117" s="433"/>
      <c r="CT117" s="433"/>
      <c r="CU117" s="433"/>
      <c r="CV117" s="433"/>
      <c r="CW117" s="433"/>
      <c r="CX117" s="433"/>
      <c r="CY117" s="433"/>
      <c r="CZ117" s="399" t="str">
        <f t="shared" si="22"/>
        <v/>
      </c>
      <c r="DA117" s="399" t="str">
        <f t="shared" si="23"/>
        <v/>
      </c>
      <c r="DB117" s="399" t="str">
        <f t="shared" si="24"/>
        <v/>
      </c>
      <c r="DC117" s="399" t="str">
        <f t="shared" si="25"/>
        <v/>
      </c>
      <c r="DD117" s="399" t="str">
        <f t="shared" si="28"/>
        <v/>
      </c>
      <c r="DE117" s="399" t="str">
        <f t="shared" si="26"/>
        <v/>
      </c>
      <c r="DG117" s="434"/>
      <c r="DH117" s="434"/>
      <c r="DJ117" s="399"/>
    </row>
    <row r="118" spans="8:114" x14ac:dyDescent="0.25">
      <c r="H118" s="416" t="str">
        <f ca="1">IF(IMPORT!C131="","",IMPORT!C131)</f>
        <v/>
      </c>
      <c r="I118" s="416" t="str">
        <f ca="1">IF(IMPORT!D131="","",IMPORT!D131)</f>
        <v/>
      </c>
      <c r="J118" s="416" t="str">
        <f ca="1">IF(IMPORT!E131="","",IMPORT!E131)</f>
        <v/>
      </c>
      <c r="K118" s="416" t="str">
        <f ca="1">IF(IMPORT!F131="","",IMPORT!F131)</f>
        <v/>
      </c>
      <c r="L118" s="416" t="str">
        <f ca="1">IF(IMPORT!G131="","",IMPORT!G131)</f>
        <v/>
      </c>
      <c r="M118" s="416" t="str">
        <f>IF(IMPORT!H131="","",IMPORT!H131)</f>
        <v/>
      </c>
      <c r="N118" s="399" t="str">
        <f t="shared" si="17"/>
        <v/>
      </c>
      <c r="P118" s="406" t="str">
        <f t="shared" si="18"/>
        <v/>
      </c>
      <c r="Q118" s="406" t="str">
        <f t="array" ref="Q118">IFERROR(INDEX($N$1:$N$203,SMALL(IF($N$1:$N$203&lt;&gt;"",ROW($N$1:$N$203)),ROW(116:116))),"")</f>
        <v/>
      </c>
      <c r="R118" s="399" t="str">
        <f t="shared" si="15"/>
        <v/>
      </c>
      <c r="S118" s="399" t="str">
        <f t="shared" si="19"/>
        <v/>
      </c>
      <c r="T118" s="399" t="str">
        <f t="shared" si="20"/>
        <v/>
      </c>
      <c r="U118" s="419" t="str">
        <f t="shared" si="27"/>
        <v/>
      </c>
      <c r="V118" s="433" t="b">
        <v>0</v>
      </c>
      <c r="W118" s="464"/>
      <c r="X118" s="433"/>
      <c r="Y118" s="433" t="s">
        <v>92</v>
      </c>
      <c r="Z118" s="433"/>
      <c r="AA118" s="433"/>
      <c r="AB118" s="433"/>
      <c r="AC118" s="433" t="s">
        <v>1401</v>
      </c>
      <c r="AD118" s="433"/>
      <c r="AE118" s="433" t="s">
        <v>111</v>
      </c>
      <c r="AF118" s="433" t="s">
        <v>299</v>
      </c>
      <c r="AG118" s="433"/>
      <c r="AH118" s="433"/>
      <c r="AI118" s="433"/>
      <c r="AJ118" s="433"/>
      <c r="AK118" s="433"/>
      <c r="AL118" s="433"/>
      <c r="AM118" s="433"/>
      <c r="AN118" s="433"/>
      <c r="AO118" s="433"/>
      <c r="AP118" s="433"/>
      <c r="AQ118" s="433"/>
      <c r="AR118" s="433"/>
      <c r="AS118" s="433" t="b">
        <v>0</v>
      </c>
      <c r="AT118" s="433"/>
      <c r="AU118" s="433"/>
      <c r="AV118" s="433"/>
      <c r="AW118" s="433"/>
      <c r="AX118" s="433"/>
      <c r="AY118" s="433"/>
      <c r="AZ118" s="433"/>
      <c r="BA118" s="433"/>
      <c r="BB118" s="433"/>
      <c r="BC118" s="433"/>
      <c r="BD118" s="433"/>
      <c r="BE118" s="433"/>
      <c r="BF118" s="433"/>
      <c r="BG118" s="433"/>
      <c r="BH118" s="433"/>
      <c r="BI118" s="433"/>
      <c r="BJ118" s="433"/>
      <c r="BK118" s="433"/>
      <c r="BL118" s="433"/>
      <c r="BM118" s="433"/>
      <c r="BN118" s="433"/>
      <c r="BO118" s="433"/>
      <c r="BP118" s="433"/>
      <c r="BQ118" s="433"/>
      <c r="BR118" s="433"/>
      <c r="BS118" s="433"/>
      <c r="BT118" s="433"/>
      <c r="BU118" s="399" t="str">
        <f t="shared" si="21"/>
        <v/>
      </c>
      <c r="BV118" s="433"/>
      <c r="BW118" s="433"/>
      <c r="BX118" s="433"/>
      <c r="BY118" s="433"/>
      <c r="BZ118" s="433"/>
      <c r="CA118" s="433"/>
      <c r="CB118" s="433"/>
      <c r="CC118" s="433"/>
      <c r="CD118" s="433"/>
      <c r="CE118" s="433"/>
      <c r="CF118" s="433"/>
      <c r="CG118" s="433"/>
      <c r="CH118" s="433"/>
      <c r="CI118" s="433"/>
      <c r="CJ118" s="433"/>
      <c r="CK118" s="433"/>
      <c r="CL118" s="433"/>
      <c r="CM118" s="433"/>
      <c r="CN118" s="433"/>
      <c r="CO118" s="433"/>
      <c r="CP118" s="433"/>
      <c r="CQ118" s="433"/>
      <c r="CR118" s="433"/>
      <c r="CS118" s="433"/>
      <c r="CT118" s="433"/>
      <c r="CU118" s="433"/>
      <c r="CV118" s="433"/>
      <c r="CW118" s="433"/>
      <c r="CX118" s="433"/>
      <c r="CY118" s="433"/>
      <c r="CZ118" s="399" t="str">
        <f t="shared" si="22"/>
        <v/>
      </c>
      <c r="DA118" s="399" t="str">
        <f t="shared" si="23"/>
        <v/>
      </c>
      <c r="DB118" s="399" t="str">
        <f t="shared" si="24"/>
        <v/>
      </c>
      <c r="DC118" s="399" t="str">
        <f t="shared" si="25"/>
        <v/>
      </c>
      <c r="DD118" s="399" t="str">
        <f t="shared" si="28"/>
        <v/>
      </c>
      <c r="DE118" s="399" t="str">
        <f t="shared" si="26"/>
        <v/>
      </c>
      <c r="DG118" s="434"/>
      <c r="DH118" s="434"/>
      <c r="DJ118" s="399"/>
    </row>
    <row r="119" spans="8:114" x14ac:dyDescent="0.25">
      <c r="H119" s="416" t="str">
        <f ca="1">IF(IMPORT!C132="","",IMPORT!C132)</f>
        <v/>
      </c>
      <c r="I119" s="416" t="str">
        <f ca="1">IF(IMPORT!D132="","",IMPORT!D132)</f>
        <v/>
      </c>
      <c r="J119" s="416" t="str">
        <f ca="1">IF(IMPORT!E132="","",IMPORT!E132)</f>
        <v/>
      </c>
      <c r="K119" s="416" t="str">
        <f ca="1">IF(IMPORT!F132="","",IMPORT!F132)</f>
        <v/>
      </c>
      <c r="L119" s="416" t="str">
        <f ca="1">IF(IMPORT!G132="","",IMPORT!G132)</f>
        <v/>
      </c>
      <c r="M119" s="416" t="str">
        <f>IF(IMPORT!H132="","",IMPORT!H132)</f>
        <v/>
      </c>
      <c r="N119" s="399" t="str">
        <f t="shared" si="17"/>
        <v/>
      </c>
      <c r="P119" s="406" t="str">
        <f t="shared" si="18"/>
        <v/>
      </c>
      <c r="Q119" s="406" t="str">
        <f t="array" ref="Q119">IFERROR(INDEX($N$1:$N$203,SMALL(IF($N$1:$N$203&lt;&gt;"",ROW($N$1:$N$203)),ROW(117:117))),"")</f>
        <v/>
      </c>
      <c r="R119" s="399" t="str">
        <f t="shared" si="15"/>
        <v/>
      </c>
      <c r="S119" s="399" t="str">
        <f t="shared" si="19"/>
        <v/>
      </c>
      <c r="T119" s="399" t="str">
        <f t="shared" si="20"/>
        <v/>
      </c>
      <c r="U119" s="419" t="str">
        <f t="shared" si="27"/>
        <v/>
      </c>
      <c r="V119" s="433" t="b">
        <v>0</v>
      </c>
      <c r="W119" s="464"/>
      <c r="X119" s="433"/>
      <c r="Y119" s="433" t="s">
        <v>92</v>
      </c>
      <c r="Z119" s="433"/>
      <c r="AA119" s="433"/>
      <c r="AB119" s="433"/>
      <c r="AC119" s="433" t="s">
        <v>1401</v>
      </c>
      <c r="AD119" s="433"/>
      <c r="AE119" s="433" t="s">
        <v>111</v>
      </c>
      <c r="AF119" s="433" t="s">
        <v>299</v>
      </c>
      <c r="AG119" s="433"/>
      <c r="AH119" s="433"/>
      <c r="AI119" s="433"/>
      <c r="AJ119" s="433"/>
      <c r="AK119" s="433"/>
      <c r="AL119" s="433"/>
      <c r="AM119" s="433"/>
      <c r="AN119" s="433"/>
      <c r="AO119" s="433"/>
      <c r="AP119" s="433"/>
      <c r="AQ119" s="433"/>
      <c r="AR119" s="433"/>
      <c r="AS119" s="433" t="b">
        <v>0</v>
      </c>
      <c r="AT119" s="433"/>
      <c r="AU119" s="433"/>
      <c r="AV119" s="433"/>
      <c r="AW119" s="433"/>
      <c r="AX119" s="433"/>
      <c r="AY119" s="433"/>
      <c r="AZ119" s="433"/>
      <c r="BA119" s="433"/>
      <c r="BB119" s="433"/>
      <c r="BC119" s="433"/>
      <c r="BD119" s="433"/>
      <c r="BE119" s="433"/>
      <c r="BF119" s="433"/>
      <c r="BG119" s="433"/>
      <c r="BH119" s="433"/>
      <c r="BI119" s="433"/>
      <c r="BJ119" s="433"/>
      <c r="BK119" s="433"/>
      <c r="BL119" s="433"/>
      <c r="BM119" s="433"/>
      <c r="BN119" s="433"/>
      <c r="BO119" s="433"/>
      <c r="BP119" s="433"/>
      <c r="BQ119" s="433"/>
      <c r="BR119" s="433"/>
      <c r="BS119" s="433"/>
      <c r="BT119" s="433"/>
      <c r="BU119" s="399" t="str">
        <f t="shared" si="21"/>
        <v/>
      </c>
      <c r="BV119" s="433"/>
      <c r="BW119" s="433"/>
      <c r="BX119" s="433"/>
      <c r="BY119" s="433"/>
      <c r="BZ119" s="433"/>
      <c r="CA119" s="433"/>
      <c r="CB119" s="433"/>
      <c r="CC119" s="433"/>
      <c r="CD119" s="433"/>
      <c r="CE119" s="433"/>
      <c r="CF119" s="433"/>
      <c r="CG119" s="433"/>
      <c r="CH119" s="433"/>
      <c r="CI119" s="433"/>
      <c r="CJ119" s="433"/>
      <c r="CK119" s="433"/>
      <c r="CL119" s="433"/>
      <c r="CM119" s="433"/>
      <c r="CN119" s="433"/>
      <c r="CO119" s="433"/>
      <c r="CP119" s="433"/>
      <c r="CQ119" s="433"/>
      <c r="CR119" s="433"/>
      <c r="CS119" s="433"/>
      <c r="CT119" s="433"/>
      <c r="CU119" s="433"/>
      <c r="CV119" s="433"/>
      <c r="CW119" s="433"/>
      <c r="CX119" s="433"/>
      <c r="CY119" s="433"/>
      <c r="CZ119" s="399" t="str">
        <f t="shared" si="22"/>
        <v/>
      </c>
      <c r="DA119" s="399" t="str">
        <f t="shared" si="23"/>
        <v/>
      </c>
      <c r="DB119" s="399" t="str">
        <f t="shared" si="24"/>
        <v/>
      </c>
      <c r="DC119" s="399" t="str">
        <f t="shared" si="25"/>
        <v/>
      </c>
      <c r="DD119" s="399" t="str">
        <f t="shared" si="28"/>
        <v/>
      </c>
      <c r="DE119" s="399" t="str">
        <f t="shared" si="26"/>
        <v/>
      </c>
      <c r="DG119" s="434"/>
      <c r="DH119" s="434"/>
      <c r="DJ119" s="399"/>
    </row>
    <row r="120" spans="8:114" x14ac:dyDescent="0.25">
      <c r="H120" s="416" t="str">
        <f ca="1">IF(IMPORT!C133="","",IMPORT!C133)</f>
        <v/>
      </c>
      <c r="I120" s="416" t="str">
        <f ca="1">IF(IMPORT!D133="","",IMPORT!D133)</f>
        <v/>
      </c>
      <c r="J120" s="416" t="str">
        <f ca="1">IF(IMPORT!E133="","",IMPORT!E133)</f>
        <v/>
      </c>
      <c r="K120" s="416" t="str">
        <f ca="1">IF(IMPORT!F133="","",IMPORT!F133)</f>
        <v/>
      </c>
      <c r="L120" s="416" t="str">
        <f ca="1">IF(IMPORT!G133="","",IMPORT!G133)</f>
        <v/>
      </c>
      <c r="M120" s="416" t="str">
        <f>IF(IMPORT!H133="","",IMPORT!H133)</f>
        <v/>
      </c>
      <c r="N120" s="399" t="str">
        <f t="shared" si="17"/>
        <v/>
      </c>
      <c r="P120" s="406" t="str">
        <f t="shared" si="18"/>
        <v/>
      </c>
      <c r="Q120" s="406" t="str">
        <f t="array" ref="Q120">IFERROR(INDEX($N$1:$N$203,SMALL(IF($N$1:$N$203&lt;&gt;"",ROW($N$1:$N$203)),ROW(118:118))),"")</f>
        <v/>
      </c>
      <c r="R120" s="399" t="str">
        <f t="shared" si="15"/>
        <v/>
      </c>
      <c r="S120" s="399" t="str">
        <f t="shared" si="19"/>
        <v/>
      </c>
      <c r="T120" s="399" t="str">
        <f t="shared" si="20"/>
        <v/>
      </c>
      <c r="U120" s="419" t="str">
        <f t="shared" si="27"/>
        <v/>
      </c>
      <c r="V120" s="433" t="b">
        <v>0</v>
      </c>
      <c r="W120" s="464"/>
      <c r="X120" s="433"/>
      <c r="Y120" s="433" t="s">
        <v>92</v>
      </c>
      <c r="Z120" s="433"/>
      <c r="AA120" s="433"/>
      <c r="AB120" s="433"/>
      <c r="AC120" s="433" t="s">
        <v>1401</v>
      </c>
      <c r="AD120" s="433"/>
      <c r="AE120" s="433" t="s">
        <v>111</v>
      </c>
      <c r="AF120" s="433" t="s">
        <v>299</v>
      </c>
      <c r="AG120" s="433"/>
      <c r="AH120" s="433"/>
      <c r="AI120" s="433"/>
      <c r="AJ120" s="433"/>
      <c r="AK120" s="433"/>
      <c r="AL120" s="433"/>
      <c r="AM120" s="433"/>
      <c r="AN120" s="433"/>
      <c r="AO120" s="433"/>
      <c r="AP120" s="433"/>
      <c r="AQ120" s="433"/>
      <c r="AR120" s="433"/>
      <c r="AS120" s="433" t="b">
        <v>0</v>
      </c>
      <c r="AT120" s="433"/>
      <c r="AU120" s="433"/>
      <c r="AV120" s="433"/>
      <c r="AW120" s="433"/>
      <c r="AX120" s="433"/>
      <c r="AY120" s="433"/>
      <c r="AZ120" s="433"/>
      <c r="BA120" s="433"/>
      <c r="BB120" s="433"/>
      <c r="BC120" s="433"/>
      <c r="BD120" s="433"/>
      <c r="BE120" s="433"/>
      <c r="BF120" s="433"/>
      <c r="BG120" s="433"/>
      <c r="BH120" s="433"/>
      <c r="BI120" s="433"/>
      <c r="BJ120" s="433"/>
      <c r="BK120" s="433"/>
      <c r="BL120" s="433"/>
      <c r="BM120" s="433"/>
      <c r="BN120" s="433"/>
      <c r="BO120" s="433"/>
      <c r="BP120" s="433"/>
      <c r="BQ120" s="433"/>
      <c r="BR120" s="433"/>
      <c r="BS120" s="433"/>
      <c r="BT120" s="433"/>
      <c r="BU120" s="399" t="str">
        <f t="shared" si="21"/>
        <v/>
      </c>
      <c r="BV120" s="433"/>
      <c r="BW120" s="433"/>
      <c r="BX120" s="433"/>
      <c r="BY120" s="433"/>
      <c r="BZ120" s="433"/>
      <c r="CA120" s="433"/>
      <c r="CB120" s="433"/>
      <c r="CC120" s="433"/>
      <c r="CD120" s="433"/>
      <c r="CE120" s="433"/>
      <c r="CF120" s="433"/>
      <c r="CG120" s="433"/>
      <c r="CH120" s="433"/>
      <c r="CI120" s="433"/>
      <c r="CJ120" s="433"/>
      <c r="CK120" s="433"/>
      <c r="CL120" s="433"/>
      <c r="CM120" s="433"/>
      <c r="CN120" s="433"/>
      <c r="CO120" s="433"/>
      <c r="CP120" s="433"/>
      <c r="CQ120" s="433"/>
      <c r="CR120" s="433"/>
      <c r="CS120" s="433"/>
      <c r="CT120" s="433"/>
      <c r="CU120" s="433"/>
      <c r="CV120" s="433"/>
      <c r="CW120" s="433"/>
      <c r="CX120" s="433"/>
      <c r="CY120" s="433"/>
      <c r="CZ120" s="399" t="str">
        <f t="shared" si="22"/>
        <v/>
      </c>
      <c r="DA120" s="399" t="str">
        <f t="shared" si="23"/>
        <v/>
      </c>
      <c r="DB120" s="399" t="str">
        <f t="shared" si="24"/>
        <v/>
      </c>
      <c r="DC120" s="399" t="str">
        <f t="shared" si="25"/>
        <v/>
      </c>
      <c r="DD120" s="399" t="str">
        <f t="shared" si="28"/>
        <v/>
      </c>
      <c r="DE120" s="399" t="str">
        <f t="shared" si="26"/>
        <v/>
      </c>
      <c r="DG120" s="434"/>
      <c r="DH120" s="434"/>
      <c r="DJ120" s="399"/>
    </row>
    <row r="121" spans="8:114" x14ac:dyDescent="0.25">
      <c r="H121" s="416" t="str">
        <f ca="1">IF(IMPORT!C134="","",IMPORT!C134)</f>
        <v/>
      </c>
      <c r="I121" s="416" t="str">
        <f ca="1">IF(IMPORT!D134="","",IMPORT!D134)</f>
        <v/>
      </c>
      <c r="J121" s="416" t="str">
        <f ca="1">IF(IMPORT!E134="","",IMPORT!E134)</f>
        <v/>
      </c>
      <c r="K121" s="416" t="str">
        <f ca="1">IF(IMPORT!F134="","",IMPORT!F134)</f>
        <v/>
      </c>
      <c r="L121" s="416" t="str">
        <f ca="1">IF(IMPORT!G134="","",IMPORT!G134)</f>
        <v/>
      </c>
      <c r="M121" s="416" t="str">
        <f>IF(IMPORT!H134="","",IMPORT!H134)</f>
        <v/>
      </c>
      <c r="N121" s="399" t="str">
        <f t="shared" si="17"/>
        <v/>
      </c>
      <c r="P121" s="406" t="str">
        <f t="shared" si="18"/>
        <v/>
      </c>
      <c r="Q121" s="406" t="str">
        <f t="array" ref="Q121">IFERROR(INDEX($N$1:$N$203,SMALL(IF($N$1:$N$203&lt;&gt;"",ROW($N$1:$N$203)),ROW(119:119))),"")</f>
        <v/>
      </c>
      <c r="R121" s="399" t="str">
        <f t="shared" si="15"/>
        <v/>
      </c>
      <c r="S121" s="399" t="str">
        <f t="shared" si="19"/>
        <v/>
      </c>
      <c r="T121" s="399" t="str">
        <f t="shared" si="20"/>
        <v/>
      </c>
      <c r="U121" s="419" t="str">
        <f t="shared" si="27"/>
        <v/>
      </c>
      <c r="V121" s="433" t="b">
        <v>0</v>
      </c>
      <c r="W121" s="464"/>
      <c r="X121" s="433"/>
      <c r="Y121" s="433" t="s">
        <v>92</v>
      </c>
      <c r="Z121" s="433"/>
      <c r="AA121" s="433"/>
      <c r="AB121" s="433"/>
      <c r="AC121" s="433" t="s">
        <v>1401</v>
      </c>
      <c r="AD121" s="433"/>
      <c r="AE121" s="433" t="s">
        <v>111</v>
      </c>
      <c r="AF121" s="433" t="s">
        <v>299</v>
      </c>
      <c r="AG121" s="433"/>
      <c r="AH121" s="433"/>
      <c r="AI121" s="433"/>
      <c r="AJ121" s="433"/>
      <c r="AK121" s="433"/>
      <c r="AL121" s="433"/>
      <c r="AM121" s="433"/>
      <c r="AN121" s="433"/>
      <c r="AO121" s="433"/>
      <c r="AP121" s="433"/>
      <c r="AQ121" s="433"/>
      <c r="AR121" s="433"/>
      <c r="AS121" s="433" t="b">
        <v>0</v>
      </c>
      <c r="AT121" s="433"/>
      <c r="AU121" s="433"/>
      <c r="AV121" s="433"/>
      <c r="AW121" s="433"/>
      <c r="AX121" s="433"/>
      <c r="AY121" s="433"/>
      <c r="AZ121" s="433"/>
      <c r="BA121" s="433"/>
      <c r="BB121" s="433"/>
      <c r="BC121" s="433"/>
      <c r="BD121" s="433"/>
      <c r="BE121" s="433"/>
      <c r="BF121" s="433"/>
      <c r="BG121" s="433"/>
      <c r="BH121" s="433"/>
      <c r="BI121" s="433"/>
      <c r="BJ121" s="433"/>
      <c r="BK121" s="433"/>
      <c r="BL121" s="433"/>
      <c r="BM121" s="433"/>
      <c r="BN121" s="433"/>
      <c r="BO121" s="433"/>
      <c r="BP121" s="433"/>
      <c r="BQ121" s="433"/>
      <c r="BR121" s="433"/>
      <c r="BS121" s="433"/>
      <c r="BT121" s="433"/>
      <c r="BU121" s="399" t="str">
        <f t="shared" si="21"/>
        <v/>
      </c>
      <c r="BV121" s="433"/>
      <c r="BW121" s="433"/>
      <c r="BX121" s="433"/>
      <c r="BY121" s="433"/>
      <c r="BZ121" s="433"/>
      <c r="CA121" s="433"/>
      <c r="CB121" s="433"/>
      <c r="CC121" s="433"/>
      <c r="CD121" s="433"/>
      <c r="CE121" s="433"/>
      <c r="CF121" s="433"/>
      <c r="CG121" s="433"/>
      <c r="CH121" s="433"/>
      <c r="CI121" s="433"/>
      <c r="CJ121" s="433"/>
      <c r="CK121" s="433"/>
      <c r="CL121" s="433"/>
      <c r="CM121" s="433"/>
      <c r="CN121" s="433"/>
      <c r="CO121" s="433"/>
      <c r="CP121" s="433"/>
      <c r="CQ121" s="433"/>
      <c r="CR121" s="433"/>
      <c r="CS121" s="433"/>
      <c r="CT121" s="433"/>
      <c r="CU121" s="433"/>
      <c r="CV121" s="433"/>
      <c r="CW121" s="433"/>
      <c r="CX121" s="433"/>
      <c r="CY121" s="433"/>
      <c r="CZ121" s="399" t="str">
        <f t="shared" si="22"/>
        <v/>
      </c>
      <c r="DA121" s="399" t="str">
        <f t="shared" si="23"/>
        <v/>
      </c>
      <c r="DB121" s="399" t="str">
        <f t="shared" si="24"/>
        <v/>
      </c>
      <c r="DC121" s="399" t="str">
        <f t="shared" si="25"/>
        <v/>
      </c>
      <c r="DD121" s="399" t="str">
        <f t="shared" si="28"/>
        <v/>
      </c>
      <c r="DE121" s="399" t="str">
        <f t="shared" si="26"/>
        <v/>
      </c>
      <c r="DG121" s="434"/>
      <c r="DH121" s="434"/>
      <c r="DJ121" s="399"/>
    </row>
    <row r="122" spans="8:114" x14ac:dyDescent="0.25">
      <c r="H122" s="416" t="str">
        <f ca="1">IF(IMPORT!C135="","",IMPORT!C135)</f>
        <v/>
      </c>
      <c r="I122" s="416" t="str">
        <f ca="1">IF(IMPORT!D135="","",IMPORT!D135)</f>
        <v/>
      </c>
      <c r="J122" s="416" t="str">
        <f ca="1">IF(IMPORT!E135="","",IMPORT!E135)</f>
        <v/>
      </c>
      <c r="K122" s="416" t="str">
        <f ca="1">IF(IMPORT!F135="","",IMPORT!F135)</f>
        <v/>
      </c>
      <c r="L122" s="416" t="str">
        <f ca="1">IF(IMPORT!G135="","",IMPORT!G135)</f>
        <v/>
      </c>
      <c r="M122" s="416" t="str">
        <f>IF(IMPORT!H135="","",IMPORT!H135)</f>
        <v/>
      </c>
      <c r="N122" s="399" t="str">
        <f t="shared" si="17"/>
        <v/>
      </c>
      <c r="P122" s="406" t="str">
        <f t="shared" si="18"/>
        <v/>
      </c>
      <c r="Q122" s="406" t="str">
        <f t="array" ref="Q122">IFERROR(INDEX($N$1:$N$203,SMALL(IF($N$1:$N$203&lt;&gt;"",ROW($N$1:$N$203)),ROW(120:120))),"")</f>
        <v/>
      </c>
      <c r="R122" s="399" t="str">
        <f t="shared" si="15"/>
        <v/>
      </c>
      <c r="S122" s="399" t="str">
        <f t="shared" si="19"/>
        <v/>
      </c>
      <c r="T122" s="399" t="str">
        <f t="shared" si="20"/>
        <v/>
      </c>
      <c r="U122" s="419" t="str">
        <f t="shared" si="27"/>
        <v/>
      </c>
      <c r="V122" s="433" t="b">
        <v>0</v>
      </c>
      <c r="W122" s="464"/>
      <c r="X122" s="433"/>
      <c r="Y122" s="433" t="s">
        <v>92</v>
      </c>
      <c r="Z122" s="433"/>
      <c r="AA122" s="433"/>
      <c r="AB122" s="433"/>
      <c r="AC122" s="433" t="s">
        <v>1401</v>
      </c>
      <c r="AD122" s="433"/>
      <c r="AE122" s="433" t="s">
        <v>111</v>
      </c>
      <c r="AF122" s="433" t="s">
        <v>299</v>
      </c>
      <c r="AG122" s="433"/>
      <c r="AH122" s="433"/>
      <c r="AI122" s="433"/>
      <c r="AJ122" s="433"/>
      <c r="AK122" s="433"/>
      <c r="AL122" s="433"/>
      <c r="AM122" s="433"/>
      <c r="AN122" s="433"/>
      <c r="AO122" s="433"/>
      <c r="AP122" s="433"/>
      <c r="AQ122" s="433"/>
      <c r="AR122" s="433"/>
      <c r="AS122" s="433" t="b">
        <v>0</v>
      </c>
      <c r="AT122" s="433"/>
      <c r="AU122" s="433"/>
      <c r="AV122" s="433"/>
      <c r="AW122" s="433"/>
      <c r="AX122" s="433"/>
      <c r="AY122" s="433"/>
      <c r="AZ122" s="433"/>
      <c r="BA122" s="433"/>
      <c r="BB122" s="433"/>
      <c r="BC122" s="433"/>
      <c r="BD122" s="433"/>
      <c r="BE122" s="433"/>
      <c r="BF122" s="433"/>
      <c r="BG122" s="433"/>
      <c r="BH122" s="433"/>
      <c r="BI122" s="433"/>
      <c r="BJ122" s="433"/>
      <c r="BK122" s="433"/>
      <c r="BL122" s="433"/>
      <c r="BM122" s="433"/>
      <c r="BN122" s="433"/>
      <c r="BO122" s="433"/>
      <c r="BP122" s="433"/>
      <c r="BQ122" s="433"/>
      <c r="BR122" s="433"/>
      <c r="BS122" s="433"/>
      <c r="BT122" s="433"/>
      <c r="BU122" s="399" t="str">
        <f t="shared" si="21"/>
        <v/>
      </c>
      <c r="BV122" s="433"/>
      <c r="BW122" s="433"/>
      <c r="BX122" s="433"/>
      <c r="BY122" s="433"/>
      <c r="BZ122" s="433"/>
      <c r="CA122" s="433"/>
      <c r="CB122" s="433"/>
      <c r="CC122" s="433"/>
      <c r="CD122" s="433"/>
      <c r="CE122" s="433"/>
      <c r="CF122" s="433"/>
      <c r="CG122" s="433"/>
      <c r="CH122" s="433"/>
      <c r="CI122" s="433"/>
      <c r="CJ122" s="433"/>
      <c r="CK122" s="433"/>
      <c r="CL122" s="433"/>
      <c r="CM122" s="433"/>
      <c r="CN122" s="433"/>
      <c r="CO122" s="433"/>
      <c r="CP122" s="433"/>
      <c r="CQ122" s="433"/>
      <c r="CR122" s="433"/>
      <c r="CS122" s="433"/>
      <c r="CT122" s="433"/>
      <c r="CU122" s="433"/>
      <c r="CV122" s="433"/>
      <c r="CW122" s="433"/>
      <c r="CX122" s="433"/>
      <c r="CY122" s="433"/>
      <c r="CZ122" s="399" t="str">
        <f t="shared" si="22"/>
        <v/>
      </c>
      <c r="DA122" s="399" t="str">
        <f t="shared" si="23"/>
        <v/>
      </c>
      <c r="DB122" s="399" t="str">
        <f t="shared" si="24"/>
        <v/>
      </c>
      <c r="DC122" s="399" t="str">
        <f t="shared" si="25"/>
        <v/>
      </c>
      <c r="DD122" s="399" t="str">
        <f t="shared" si="28"/>
        <v/>
      </c>
      <c r="DE122" s="399" t="str">
        <f t="shared" si="26"/>
        <v/>
      </c>
      <c r="DG122" s="434"/>
      <c r="DH122" s="434"/>
      <c r="DJ122" s="399"/>
    </row>
    <row r="123" spans="8:114" x14ac:dyDescent="0.25">
      <c r="H123" s="416" t="str">
        <f ca="1">IF(IMPORT!C136="","",IMPORT!C136)</f>
        <v/>
      </c>
      <c r="I123" s="416" t="str">
        <f ca="1">IF(IMPORT!D136="","",IMPORT!D136)</f>
        <v/>
      </c>
      <c r="J123" s="416" t="str">
        <f ca="1">IF(IMPORT!E136="","",IMPORT!E136)</f>
        <v/>
      </c>
      <c r="K123" s="416" t="str">
        <f ca="1">IF(IMPORT!F136="","",IMPORT!F136)</f>
        <v/>
      </c>
      <c r="L123" s="416" t="str">
        <f ca="1">IF(IMPORT!G136="","",IMPORT!G136)</f>
        <v/>
      </c>
      <c r="M123" s="416" t="str">
        <f>IF(IMPORT!H136="","",IMPORT!H136)</f>
        <v/>
      </c>
      <c r="N123" s="399" t="str">
        <f t="shared" si="17"/>
        <v/>
      </c>
      <c r="P123" s="406" t="str">
        <f t="shared" si="18"/>
        <v/>
      </c>
      <c r="Q123" s="406" t="str">
        <f t="array" ref="Q123">IFERROR(INDEX($N$1:$N$203,SMALL(IF($N$1:$N$203&lt;&gt;"",ROW($N$1:$N$203)),ROW(121:121))),"")</f>
        <v/>
      </c>
      <c r="R123" s="399" t="str">
        <f t="shared" si="15"/>
        <v/>
      </c>
      <c r="S123" s="399" t="str">
        <f t="shared" si="19"/>
        <v/>
      </c>
      <c r="T123" s="399" t="str">
        <f t="shared" si="20"/>
        <v/>
      </c>
      <c r="U123" s="419" t="str">
        <f t="shared" si="27"/>
        <v/>
      </c>
      <c r="V123" s="433" t="b">
        <v>0</v>
      </c>
      <c r="W123" s="464"/>
      <c r="X123" s="433"/>
      <c r="Y123" s="433" t="s">
        <v>92</v>
      </c>
      <c r="Z123" s="433"/>
      <c r="AA123" s="433"/>
      <c r="AB123" s="433"/>
      <c r="AC123" s="433" t="s">
        <v>1401</v>
      </c>
      <c r="AD123" s="433"/>
      <c r="AE123" s="433" t="s">
        <v>111</v>
      </c>
      <c r="AF123" s="433" t="s">
        <v>299</v>
      </c>
      <c r="AG123" s="433"/>
      <c r="AH123" s="433"/>
      <c r="AI123" s="433"/>
      <c r="AJ123" s="433"/>
      <c r="AK123" s="433"/>
      <c r="AL123" s="433"/>
      <c r="AM123" s="433"/>
      <c r="AN123" s="433"/>
      <c r="AO123" s="433"/>
      <c r="AP123" s="433"/>
      <c r="AQ123" s="433"/>
      <c r="AR123" s="433"/>
      <c r="AS123" s="433" t="b">
        <v>0</v>
      </c>
      <c r="AT123" s="433"/>
      <c r="AU123" s="433"/>
      <c r="AV123" s="433"/>
      <c r="AW123" s="433"/>
      <c r="AX123" s="433"/>
      <c r="AY123" s="433"/>
      <c r="AZ123" s="433"/>
      <c r="BA123" s="433"/>
      <c r="BB123" s="433"/>
      <c r="BC123" s="433"/>
      <c r="BD123" s="433"/>
      <c r="BE123" s="433"/>
      <c r="BF123" s="433"/>
      <c r="BG123" s="433"/>
      <c r="BH123" s="433"/>
      <c r="BI123" s="433"/>
      <c r="BJ123" s="433"/>
      <c r="BK123" s="433"/>
      <c r="BL123" s="433"/>
      <c r="BM123" s="433"/>
      <c r="BN123" s="433"/>
      <c r="BO123" s="433"/>
      <c r="BP123" s="433"/>
      <c r="BQ123" s="433"/>
      <c r="BR123" s="433"/>
      <c r="BS123" s="433"/>
      <c r="BT123" s="433"/>
      <c r="BU123" s="399" t="str">
        <f t="shared" si="21"/>
        <v/>
      </c>
      <c r="BV123" s="433"/>
      <c r="BW123" s="433"/>
      <c r="BX123" s="433"/>
      <c r="BY123" s="433"/>
      <c r="BZ123" s="433"/>
      <c r="CA123" s="433"/>
      <c r="CB123" s="433"/>
      <c r="CC123" s="433"/>
      <c r="CD123" s="433"/>
      <c r="CE123" s="433"/>
      <c r="CF123" s="433"/>
      <c r="CG123" s="433"/>
      <c r="CH123" s="433"/>
      <c r="CI123" s="433"/>
      <c r="CJ123" s="433"/>
      <c r="CK123" s="433"/>
      <c r="CL123" s="433"/>
      <c r="CM123" s="433"/>
      <c r="CN123" s="433"/>
      <c r="CO123" s="433"/>
      <c r="CP123" s="433"/>
      <c r="CQ123" s="433"/>
      <c r="CR123" s="433"/>
      <c r="CS123" s="433"/>
      <c r="CT123" s="433"/>
      <c r="CU123" s="433"/>
      <c r="CV123" s="433"/>
      <c r="CW123" s="433"/>
      <c r="CX123" s="433"/>
      <c r="CY123" s="433"/>
      <c r="CZ123" s="399" t="str">
        <f t="shared" si="22"/>
        <v/>
      </c>
      <c r="DA123" s="399" t="str">
        <f t="shared" si="23"/>
        <v/>
      </c>
      <c r="DB123" s="399" t="str">
        <f t="shared" si="24"/>
        <v/>
      </c>
      <c r="DC123" s="399" t="str">
        <f t="shared" si="25"/>
        <v/>
      </c>
      <c r="DD123" s="399" t="str">
        <f t="shared" si="28"/>
        <v/>
      </c>
      <c r="DE123" s="399" t="str">
        <f t="shared" si="26"/>
        <v/>
      </c>
      <c r="DG123" s="434"/>
      <c r="DH123" s="434"/>
      <c r="DJ123" s="399"/>
    </row>
    <row r="124" spans="8:114" x14ac:dyDescent="0.25">
      <c r="H124" s="416" t="str">
        <f ca="1">IF(IMPORT!C137="","",IMPORT!C137)</f>
        <v/>
      </c>
      <c r="I124" s="416" t="str">
        <f ca="1">IF(IMPORT!D137="","",IMPORT!D137)</f>
        <v/>
      </c>
      <c r="J124" s="416" t="str">
        <f ca="1">IF(IMPORT!E137="","",IMPORT!E137)</f>
        <v/>
      </c>
      <c r="K124" s="416" t="str">
        <f ca="1">IF(IMPORT!F137="","",IMPORT!F137)</f>
        <v/>
      </c>
      <c r="L124" s="416" t="str">
        <f ca="1">IF(IMPORT!G137="","",IMPORT!G137)</f>
        <v/>
      </c>
      <c r="M124" s="416" t="str">
        <f>IF(IMPORT!H137="","",IMPORT!H137)</f>
        <v/>
      </c>
      <c r="N124" s="399" t="str">
        <f t="shared" si="17"/>
        <v/>
      </c>
      <c r="P124" s="406" t="str">
        <f t="shared" si="18"/>
        <v/>
      </c>
      <c r="Q124" s="406" t="str">
        <f t="array" ref="Q124">IFERROR(INDEX($N$1:$N$203,SMALL(IF($N$1:$N$203&lt;&gt;"",ROW($N$1:$N$203)),ROW(122:122))),"")</f>
        <v/>
      </c>
      <c r="R124" s="399" t="str">
        <f t="shared" si="15"/>
        <v/>
      </c>
      <c r="S124" s="399" t="str">
        <f t="shared" si="19"/>
        <v/>
      </c>
      <c r="T124" s="399" t="str">
        <f t="shared" si="20"/>
        <v/>
      </c>
      <c r="U124" s="419" t="str">
        <f t="shared" si="27"/>
        <v/>
      </c>
      <c r="V124" s="433" t="b">
        <v>0</v>
      </c>
      <c r="W124" s="464"/>
      <c r="X124" s="433"/>
      <c r="Y124" s="433" t="s">
        <v>92</v>
      </c>
      <c r="Z124" s="433"/>
      <c r="AA124" s="433"/>
      <c r="AB124" s="433"/>
      <c r="AC124" s="433" t="s">
        <v>1401</v>
      </c>
      <c r="AD124" s="433"/>
      <c r="AE124" s="433" t="s">
        <v>111</v>
      </c>
      <c r="AF124" s="433" t="s">
        <v>299</v>
      </c>
      <c r="AG124" s="433"/>
      <c r="AH124" s="433"/>
      <c r="AI124" s="433"/>
      <c r="AJ124" s="433"/>
      <c r="AK124" s="433"/>
      <c r="AL124" s="433"/>
      <c r="AM124" s="433"/>
      <c r="AN124" s="433"/>
      <c r="AO124" s="433"/>
      <c r="AP124" s="433"/>
      <c r="AQ124" s="433"/>
      <c r="AR124" s="433"/>
      <c r="AS124" s="433" t="b">
        <v>0</v>
      </c>
      <c r="AT124" s="433"/>
      <c r="AU124" s="433"/>
      <c r="AV124" s="433"/>
      <c r="AW124" s="433"/>
      <c r="AX124" s="433"/>
      <c r="AY124" s="433"/>
      <c r="AZ124" s="433"/>
      <c r="BA124" s="433"/>
      <c r="BB124" s="433"/>
      <c r="BC124" s="433"/>
      <c r="BD124" s="433"/>
      <c r="BE124" s="433"/>
      <c r="BF124" s="433"/>
      <c r="BG124" s="433"/>
      <c r="BH124" s="433"/>
      <c r="BI124" s="433"/>
      <c r="BJ124" s="433"/>
      <c r="BK124" s="433"/>
      <c r="BL124" s="433"/>
      <c r="BM124" s="433"/>
      <c r="BN124" s="433"/>
      <c r="BO124" s="433"/>
      <c r="BP124" s="433"/>
      <c r="BQ124" s="433"/>
      <c r="BR124" s="433"/>
      <c r="BS124" s="433"/>
      <c r="BT124" s="433"/>
      <c r="BU124" s="399" t="str">
        <f t="shared" si="21"/>
        <v/>
      </c>
      <c r="BV124" s="433"/>
      <c r="BW124" s="433"/>
      <c r="BX124" s="433"/>
      <c r="BY124" s="433"/>
      <c r="BZ124" s="433"/>
      <c r="CA124" s="433"/>
      <c r="CB124" s="433"/>
      <c r="CC124" s="433"/>
      <c r="CD124" s="433"/>
      <c r="CE124" s="433"/>
      <c r="CF124" s="433"/>
      <c r="CG124" s="433"/>
      <c r="CH124" s="433"/>
      <c r="CI124" s="433"/>
      <c r="CJ124" s="433"/>
      <c r="CK124" s="433"/>
      <c r="CL124" s="433"/>
      <c r="CM124" s="433"/>
      <c r="CN124" s="433"/>
      <c r="CO124" s="433"/>
      <c r="CP124" s="433"/>
      <c r="CQ124" s="433"/>
      <c r="CR124" s="433"/>
      <c r="CS124" s="433"/>
      <c r="CT124" s="433"/>
      <c r="CU124" s="433"/>
      <c r="CV124" s="433"/>
      <c r="CW124" s="433"/>
      <c r="CX124" s="433"/>
      <c r="CY124" s="433"/>
      <c r="CZ124" s="399" t="str">
        <f t="shared" si="22"/>
        <v/>
      </c>
      <c r="DA124" s="399" t="str">
        <f t="shared" si="23"/>
        <v/>
      </c>
      <c r="DB124" s="399" t="str">
        <f t="shared" si="24"/>
        <v/>
      </c>
      <c r="DC124" s="399" t="str">
        <f t="shared" si="25"/>
        <v/>
      </c>
      <c r="DD124" s="399" t="str">
        <f t="shared" si="28"/>
        <v/>
      </c>
      <c r="DE124" s="399" t="str">
        <f t="shared" si="26"/>
        <v/>
      </c>
      <c r="DG124" s="434"/>
      <c r="DH124" s="434"/>
      <c r="DJ124" s="399"/>
    </row>
    <row r="125" spans="8:114" x14ac:dyDescent="0.25">
      <c r="H125" s="416" t="str">
        <f ca="1">IF(IMPORT!C138="","",IMPORT!C138)</f>
        <v/>
      </c>
      <c r="I125" s="416" t="str">
        <f ca="1">IF(IMPORT!D138="","",IMPORT!D138)</f>
        <v/>
      </c>
      <c r="J125" s="416" t="str">
        <f ca="1">IF(IMPORT!E138="","",IMPORT!E138)</f>
        <v/>
      </c>
      <c r="K125" s="416" t="str">
        <f ca="1">IF(IMPORT!F138="","",IMPORT!F138)</f>
        <v/>
      </c>
      <c r="L125" s="416" t="str">
        <f ca="1">IF(IMPORT!G138="","",IMPORT!G138)</f>
        <v/>
      </c>
      <c r="M125" s="416" t="str">
        <f>IF(IMPORT!H138="","",IMPORT!H138)</f>
        <v/>
      </c>
      <c r="N125" s="399" t="str">
        <f t="shared" si="17"/>
        <v/>
      </c>
      <c r="P125" s="406" t="str">
        <f t="shared" si="18"/>
        <v/>
      </c>
      <c r="Q125" s="406" t="str">
        <f t="array" ref="Q125">IFERROR(INDEX($N$1:$N$203,SMALL(IF($N$1:$N$203&lt;&gt;"",ROW($N$1:$N$203)),ROW(123:123))),"")</f>
        <v/>
      </c>
      <c r="R125" s="399" t="str">
        <f t="shared" si="15"/>
        <v/>
      </c>
      <c r="S125" s="399" t="str">
        <f t="shared" si="19"/>
        <v/>
      </c>
      <c r="T125" s="399" t="str">
        <f t="shared" si="20"/>
        <v/>
      </c>
      <c r="U125" s="419" t="str">
        <f t="shared" si="27"/>
        <v/>
      </c>
      <c r="V125" s="433" t="b">
        <v>0</v>
      </c>
      <c r="W125" s="464"/>
      <c r="X125" s="433"/>
      <c r="Y125" s="433" t="s">
        <v>92</v>
      </c>
      <c r="Z125" s="433"/>
      <c r="AA125" s="433"/>
      <c r="AB125" s="433"/>
      <c r="AC125" s="433" t="s">
        <v>1401</v>
      </c>
      <c r="AD125" s="433"/>
      <c r="AE125" s="433" t="s">
        <v>111</v>
      </c>
      <c r="AF125" s="433" t="s">
        <v>299</v>
      </c>
      <c r="AG125" s="433"/>
      <c r="AH125" s="433"/>
      <c r="AI125" s="433"/>
      <c r="AJ125" s="433"/>
      <c r="AK125" s="433"/>
      <c r="AL125" s="433"/>
      <c r="AM125" s="433"/>
      <c r="AN125" s="433"/>
      <c r="AO125" s="433"/>
      <c r="AP125" s="433"/>
      <c r="AQ125" s="433"/>
      <c r="AR125" s="433"/>
      <c r="AS125" s="433" t="b">
        <v>0</v>
      </c>
      <c r="AT125" s="433"/>
      <c r="AU125" s="433"/>
      <c r="AV125" s="433"/>
      <c r="AW125" s="433"/>
      <c r="AX125" s="433"/>
      <c r="AY125" s="433"/>
      <c r="AZ125" s="433"/>
      <c r="BA125" s="433"/>
      <c r="BB125" s="433"/>
      <c r="BC125" s="433"/>
      <c r="BD125" s="433"/>
      <c r="BE125" s="433"/>
      <c r="BF125" s="433"/>
      <c r="BG125" s="433"/>
      <c r="BH125" s="433"/>
      <c r="BI125" s="433"/>
      <c r="BJ125" s="433"/>
      <c r="BK125" s="433"/>
      <c r="BL125" s="433"/>
      <c r="BM125" s="433"/>
      <c r="BN125" s="433"/>
      <c r="BO125" s="433"/>
      <c r="BP125" s="433"/>
      <c r="BQ125" s="433"/>
      <c r="BR125" s="433"/>
      <c r="BS125" s="433"/>
      <c r="BT125" s="433"/>
      <c r="BU125" s="399" t="str">
        <f t="shared" si="21"/>
        <v/>
      </c>
      <c r="BV125" s="433"/>
      <c r="BW125" s="433"/>
      <c r="BX125" s="433"/>
      <c r="BY125" s="433"/>
      <c r="BZ125" s="433"/>
      <c r="CA125" s="433"/>
      <c r="CB125" s="433"/>
      <c r="CC125" s="433"/>
      <c r="CD125" s="433"/>
      <c r="CE125" s="433"/>
      <c r="CF125" s="433"/>
      <c r="CG125" s="433"/>
      <c r="CH125" s="433"/>
      <c r="CI125" s="433"/>
      <c r="CJ125" s="433"/>
      <c r="CK125" s="433"/>
      <c r="CL125" s="433"/>
      <c r="CM125" s="433"/>
      <c r="CN125" s="433"/>
      <c r="CO125" s="433"/>
      <c r="CP125" s="433"/>
      <c r="CQ125" s="433"/>
      <c r="CR125" s="433"/>
      <c r="CS125" s="433"/>
      <c r="CT125" s="433"/>
      <c r="CU125" s="433"/>
      <c r="CV125" s="433"/>
      <c r="CW125" s="433"/>
      <c r="CX125" s="433"/>
      <c r="CY125" s="433"/>
      <c r="CZ125" s="399" t="str">
        <f t="shared" si="22"/>
        <v/>
      </c>
      <c r="DA125" s="399" t="str">
        <f t="shared" si="23"/>
        <v/>
      </c>
      <c r="DB125" s="399" t="str">
        <f t="shared" si="24"/>
        <v/>
      </c>
      <c r="DC125" s="399" t="str">
        <f t="shared" si="25"/>
        <v/>
      </c>
      <c r="DD125" s="399" t="str">
        <f t="shared" si="28"/>
        <v/>
      </c>
      <c r="DE125" s="399" t="str">
        <f t="shared" si="26"/>
        <v/>
      </c>
      <c r="DG125" s="434"/>
      <c r="DH125" s="434"/>
      <c r="DJ125" s="399"/>
    </row>
    <row r="126" spans="8:114" x14ac:dyDescent="0.25">
      <c r="H126" s="416" t="str">
        <f ca="1">IF(IMPORT!C139="","",IMPORT!C139)</f>
        <v/>
      </c>
      <c r="I126" s="416" t="str">
        <f ca="1">IF(IMPORT!D139="","",IMPORT!D139)</f>
        <v/>
      </c>
      <c r="J126" s="416" t="str">
        <f ca="1">IF(IMPORT!E139="","",IMPORT!E139)</f>
        <v/>
      </c>
      <c r="K126" s="416" t="str">
        <f ca="1">IF(IMPORT!F139="","",IMPORT!F139)</f>
        <v/>
      </c>
      <c r="L126" s="416" t="str">
        <f ca="1">IF(IMPORT!G139="","",IMPORT!G139)</f>
        <v/>
      </c>
      <c r="M126" s="416" t="str">
        <f>IF(IMPORT!H139="","",IMPORT!H139)</f>
        <v/>
      </c>
      <c r="N126" s="399" t="str">
        <f t="shared" si="17"/>
        <v/>
      </c>
      <c r="P126" s="406" t="str">
        <f t="shared" si="18"/>
        <v/>
      </c>
      <c r="Q126" s="406" t="str">
        <f t="array" ref="Q126">IFERROR(INDEX($N$1:$N$203,SMALL(IF($N$1:$N$203&lt;&gt;"",ROW($N$1:$N$203)),ROW(124:124))),"")</f>
        <v/>
      </c>
      <c r="R126" s="399" t="str">
        <f t="shared" si="15"/>
        <v/>
      </c>
      <c r="S126" s="399" t="str">
        <f t="shared" si="19"/>
        <v/>
      </c>
      <c r="T126" s="399" t="str">
        <f t="shared" si="20"/>
        <v/>
      </c>
      <c r="U126" s="419" t="str">
        <f t="shared" si="27"/>
        <v/>
      </c>
      <c r="V126" s="433" t="b">
        <v>0</v>
      </c>
      <c r="W126" s="464"/>
      <c r="X126" s="433"/>
      <c r="Y126" s="433" t="s">
        <v>92</v>
      </c>
      <c r="Z126" s="433"/>
      <c r="AA126" s="433"/>
      <c r="AB126" s="433"/>
      <c r="AC126" s="433" t="s">
        <v>1401</v>
      </c>
      <c r="AD126" s="433"/>
      <c r="AE126" s="433" t="s">
        <v>111</v>
      </c>
      <c r="AF126" s="433" t="s">
        <v>299</v>
      </c>
      <c r="AG126" s="433"/>
      <c r="AH126" s="433"/>
      <c r="AI126" s="433"/>
      <c r="AJ126" s="433"/>
      <c r="AK126" s="433"/>
      <c r="AL126" s="433"/>
      <c r="AM126" s="433"/>
      <c r="AN126" s="433"/>
      <c r="AO126" s="433"/>
      <c r="AP126" s="433"/>
      <c r="AQ126" s="433"/>
      <c r="AR126" s="433"/>
      <c r="AS126" s="433" t="b">
        <v>0</v>
      </c>
      <c r="AT126" s="433"/>
      <c r="AU126" s="433"/>
      <c r="AV126" s="433"/>
      <c r="AW126" s="433"/>
      <c r="AX126" s="433"/>
      <c r="AY126" s="433"/>
      <c r="AZ126" s="433"/>
      <c r="BA126" s="433"/>
      <c r="BB126" s="433"/>
      <c r="BC126" s="433"/>
      <c r="BD126" s="433"/>
      <c r="BE126" s="433"/>
      <c r="BF126" s="433"/>
      <c r="BG126" s="433"/>
      <c r="BH126" s="433"/>
      <c r="BI126" s="433"/>
      <c r="BJ126" s="433"/>
      <c r="BK126" s="433"/>
      <c r="BL126" s="433"/>
      <c r="BM126" s="433"/>
      <c r="BN126" s="433"/>
      <c r="BO126" s="433"/>
      <c r="BP126" s="433"/>
      <c r="BQ126" s="433"/>
      <c r="BR126" s="433"/>
      <c r="BS126" s="433"/>
      <c r="BT126" s="433"/>
      <c r="BU126" s="399" t="str">
        <f t="shared" si="21"/>
        <v/>
      </c>
      <c r="BV126" s="433"/>
      <c r="BW126" s="433"/>
      <c r="BX126" s="433"/>
      <c r="BY126" s="433"/>
      <c r="BZ126" s="433"/>
      <c r="CA126" s="433"/>
      <c r="CB126" s="433"/>
      <c r="CC126" s="433"/>
      <c r="CD126" s="433"/>
      <c r="CE126" s="433"/>
      <c r="CF126" s="433"/>
      <c r="CG126" s="433"/>
      <c r="CH126" s="433"/>
      <c r="CI126" s="433"/>
      <c r="CJ126" s="433"/>
      <c r="CK126" s="433"/>
      <c r="CL126" s="433"/>
      <c r="CM126" s="433"/>
      <c r="CN126" s="433"/>
      <c r="CO126" s="433"/>
      <c r="CP126" s="433"/>
      <c r="CQ126" s="433"/>
      <c r="CR126" s="433"/>
      <c r="CS126" s="433"/>
      <c r="CT126" s="433"/>
      <c r="CU126" s="433"/>
      <c r="CV126" s="433"/>
      <c r="CW126" s="433"/>
      <c r="CX126" s="433"/>
      <c r="CY126" s="433"/>
      <c r="CZ126" s="399" t="str">
        <f t="shared" si="22"/>
        <v/>
      </c>
      <c r="DA126" s="399" t="str">
        <f t="shared" si="23"/>
        <v/>
      </c>
      <c r="DB126" s="399" t="str">
        <f t="shared" si="24"/>
        <v/>
      </c>
      <c r="DC126" s="399" t="str">
        <f t="shared" si="25"/>
        <v/>
      </c>
      <c r="DD126" s="399" t="str">
        <f t="shared" si="28"/>
        <v/>
      </c>
      <c r="DE126" s="399" t="str">
        <f t="shared" si="26"/>
        <v/>
      </c>
      <c r="DG126" s="434"/>
      <c r="DH126" s="434"/>
      <c r="DJ126" s="399"/>
    </row>
    <row r="127" spans="8:114" x14ac:dyDescent="0.25">
      <c r="H127" s="416" t="str">
        <f ca="1">IF(IMPORT!C140="","",IMPORT!C140)</f>
        <v/>
      </c>
      <c r="I127" s="416" t="str">
        <f ca="1">IF(IMPORT!D140="","",IMPORT!D140)</f>
        <v/>
      </c>
      <c r="J127" s="416" t="str">
        <f ca="1">IF(IMPORT!E140="","",IMPORT!E140)</f>
        <v/>
      </c>
      <c r="K127" s="416" t="str">
        <f ca="1">IF(IMPORT!F140="","",IMPORT!F140)</f>
        <v/>
      </c>
      <c r="L127" s="416" t="str">
        <f ca="1">IF(IMPORT!G140="","",IMPORT!G140)</f>
        <v/>
      </c>
      <c r="M127" s="416" t="str">
        <f>IF(IMPORT!H140="","",IMPORT!H140)</f>
        <v/>
      </c>
      <c r="N127" s="399" t="str">
        <f t="shared" si="17"/>
        <v/>
      </c>
      <c r="P127" s="406" t="str">
        <f t="shared" si="18"/>
        <v/>
      </c>
      <c r="Q127" s="406" t="str">
        <f t="array" ref="Q127">IFERROR(INDEX($N$1:$N$203,SMALL(IF($N$1:$N$203&lt;&gt;"",ROW($N$1:$N$203)),ROW(125:125))),"")</f>
        <v/>
      </c>
      <c r="R127" s="399" t="str">
        <f t="shared" si="15"/>
        <v/>
      </c>
      <c r="S127" s="399" t="str">
        <f t="shared" si="19"/>
        <v/>
      </c>
      <c r="T127" s="399" t="str">
        <f t="shared" si="20"/>
        <v/>
      </c>
      <c r="U127" s="419" t="str">
        <f t="shared" si="27"/>
        <v/>
      </c>
      <c r="V127" s="433" t="b">
        <v>0</v>
      </c>
      <c r="W127" s="464"/>
      <c r="X127" s="433"/>
      <c r="Y127" s="433" t="s">
        <v>92</v>
      </c>
      <c r="Z127" s="433"/>
      <c r="AA127" s="433"/>
      <c r="AB127" s="433"/>
      <c r="AC127" s="433" t="s">
        <v>1401</v>
      </c>
      <c r="AD127" s="433"/>
      <c r="AE127" s="433" t="s">
        <v>111</v>
      </c>
      <c r="AF127" s="433" t="s">
        <v>299</v>
      </c>
      <c r="AG127" s="433"/>
      <c r="AH127" s="433"/>
      <c r="AI127" s="433"/>
      <c r="AJ127" s="433"/>
      <c r="AK127" s="433"/>
      <c r="AL127" s="433"/>
      <c r="AM127" s="433"/>
      <c r="AN127" s="433"/>
      <c r="AO127" s="433"/>
      <c r="AP127" s="433"/>
      <c r="AQ127" s="433"/>
      <c r="AR127" s="433"/>
      <c r="AS127" s="433" t="b">
        <v>0</v>
      </c>
      <c r="AT127" s="433"/>
      <c r="AU127" s="433"/>
      <c r="AV127" s="433"/>
      <c r="AW127" s="433"/>
      <c r="AX127" s="433"/>
      <c r="AY127" s="433"/>
      <c r="AZ127" s="433"/>
      <c r="BA127" s="433"/>
      <c r="BB127" s="433"/>
      <c r="BC127" s="433"/>
      <c r="BD127" s="433"/>
      <c r="BE127" s="433"/>
      <c r="BF127" s="433"/>
      <c r="BG127" s="433"/>
      <c r="BH127" s="433"/>
      <c r="BI127" s="433"/>
      <c r="BJ127" s="433"/>
      <c r="BK127" s="433"/>
      <c r="BL127" s="433"/>
      <c r="BM127" s="433"/>
      <c r="BN127" s="433"/>
      <c r="BO127" s="433"/>
      <c r="BP127" s="433"/>
      <c r="BQ127" s="433"/>
      <c r="BR127" s="433"/>
      <c r="BS127" s="433"/>
      <c r="BT127" s="433"/>
      <c r="BU127" s="399" t="str">
        <f t="shared" si="21"/>
        <v/>
      </c>
      <c r="BV127" s="433"/>
      <c r="BW127" s="433"/>
      <c r="BX127" s="433"/>
      <c r="BY127" s="433"/>
      <c r="BZ127" s="433"/>
      <c r="CA127" s="433"/>
      <c r="CB127" s="433"/>
      <c r="CC127" s="433"/>
      <c r="CD127" s="433"/>
      <c r="CE127" s="433"/>
      <c r="CF127" s="433"/>
      <c r="CG127" s="433"/>
      <c r="CH127" s="433"/>
      <c r="CI127" s="433"/>
      <c r="CJ127" s="433"/>
      <c r="CK127" s="433"/>
      <c r="CL127" s="433"/>
      <c r="CM127" s="433"/>
      <c r="CN127" s="433"/>
      <c r="CO127" s="433"/>
      <c r="CP127" s="433"/>
      <c r="CQ127" s="433"/>
      <c r="CR127" s="433"/>
      <c r="CS127" s="433"/>
      <c r="CT127" s="433"/>
      <c r="CU127" s="433"/>
      <c r="CV127" s="433"/>
      <c r="CW127" s="433"/>
      <c r="CX127" s="433"/>
      <c r="CY127" s="433"/>
      <c r="CZ127" s="399" t="str">
        <f t="shared" si="22"/>
        <v/>
      </c>
      <c r="DA127" s="399" t="str">
        <f t="shared" si="23"/>
        <v/>
      </c>
      <c r="DB127" s="399" t="str">
        <f t="shared" si="24"/>
        <v/>
      </c>
      <c r="DC127" s="399" t="str">
        <f t="shared" si="25"/>
        <v/>
      </c>
      <c r="DD127" s="399" t="str">
        <f t="shared" si="28"/>
        <v/>
      </c>
      <c r="DE127" s="399" t="str">
        <f t="shared" si="26"/>
        <v/>
      </c>
      <c r="DG127" s="434"/>
      <c r="DH127" s="434"/>
      <c r="DJ127" s="399"/>
    </row>
    <row r="128" spans="8:114" x14ac:dyDescent="0.25">
      <c r="H128" s="416" t="str">
        <f ca="1">IF(IMPORT!C141="","",IMPORT!C141)</f>
        <v/>
      </c>
      <c r="I128" s="416" t="str">
        <f ca="1">IF(IMPORT!D141="","",IMPORT!D141)</f>
        <v/>
      </c>
      <c r="J128" s="416" t="str">
        <f ca="1">IF(IMPORT!E141="","",IMPORT!E141)</f>
        <v/>
      </c>
      <c r="K128" s="416" t="str">
        <f ca="1">IF(IMPORT!F141="","",IMPORT!F141)</f>
        <v/>
      </c>
      <c r="L128" s="416" t="str">
        <f ca="1">IF(IMPORT!G141="","",IMPORT!G141)</f>
        <v/>
      </c>
      <c r="M128" s="416" t="str">
        <f>IF(IMPORT!H141="","",IMPORT!H141)</f>
        <v/>
      </c>
      <c r="N128" s="399" t="str">
        <f t="shared" si="17"/>
        <v/>
      </c>
      <c r="P128" s="406" t="str">
        <f t="shared" si="18"/>
        <v/>
      </c>
      <c r="Q128" s="406" t="str">
        <f t="array" ref="Q128">IFERROR(INDEX($N$1:$N$203,SMALL(IF($N$1:$N$203&lt;&gt;"",ROW($N$1:$N$203)),ROW(126:126))),"")</f>
        <v/>
      </c>
      <c r="R128" s="399" t="str">
        <f t="shared" si="15"/>
        <v/>
      </c>
      <c r="S128" s="399" t="str">
        <f t="shared" si="19"/>
        <v/>
      </c>
      <c r="T128" s="399" t="str">
        <f t="shared" si="20"/>
        <v/>
      </c>
      <c r="U128" s="419" t="str">
        <f t="shared" si="27"/>
        <v/>
      </c>
      <c r="V128" s="433" t="b">
        <v>0</v>
      </c>
      <c r="W128" s="464"/>
      <c r="X128" s="433"/>
      <c r="Y128" s="433" t="s">
        <v>92</v>
      </c>
      <c r="Z128" s="433"/>
      <c r="AA128" s="433"/>
      <c r="AB128" s="433"/>
      <c r="AC128" s="433" t="s">
        <v>1401</v>
      </c>
      <c r="AD128" s="433"/>
      <c r="AE128" s="433" t="s">
        <v>111</v>
      </c>
      <c r="AF128" s="433" t="s">
        <v>299</v>
      </c>
      <c r="AG128" s="433"/>
      <c r="AH128" s="433"/>
      <c r="AI128" s="433"/>
      <c r="AJ128" s="433"/>
      <c r="AK128" s="433"/>
      <c r="AL128" s="433"/>
      <c r="AM128" s="433"/>
      <c r="AN128" s="433"/>
      <c r="AO128" s="433"/>
      <c r="AP128" s="433"/>
      <c r="AQ128" s="433"/>
      <c r="AR128" s="433"/>
      <c r="AS128" s="433" t="b">
        <v>0</v>
      </c>
      <c r="AT128" s="433"/>
      <c r="AU128" s="433"/>
      <c r="AV128" s="433"/>
      <c r="AW128" s="433"/>
      <c r="AX128" s="433"/>
      <c r="AY128" s="433"/>
      <c r="AZ128" s="433"/>
      <c r="BA128" s="433"/>
      <c r="BB128" s="433"/>
      <c r="BC128" s="433"/>
      <c r="BD128" s="433"/>
      <c r="BE128" s="433"/>
      <c r="BF128" s="433"/>
      <c r="BG128" s="433"/>
      <c r="BH128" s="433"/>
      <c r="BI128" s="433"/>
      <c r="BJ128" s="433"/>
      <c r="BK128" s="433"/>
      <c r="BL128" s="433"/>
      <c r="BM128" s="433"/>
      <c r="BN128" s="433"/>
      <c r="BO128" s="433"/>
      <c r="BP128" s="433"/>
      <c r="BQ128" s="433"/>
      <c r="BR128" s="433"/>
      <c r="BS128" s="433"/>
      <c r="BT128" s="433"/>
      <c r="BU128" s="399" t="str">
        <f t="shared" si="21"/>
        <v/>
      </c>
      <c r="BV128" s="433"/>
      <c r="BW128" s="433"/>
      <c r="BX128" s="433"/>
      <c r="BY128" s="433"/>
      <c r="BZ128" s="433"/>
      <c r="CA128" s="433"/>
      <c r="CB128" s="433"/>
      <c r="CC128" s="433"/>
      <c r="CD128" s="433"/>
      <c r="CE128" s="433"/>
      <c r="CF128" s="433"/>
      <c r="CG128" s="433"/>
      <c r="CH128" s="433"/>
      <c r="CI128" s="433"/>
      <c r="CJ128" s="433"/>
      <c r="CK128" s="433"/>
      <c r="CL128" s="433"/>
      <c r="CM128" s="433"/>
      <c r="CN128" s="433"/>
      <c r="CO128" s="433"/>
      <c r="CP128" s="433"/>
      <c r="CQ128" s="433"/>
      <c r="CR128" s="433"/>
      <c r="CS128" s="433"/>
      <c r="CT128" s="433"/>
      <c r="CU128" s="433"/>
      <c r="CV128" s="433"/>
      <c r="CW128" s="433"/>
      <c r="CX128" s="433"/>
      <c r="CY128" s="433"/>
      <c r="CZ128" s="399" t="str">
        <f t="shared" si="22"/>
        <v/>
      </c>
      <c r="DA128" s="399" t="str">
        <f t="shared" si="23"/>
        <v/>
      </c>
      <c r="DB128" s="399" t="str">
        <f t="shared" si="24"/>
        <v/>
      </c>
      <c r="DC128" s="399" t="str">
        <f t="shared" si="25"/>
        <v/>
      </c>
      <c r="DD128" s="399" t="str">
        <f t="shared" si="28"/>
        <v/>
      </c>
      <c r="DE128" s="399" t="str">
        <f t="shared" si="26"/>
        <v/>
      </c>
      <c r="DG128" s="434"/>
      <c r="DH128" s="434"/>
      <c r="DJ128" s="399"/>
    </row>
    <row r="129" spans="8:114" x14ac:dyDescent="0.25">
      <c r="H129" s="416" t="str">
        <f ca="1">IF(IMPORT!C142="","",IMPORT!C142)</f>
        <v/>
      </c>
      <c r="I129" s="416" t="str">
        <f ca="1">IF(IMPORT!D142="","",IMPORT!D142)</f>
        <v/>
      </c>
      <c r="J129" s="416" t="str">
        <f ca="1">IF(IMPORT!E142="","",IMPORT!E142)</f>
        <v/>
      </c>
      <c r="K129" s="416" t="str">
        <f ca="1">IF(IMPORT!F142="","",IMPORT!F142)</f>
        <v/>
      </c>
      <c r="L129" s="416" t="str">
        <f ca="1">IF(IMPORT!G142="","",IMPORT!G142)</f>
        <v/>
      </c>
      <c r="M129" s="416" t="str">
        <f>IF(IMPORT!H142="","",IMPORT!H142)</f>
        <v/>
      </c>
      <c r="N129" s="399" t="str">
        <f t="shared" si="17"/>
        <v/>
      </c>
      <c r="P129" s="406" t="str">
        <f t="shared" si="18"/>
        <v/>
      </c>
      <c r="Q129" s="406" t="str">
        <f t="array" ref="Q129">IFERROR(INDEX($N$1:$N$203,SMALL(IF($N$1:$N$203&lt;&gt;"",ROW($N$1:$N$203)),ROW(127:127))),"")</f>
        <v/>
      </c>
      <c r="R129" s="399" t="str">
        <f t="shared" si="15"/>
        <v/>
      </c>
      <c r="S129" s="399" t="str">
        <f t="shared" si="19"/>
        <v/>
      </c>
      <c r="T129" s="399" t="str">
        <f t="shared" si="20"/>
        <v/>
      </c>
      <c r="U129" s="419" t="str">
        <f t="shared" si="27"/>
        <v/>
      </c>
      <c r="V129" s="433" t="b">
        <v>0</v>
      </c>
      <c r="W129" s="464"/>
      <c r="X129" s="433"/>
      <c r="Y129" s="433" t="s">
        <v>92</v>
      </c>
      <c r="Z129" s="433"/>
      <c r="AA129" s="433"/>
      <c r="AB129" s="433"/>
      <c r="AC129" s="433" t="s">
        <v>1401</v>
      </c>
      <c r="AD129" s="433"/>
      <c r="AE129" s="433" t="s">
        <v>111</v>
      </c>
      <c r="AF129" s="433" t="s">
        <v>299</v>
      </c>
      <c r="AG129" s="433"/>
      <c r="AH129" s="433"/>
      <c r="AI129" s="433"/>
      <c r="AJ129" s="433"/>
      <c r="AK129" s="433"/>
      <c r="AL129" s="433"/>
      <c r="AM129" s="433"/>
      <c r="AN129" s="433"/>
      <c r="AO129" s="433"/>
      <c r="AP129" s="433"/>
      <c r="AQ129" s="433"/>
      <c r="AR129" s="433"/>
      <c r="AS129" s="433" t="b">
        <v>0</v>
      </c>
      <c r="AT129" s="433"/>
      <c r="AU129" s="433"/>
      <c r="AV129" s="433"/>
      <c r="AW129" s="433"/>
      <c r="AX129" s="433"/>
      <c r="AY129" s="433"/>
      <c r="AZ129" s="433"/>
      <c r="BA129" s="433"/>
      <c r="BB129" s="433"/>
      <c r="BC129" s="433"/>
      <c r="BD129" s="433"/>
      <c r="BE129" s="433"/>
      <c r="BF129" s="433"/>
      <c r="BG129" s="433"/>
      <c r="BH129" s="433"/>
      <c r="BI129" s="433"/>
      <c r="BJ129" s="433"/>
      <c r="BK129" s="433"/>
      <c r="BL129" s="433"/>
      <c r="BM129" s="433"/>
      <c r="BN129" s="433"/>
      <c r="BO129" s="433"/>
      <c r="BP129" s="433"/>
      <c r="BQ129" s="433"/>
      <c r="BR129" s="433"/>
      <c r="BS129" s="433"/>
      <c r="BT129" s="433"/>
      <c r="BU129" s="399" t="str">
        <f t="shared" si="21"/>
        <v/>
      </c>
      <c r="BV129" s="433"/>
      <c r="BW129" s="433"/>
      <c r="BX129" s="433"/>
      <c r="BY129" s="433"/>
      <c r="BZ129" s="433"/>
      <c r="CA129" s="433"/>
      <c r="CB129" s="433"/>
      <c r="CC129" s="433"/>
      <c r="CD129" s="433"/>
      <c r="CE129" s="433"/>
      <c r="CF129" s="433"/>
      <c r="CG129" s="433"/>
      <c r="CH129" s="433"/>
      <c r="CI129" s="433"/>
      <c r="CJ129" s="433"/>
      <c r="CK129" s="433"/>
      <c r="CL129" s="433"/>
      <c r="CM129" s="433"/>
      <c r="CN129" s="433"/>
      <c r="CO129" s="433"/>
      <c r="CP129" s="433"/>
      <c r="CQ129" s="433"/>
      <c r="CR129" s="433"/>
      <c r="CS129" s="433"/>
      <c r="CT129" s="433"/>
      <c r="CU129" s="433"/>
      <c r="CV129" s="433"/>
      <c r="CW129" s="433"/>
      <c r="CX129" s="433"/>
      <c r="CY129" s="433"/>
      <c r="CZ129" s="399" t="str">
        <f t="shared" si="22"/>
        <v/>
      </c>
      <c r="DA129" s="399" t="str">
        <f t="shared" si="23"/>
        <v/>
      </c>
      <c r="DB129" s="399" t="str">
        <f t="shared" si="24"/>
        <v/>
      </c>
      <c r="DC129" s="399" t="str">
        <f t="shared" si="25"/>
        <v/>
      </c>
      <c r="DD129" s="399" t="str">
        <f t="shared" si="28"/>
        <v/>
      </c>
      <c r="DE129" s="399" t="str">
        <f t="shared" si="26"/>
        <v/>
      </c>
      <c r="DG129" s="434"/>
      <c r="DH129" s="434"/>
      <c r="DJ129" s="399"/>
    </row>
    <row r="130" spans="8:114" x14ac:dyDescent="0.25">
      <c r="H130" s="416" t="str">
        <f ca="1">IF(IMPORT!C143="","",IMPORT!C143)</f>
        <v/>
      </c>
      <c r="I130" s="416" t="str">
        <f ca="1">IF(IMPORT!D143="","",IMPORT!D143)</f>
        <v/>
      </c>
      <c r="J130" s="416" t="str">
        <f ca="1">IF(IMPORT!E143="","",IMPORT!E143)</f>
        <v/>
      </c>
      <c r="K130" s="416" t="str">
        <f ca="1">IF(IMPORT!F143="","",IMPORT!F143)</f>
        <v/>
      </c>
      <c r="L130" s="416" t="str">
        <f ca="1">IF(IMPORT!G143="","",IMPORT!G143)</f>
        <v/>
      </c>
      <c r="M130" s="416" t="str">
        <f>IF(IMPORT!H143="","",IMPORT!H143)</f>
        <v/>
      </c>
      <c r="N130" s="399" t="str">
        <f t="shared" si="17"/>
        <v/>
      </c>
      <c r="P130" s="406" t="str">
        <f t="shared" si="18"/>
        <v/>
      </c>
      <c r="Q130" s="406" t="str">
        <f t="array" ref="Q130">IFERROR(INDEX($N$1:$N$203,SMALL(IF($N$1:$N$203&lt;&gt;"",ROW($N$1:$N$203)),ROW(128:128))),"")</f>
        <v/>
      </c>
      <c r="R130" s="399" t="str">
        <f t="shared" si="15"/>
        <v/>
      </c>
      <c r="S130" s="399" t="str">
        <f t="shared" si="19"/>
        <v/>
      </c>
      <c r="T130" s="399" t="str">
        <f t="shared" si="20"/>
        <v/>
      </c>
      <c r="U130" s="419" t="str">
        <f t="shared" si="27"/>
        <v/>
      </c>
      <c r="V130" s="433" t="b">
        <v>0</v>
      </c>
      <c r="W130" s="464"/>
      <c r="X130" s="433"/>
      <c r="Y130" s="433" t="s">
        <v>92</v>
      </c>
      <c r="Z130" s="433"/>
      <c r="AA130" s="433"/>
      <c r="AB130" s="433"/>
      <c r="AC130" s="433" t="s">
        <v>1401</v>
      </c>
      <c r="AD130" s="433"/>
      <c r="AE130" s="433" t="s">
        <v>111</v>
      </c>
      <c r="AF130" s="433" t="s">
        <v>299</v>
      </c>
      <c r="AG130" s="433"/>
      <c r="AH130" s="433"/>
      <c r="AI130" s="433"/>
      <c r="AJ130" s="433"/>
      <c r="AK130" s="433"/>
      <c r="AL130" s="433"/>
      <c r="AM130" s="433"/>
      <c r="AN130" s="433"/>
      <c r="AO130" s="433"/>
      <c r="AP130" s="433"/>
      <c r="AQ130" s="433"/>
      <c r="AR130" s="433"/>
      <c r="AS130" s="433" t="b">
        <v>0</v>
      </c>
      <c r="AT130" s="433"/>
      <c r="AU130" s="433"/>
      <c r="AV130" s="433"/>
      <c r="AW130" s="433"/>
      <c r="AX130" s="433"/>
      <c r="AY130" s="433"/>
      <c r="AZ130" s="433"/>
      <c r="BA130" s="433"/>
      <c r="BB130" s="433"/>
      <c r="BC130" s="433"/>
      <c r="BD130" s="433"/>
      <c r="BE130" s="433"/>
      <c r="BF130" s="433"/>
      <c r="BG130" s="433"/>
      <c r="BH130" s="433"/>
      <c r="BI130" s="433"/>
      <c r="BJ130" s="433"/>
      <c r="BK130" s="433"/>
      <c r="BL130" s="433"/>
      <c r="BM130" s="433"/>
      <c r="BN130" s="433"/>
      <c r="BO130" s="433"/>
      <c r="BP130" s="433"/>
      <c r="BQ130" s="433"/>
      <c r="BR130" s="433"/>
      <c r="BS130" s="433"/>
      <c r="BT130" s="433"/>
      <c r="BU130" s="399" t="str">
        <f t="shared" si="21"/>
        <v/>
      </c>
      <c r="BV130" s="433"/>
      <c r="BW130" s="433"/>
      <c r="BX130" s="433"/>
      <c r="BY130" s="433"/>
      <c r="BZ130" s="433"/>
      <c r="CA130" s="433"/>
      <c r="CB130" s="433"/>
      <c r="CC130" s="433"/>
      <c r="CD130" s="433"/>
      <c r="CE130" s="433"/>
      <c r="CF130" s="433"/>
      <c r="CG130" s="433"/>
      <c r="CH130" s="433"/>
      <c r="CI130" s="433"/>
      <c r="CJ130" s="433"/>
      <c r="CK130" s="433"/>
      <c r="CL130" s="433"/>
      <c r="CM130" s="433"/>
      <c r="CN130" s="433"/>
      <c r="CO130" s="433"/>
      <c r="CP130" s="433"/>
      <c r="CQ130" s="433"/>
      <c r="CR130" s="433"/>
      <c r="CS130" s="433"/>
      <c r="CT130" s="433"/>
      <c r="CU130" s="433"/>
      <c r="CV130" s="433"/>
      <c r="CW130" s="433"/>
      <c r="CX130" s="433"/>
      <c r="CY130" s="433"/>
      <c r="CZ130" s="399" t="str">
        <f t="shared" si="22"/>
        <v/>
      </c>
      <c r="DA130" s="399" t="str">
        <f t="shared" si="23"/>
        <v/>
      </c>
      <c r="DB130" s="399" t="str">
        <f t="shared" si="24"/>
        <v/>
      </c>
      <c r="DC130" s="399" t="str">
        <f t="shared" si="25"/>
        <v/>
      </c>
      <c r="DD130" s="399" t="str">
        <f t="shared" si="28"/>
        <v/>
      </c>
      <c r="DE130" s="399" t="str">
        <f t="shared" si="26"/>
        <v/>
      </c>
      <c r="DG130" s="434"/>
      <c r="DH130" s="434"/>
      <c r="DJ130" s="399"/>
    </row>
    <row r="131" spans="8:114" x14ac:dyDescent="0.25">
      <c r="H131" s="416" t="str">
        <f ca="1">IF(IMPORT!C144="","",IMPORT!C144)</f>
        <v/>
      </c>
      <c r="I131" s="416" t="str">
        <f ca="1">IF(IMPORT!D144="","",IMPORT!D144)</f>
        <v/>
      </c>
      <c r="J131" s="416" t="str">
        <f ca="1">IF(IMPORT!E144="","",IMPORT!E144)</f>
        <v/>
      </c>
      <c r="K131" s="416" t="str">
        <f ca="1">IF(IMPORT!F144="","",IMPORT!F144)</f>
        <v/>
      </c>
      <c r="L131" s="416" t="str">
        <f ca="1">IF(IMPORT!G144="","",IMPORT!G144)</f>
        <v/>
      </c>
      <c r="M131" s="416" t="str">
        <f>IF(IMPORT!H144="","",IMPORT!H144)</f>
        <v/>
      </c>
      <c r="N131" s="399" t="str">
        <f t="shared" si="17"/>
        <v/>
      </c>
      <c r="P131" s="406" t="str">
        <f t="shared" si="18"/>
        <v/>
      </c>
      <c r="Q131" s="406" t="str">
        <f t="array" ref="Q131">IFERROR(INDEX($N$1:$N$203,SMALL(IF($N$1:$N$203&lt;&gt;"",ROW($N$1:$N$203)),ROW(129:129))),"")</f>
        <v/>
      </c>
      <c r="R131" s="399" t="str">
        <f t="shared" si="15"/>
        <v/>
      </c>
      <c r="S131" s="399" t="str">
        <f t="shared" si="19"/>
        <v/>
      </c>
      <c r="T131" s="399" t="str">
        <f t="shared" si="20"/>
        <v/>
      </c>
      <c r="U131" s="419" t="str">
        <f t="shared" si="27"/>
        <v/>
      </c>
      <c r="V131" s="433" t="b">
        <v>0</v>
      </c>
      <c r="W131" s="464"/>
      <c r="X131" s="433"/>
      <c r="Y131" s="433" t="s">
        <v>92</v>
      </c>
      <c r="Z131" s="433"/>
      <c r="AA131" s="433"/>
      <c r="AB131" s="433"/>
      <c r="AC131" s="433" t="s">
        <v>1401</v>
      </c>
      <c r="AD131" s="433"/>
      <c r="AE131" s="433" t="s">
        <v>111</v>
      </c>
      <c r="AF131" s="433" t="s">
        <v>299</v>
      </c>
      <c r="AG131" s="433"/>
      <c r="AH131" s="433"/>
      <c r="AI131" s="433"/>
      <c r="AJ131" s="433"/>
      <c r="AK131" s="433"/>
      <c r="AL131" s="433"/>
      <c r="AM131" s="433"/>
      <c r="AN131" s="433"/>
      <c r="AO131" s="433"/>
      <c r="AP131" s="433"/>
      <c r="AQ131" s="433"/>
      <c r="AR131" s="433"/>
      <c r="AS131" s="433" t="b">
        <v>0</v>
      </c>
      <c r="AT131" s="433"/>
      <c r="AU131" s="433"/>
      <c r="AV131" s="433"/>
      <c r="AW131" s="433"/>
      <c r="AX131" s="433"/>
      <c r="AY131" s="433"/>
      <c r="AZ131" s="433"/>
      <c r="BA131" s="433"/>
      <c r="BB131" s="433"/>
      <c r="BC131" s="433"/>
      <c r="BD131" s="433"/>
      <c r="BE131" s="433"/>
      <c r="BF131" s="433"/>
      <c r="BG131" s="433"/>
      <c r="BH131" s="433"/>
      <c r="BI131" s="433"/>
      <c r="BJ131" s="433"/>
      <c r="BK131" s="433"/>
      <c r="BL131" s="433"/>
      <c r="BM131" s="433"/>
      <c r="BN131" s="433"/>
      <c r="BO131" s="433"/>
      <c r="BP131" s="433"/>
      <c r="BQ131" s="433"/>
      <c r="BR131" s="433"/>
      <c r="BS131" s="433"/>
      <c r="BT131" s="433"/>
      <c r="BU131" s="399" t="str">
        <f t="shared" si="21"/>
        <v/>
      </c>
      <c r="BV131" s="433"/>
      <c r="BW131" s="433"/>
      <c r="BX131" s="433"/>
      <c r="BY131" s="433"/>
      <c r="BZ131" s="433"/>
      <c r="CA131" s="433"/>
      <c r="CB131" s="433"/>
      <c r="CC131" s="433"/>
      <c r="CD131" s="433"/>
      <c r="CE131" s="433"/>
      <c r="CF131" s="433"/>
      <c r="CG131" s="433"/>
      <c r="CH131" s="433"/>
      <c r="CI131" s="433"/>
      <c r="CJ131" s="433"/>
      <c r="CK131" s="433"/>
      <c r="CL131" s="433"/>
      <c r="CM131" s="433"/>
      <c r="CN131" s="433"/>
      <c r="CO131" s="433"/>
      <c r="CP131" s="433"/>
      <c r="CQ131" s="433"/>
      <c r="CR131" s="433"/>
      <c r="CS131" s="433"/>
      <c r="CT131" s="433"/>
      <c r="CU131" s="433"/>
      <c r="CV131" s="433"/>
      <c r="CW131" s="433"/>
      <c r="CX131" s="433"/>
      <c r="CY131" s="433"/>
      <c r="CZ131" s="399" t="str">
        <f t="shared" si="22"/>
        <v/>
      </c>
      <c r="DA131" s="399" t="str">
        <f t="shared" si="23"/>
        <v/>
      </c>
      <c r="DB131" s="399" t="str">
        <f t="shared" si="24"/>
        <v/>
      </c>
      <c r="DC131" s="399" t="str">
        <f t="shared" si="25"/>
        <v/>
      </c>
      <c r="DD131" s="399" t="str">
        <f t="shared" si="28"/>
        <v/>
      </c>
      <c r="DE131" s="399" t="str">
        <f t="shared" si="26"/>
        <v/>
      </c>
      <c r="DG131" s="434"/>
      <c r="DH131" s="434"/>
      <c r="DJ131" s="399"/>
    </row>
    <row r="132" spans="8:114" x14ac:dyDescent="0.25">
      <c r="H132" s="416" t="str">
        <f ca="1">IF(IMPORT!C145="","",IMPORT!C145)</f>
        <v/>
      </c>
      <c r="I132" s="416" t="str">
        <f ca="1">IF(IMPORT!D145="","",IMPORT!D145)</f>
        <v/>
      </c>
      <c r="J132" s="416" t="str">
        <f ca="1">IF(IMPORT!E145="","",IMPORT!E145)</f>
        <v/>
      </c>
      <c r="K132" s="416" t="str">
        <f ca="1">IF(IMPORT!F145="","",IMPORT!F145)</f>
        <v/>
      </c>
      <c r="L132" s="416" t="str">
        <f ca="1">IF(IMPORT!G145="","",IMPORT!G145)</f>
        <v/>
      </c>
      <c r="M132" s="416" t="str">
        <f>IF(IMPORT!H145="","",IMPORT!H145)</f>
        <v/>
      </c>
      <c r="N132" s="399" t="str">
        <f t="shared" si="17"/>
        <v/>
      </c>
      <c r="P132" s="406" t="str">
        <f t="shared" si="18"/>
        <v/>
      </c>
      <c r="Q132" s="406" t="str">
        <f t="array" ref="Q132">IFERROR(INDEX($N$1:$N$203,SMALL(IF($N$1:$N$203&lt;&gt;"",ROW($N$1:$N$203)),ROW(130:130))),"")</f>
        <v/>
      </c>
      <c r="R132" s="399" t="str">
        <f t="shared" ref="R132:R195" si="29">IF(OR(TIA_Import="",$P132=""),"",TIA_Import)</f>
        <v/>
      </c>
      <c r="S132" s="399" t="str">
        <f t="shared" si="19"/>
        <v/>
      </c>
      <c r="T132" s="399" t="str">
        <f t="shared" si="20"/>
        <v/>
      </c>
      <c r="U132" s="419" t="str">
        <f t="shared" si="27"/>
        <v/>
      </c>
      <c r="V132" s="433" t="b">
        <v>0</v>
      </c>
      <c r="W132" s="464"/>
      <c r="X132" s="433"/>
      <c r="Y132" s="433" t="s">
        <v>92</v>
      </c>
      <c r="Z132" s="433"/>
      <c r="AA132" s="433"/>
      <c r="AB132" s="433"/>
      <c r="AC132" s="433" t="s">
        <v>1401</v>
      </c>
      <c r="AD132" s="433"/>
      <c r="AE132" s="433" t="s">
        <v>111</v>
      </c>
      <c r="AF132" s="433" t="s">
        <v>299</v>
      </c>
      <c r="AG132" s="433"/>
      <c r="AH132" s="433"/>
      <c r="AI132" s="433"/>
      <c r="AJ132" s="433"/>
      <c r="AK132" s="433"/>
      <c r="AL132" s="433"/>
      <c r="AM132" s="433"/>
      <c r="AN132" s="433"/>
      <c r="AO132" s="433"/>
      <c r="AP132" s="433"/>
      <c r="AQ132" s="433"/>
      <c r="AR132" s="433"/>
      <c r="AS132" s="433" t="b">
        <v>0</v>
      </c>
      <c r="AT132" s="433"/>
      <c r="AU132" s="433"/>
      <c r="AV132" s="433"/>
      <c r="AW132" s="433"/>
      <c r="AX132" s="433"/>
      <c r="AY132" s="433"/>
      <c r="AZ132" s="433"/>
      <c r="BA132" s="433"/>
      <c r="BB132" s="433"/>
      <c r="BC132" s="433"/>
      <c r="BD132" s="433"/>
      <c r="BE132" s="433"/>
      <c r="BF132" s="433"/>
      <c r="BG132" s="433"/>
      <c r="BH132" s="433"/>
      <c r="BI132" s="433"/>
      <c r="BJ132" s="433"/>
      <c r="BK132" s="433"/>
      <c r="BL132" s="433"/>
      <c r="BM132" s="433"/>
      <c r="BN132" s="433"/>
      <c r="BO132" s="433"/>
      <c r="BP132" s="433"/>
      <c r="BQ132" s="433"/>
      <c r="BR132" s="433"/>
      <c r="BS132" s="433"/>
      <c r="BT132" s="433"/>
      <c r="BU132" s="399" t="str">
        <f t="shared" si="21"/>
        <v/>
      </c>
      <c r="BV132" s="433"/>
      <c r="BW132" s="433"/>
      <c r="BX132" s="433"/>
      <c r="BY132" s="433"/>
      <c r="BZ132" s="433"/>
      <c r="CA132" s="433"/>
      <c r="CB132" s="433"/>
      <c r="CC132" s="433"/>
      <c r="CD132" s="433"/>
      <c r="CE132" s="433"/>
      <c r="CF132" s="433"/>
      <c r="CG132" s="433"/>
      <c r="CH132" s="433"/>
      <c r="CI132" s="433"/>
      <c r="CJ132" s="433"/>
      <c r="CK132" s="433"/>
      <c r="CL132" s="433"/>
      <c r="CM132" s="433"/>
      <c r="CN132" s="433"/>
      <c r="CO132" s="433"/>
      <c r="CP132" s="433"/>
      <c r="CQ132" s="433"/>
      <c r="CR132" s="433"/>
      <c r="CS132" s="433"/>
      <c r="CT132" s="433"/>
      <c r="CU132" s="433"/>
      <c r="CV132" s="433"/>
      <c r="CW132" s="433"/>
      <c r="CX132" s="433"/>
      <c r="CY132" s="433"/>
      <c r="CZ132" s="399" t="str">
        <f t="shared" si="22"/>
        <v/>
      </c>
      <c r="DA132" s="399" t="str">
        <f t="shared" si="23"/>
        <v/>
      </c>
      <c r="DB132" s="399" t="str">
        <f t="shared" si="24"/>
        <v/>
      </c>
      <c r="DC132" s="399" t="str">
        <f t="shared" si="25"/>
        <v/>
      </c>
      <c r="DD132" s="399" t="str">
        <f t="shared" ref="DD132:DD163" si="30">IFERROR(IF($P132="","",VLOOKUP($DC132,MaterialGrades,4,0)),"A36")</f>
        <v/>
      </c>
      <c r="DE132" s="399" t="str">
        <f t="shared" si="26"/>
        <v/>
      </c>
      <c r="DG132" s="434"/>
      <c r="DH132" s="434"/>
      <c r="DJ132" s="399"/>
    </row>
    <row r="133" spans="8:114" x14ac:dyDescent="0.25">
      <c r="H133" s="416" t="str">
        <f ca="1">IF(IMPORT!C146="","",IMPORT!C146)</f>
        <v/>
      </c>
      <c r="I133" s="416" t="str">
        <f ca="1">IF(IMPORT!D146="","",IMPORT!D146)</f>
        <v/>
      </c>
      <c r="J133" s="416" t="str">
        <f ca="1">IF(IMPORT!E146="","",IMPORT!E146)</f>
        <v/>
      </c>
      <c r="K133" s="416" t="str">
        <f ca="1">IF(IMPORT!F146="","",IMPORT!F146)</f>
        <v/>
      </c>
      <c r="L133" s="416" t="str">
        <f ca="1">IF(IMPORT!G146="","",IMPORT!G146)</f>
        <v/>
      </c>
      <c r="M133" s="416" t="str">
        <f>IF(IMPORT!H146="","",IMPORT!H146)</f>
        <v/>
      </c>
      <c r="N133" s="399" t="str">
        <f t="shared" ref="N133:N196" si="31">IF($M133&lt;&gt;"Yes","",CONCATENATE(ROUND(I133,1),"ft - ",ROUND(J133,1),"ft"))</f>
        <v/>
      </c>
      <c r="P133" s="406" t="str">
        <f t="shared" ref="P133:P196" si="32">N133</f>
        <v/>
      </c>
      <c r="Q133" s="406" t="str">
        <f t="array" ref="Q133">IFERROR(INDEX($N$1:$N$203,SMALL(IF($N$1:$N$203&lt;&gt;"",ROW($N$1:$N$203)),ROW(131:131))),"")</f>
        <v/>
      </c>
      <c r="R133" s="399" t="str">
        <f t="shared" si="29"/>
        <v/>
      </c>
      <c r="S133" s="399" t="str">
        <f t="shared" ref="S133:S196" si="33">IF($P133="","",INDEX($K$4:$K$203,MATCH($P133,$N$4:$N$203,0)))</f>
        <v/>
      </c>
      <c r="T133" s="399" t="str">
        <f t="shared" ref="T133:T196" si="34">IF($P133="","",INDEX($L$4:$L$203,MATCH($P133,$N$4:$N$203,0)))</f>
        <v/>
      </c>
      <c r="U133" s="419" t="str">
        <f t="shared" si="27"/>
        <v/>
      </c>
      <c r="V133" s="433" t="b">
        <v>0</v>
      </c>
      <c r="W133" s="464"/>
      <c r="X133" s="433"/>
      <c r="Y133" s="433" t="s">
        <v>92</v>
      </c>
      <c r="Z133" s="433"/>
      <c r="AA133" s="433"/>
      <c r="AB133" s="433"/>
      <c r="AC133" s="433" t="s">
        <v>1401</v>
      </c>
      <c r="AD133" s="433"/>
      <c r="AE133" s="433" t="s">
        <v>111</v>
      </c>
      <c r="AF133" s="433" t="s">
        <v>299</v>
      </c>
      <c r="AG133" s="433"/>
      <c r="AH133" s="433"/>
      <c r="AI133" s="433"/>
      <c r="AJ133" s="433"/>
      <c r="AK133" s="433"/>
      <c r="AL133" s="433"/>
      <c r="AM133" s="433"/>
      <c r="AN133" s="433"/>
      <c r="AO133" s="433"/>
      <c r="AP133" s="433"/>
      <c r="AQ133" s="433"/>
      <c r="AR133" s="433"/>
      <c r="AS133" s="433" t="b">
        <v>0</v>
      </c>
      <c r="AT133" s="433"/>
      <c r="AU133" s="433"/>
      <c r="AV133" s="433"/>
      <c r="AW133" s="433"/>
      <c r="AX133" s="433"/>
      <c r="AY133" s="433"/>
      <c r="AZ133" s="433"/>
      <c r="BA133" s="433"/>
      <c r="BB133" s="433"/>
      <c r="BC133" s="433"/>
      <c r="BD133" s="433"/>
      <c r="BE133" s="433"/>
      <c r="BF133" s="433"/>
      <c r="BG133" s="433"/>
      <c r="BH133" s="433"/>
      <c r="BI133" s="433"/>
      <c r="BJ133" s="433"/>
      <c r="BK133" s="433"/>
      <c r="BL133" s="433"/>
      <c r="BM133" s="433"/>
      <c r="BN133" s="433"/>
      <c r="BO133" s="433"/>
      <c r="BP133" s="433"/>
      <c r="BQ133" s="433"/>
      <c r="BR133" s="433"/>
      <c r="BS133" s="433"/>
      <c r="BT133" s="433"/>
      <c r="BU133" s="399" t="str">
        <f t="shared" ref="BU133:BU196" si="35">IF($P133="","",IF($AS133=TRUE,IF(COUNTIF($AT133:$BT133,"")=0,IF(COUNTIF($Y133:$AH133,"")+COUNTIF($AJ133:$AP133,"")&lt;=1,TRUE,FALSE)),IF(COUNTIF($Y133:$AH133,"")+COUNTIF($AJ133:$AP133,"")&lt;=1,TRUE,FALSE)))</f>
        <v/>
      </c>
      <c r="BV133" s="433"/>
      <c r="BW133" s="433"/>
      <c r="BX133" s="433"/>
      <c r="BY133" s="433"/>
      <c r="BZ133" s="433"/>
      <c r="CA133" s="433"/>
      <c r="CB133" s="433"/>
      <c r="CC133" s="433"/>
      <c r="CD133" s="433"/>
      <c r="CE133" s="433"/>
      <c r="CF133" s="433"/>
      <c r="CG133" s="433"/>
      <c r="CH133" s="433"/>
      <c r="CI133" s="433"/>
      <c r="CJ133" s="433"/>
      <c r="CK133" s="433"/>
      <c r="CL133" s="433"/>
      <c r="CM133" s="433"/>
      <c r="CN133" s="433"/>
      <c r="CO133" s="433"/>
      <c r="CP133" s="433"/>
      <c r="CQ133" s="433"/>
      <c r="CR133" s="433"/>
      <c r="CS133" s="433"/>
      <c r="CT133" s="433"/>
      <c r="CU133" s="433"/>
      <c r="CV133" s="433"/>
      <c r="CW133" s="433"/>
      <c r="CX133" s="433"/>
      <c r="CY133" s="433"/>
      <c r="CZ133" s="399" t="str">
        <f t="shared" ref="CZ133:CZ196" si="36">REPLACE(IF($P133="","",INDEX($H$4:$H$203,MATCH($P133,$N$4:$N$203,0))),1,1,"")</f>
        <v/>
      </c>
      <c r="DA133" s="399" t="str">
        <f t="shared" ref="DA133:DA196" si="37">IF($P133="","","Arbitrary Shape")</f>
        <v/>
      </c>
      <c r="DB133" s="399" t="str">
        <f t="shared" ref="DB133:DB196" si="38">IF(OR($P133="",$BU133=FALSE),"",REPLACE($CT133,1,7,""))</f>
        <v/>
      </c>
      <c r="DC133" s="399" t="str">
        <f t="shared" ref="DC133:DC196" si="39">IF($P133="","",MIN($AL133,$AP133))</f>
        <v/>
      </c>
      <c r="DD133" s="399" t="str">
        <f t="shared" si="30"/>
        <v/>
      </c>
      <c r="DE133" s="399" t="str">
        <f t="shared" ref="DE133:DE196" si="40">IFERROR(IF($P133="","",ROUND($CR133,4)),1)</f>
        <v/>
      </c>
      <c r="DG133" s="434"/>
      <c r="DH133" s="434"/>
      <c r="DJ133" s="399"/>
    </row>
    <row r="134" spans="8:114" x14ac:dyDescent="0.25">
      <c r="H134" s="416" t="str">
        <f ca="1">IF(IMPORT!C147="","",IMPORT!C147)</f>
        <v/>
      </c>
      <c r="I134" s="416" t="str">
        <f ca="1">IF(IMPORT!D147="","",IMPORT!D147)</f>
        <v/>
      </c>
      <c r="J134" s="416" t="str">
        <f ca="1">IF(IMPORT!E147="","",IMPORT!E147)</f>
        <v/>
      </c>
      <c r="K134" s="416" t="str">
        <f ca="1">IF(IMPORT!F147="","",IMPORT!F147)</f>
        <v/>
      </c>
      <c r="L134" s="416" t="str">
        <f ca="1">IF(IMPORT!G147="","",IMPORT!G147)</f>
        <v/>
      </c>
      <c r="M134" s="416" t="str">
        <f>IF(IMPORT!H147="","",IMPORT!H147)</f>
        <v/>
      </c>
      <c r="N134" s="399" t="str">
        <f t="shared" si="31"/>
        <v/>
      </c>
      <c r="P134" s="406" t="str">
        <f t="shared" si="32"/>
        <v/>
      </c>
      <c r="Q134" s="406" t="str">
        <f t="array" ref="Q134">IFERROR(INDEX($N$1:$N$203,SMALL(IF($N$1:$N$203&lt;&gt;"",ROW($N$1:$N$203)),ROW(132:132))),"")</f>
        <v/>
      </c>
      <c r="R134" s="399" t="str">
        <f t="shared" si="29"/>
        <v/>
      </c>
      <c r="S134" s="399" t="str">
        <f t="shared" si="33"/>
        <v/>
      </c>
      <c r="T134" s="399" t="str">
        <f t="shared" si="34"/>
        <v/>
      </c>
      <c r="U134" s="419" t="str">
        <f t="shared" si="27"/>
        <v/>
      </c>
      <c r="V134" s="433" t="b">
        <v>0</v>
      </c>
      <c r="W134" s="464"/>
      <c r="X134" s="433"/>
      <c r="Y134" s="433" t="s">
        <v>92</v>
      </c>
      <c r="Z134" s="433"/>
      <c r="AA134" s="433"/>
      <c r="AB134" s="433"/>
      <c r="AC134" s="433" t="s">
        <v>1401</v>
      </c>
      <c r="AD134" s="433"/>
      <c r="AE134" s="433" t="s">
        <v>111</v>
      </c>
      <c r="AF134" s="433" t="s">
        <v>299</v>
      </c>
      <c r="AG134" s="433"/>
      <c r="AH134" s="433"/>
      <c r="AI134" s="433"/>
      <c r="AJ134" s="433"/>
      <c r="AK134" s="433"/>
      <c r="AL134" s="433"/>
      <c r="AM134" s="433"/>
      <c r="AN134" s="433"/>
      <c r="AO134" s="433"/>
      <c r="AP134" s="433"/>
      <c r="AQ134" s="433"/>
      <c r="AR134" s="433"/>
      <c r="AS134" s="433" t="b">
        <v>0</v>
      </c>
      <c r="AT134" s="433"/>
      <c r="AU134" s="433"/>
      <c r="AV134" s="433"/>
      <c r="AW134" s="433"/>
      <c r="AX134" s="433"/>
      <c r="AY134" s="433"/>
      <c r="AZ134" s="433"/>
      <c r="BA134" s="433"/>
      <c r="BB134" s="433"/>
      <c r="BC134" s="433"/>
      <c r="BD134" s="433"/>
      <c r="BE134" s="433"/>
      <c r="BF134" s="433"/>
      <c r="BG134" s="433"/>
      <c r="BH134" s="433"/>
      <c r="BI134" s="433"/>
      <c r="BJ134" s="433"/>
      <c r="BK134" s="433"/>
      <c r="BL134" s="433"/>
      <c r="BM134" s="433"/>
      <c r="BN134" s="433"/>
      <c r="BO134" s="433"/>
      <c r="BP134" s="433"/>
      <c r="BQ134" s="433"/>
      <c r="BR134" s="433"/>
      <c r="BS134" s="433"/>
      <c r="BT134" s="433"/>
      <c r="BU134" s="399" t="str">
        <f t="shared" si="35"/>
        <v/>
      </c>
      <c r="BV134" s="433"/>
      <c r="BW134" s="433"/>
      <c r="BX134" s="433"/>
      <c r="BY134" s="433"/>
      <c r="BZ134" s="433"/>
      <c r="CA134" s="433"/>
      <c r="CB134" s="433"/>
      <c r="CC134" s="433"/>
      <c r="CD134" s="433"/>
      <c r="CE134" s="433"/>
      <c r="CF134" s="433"/>
      <c r="CG134" s="433"/>
      <c r="CH134" s="433"/>
      <c r="CI134" s="433"/>
      <c r="CJ134" s="433"/>
      <c r="CK134" s="433"/>
      <c r="CL134" s="433"/>
      <c r="CM134" s="433"/>
      <c r="CN134" s="433"/>
      <c r="CO134" s="433"/>
      <c r="CP134" s="433"/>
      <c r="CQ134" s="433"/>
      <c r="CR134" s="433"/>
      <c r="CS134" s="433"/>
      <c r="CT134" s="433"/>
      <c r="CU134" s="433"/>
      <c r="CV134" s="433"/>
      <c r="CW134" s="433"/>
      <c r="CX134" s="433"/>
      <c r="CY134" s="433"/>
      <c r="CZ134" s="399" t="str">
        <f t="shared" si="36"/>
        <v/>
      </c>
      <c r="DA134" s="399" t="str">
        <f t="shared" si="37"/>
        <v/>
      </c>
      <c r="DB134" s="399" t="str">
        <f t="shared" si="38"/>
        <v/>
      </c>
      <c r="DC134" s="399" t="str">
        <f t="shared" si="39"/>
        <v/>
      </c>
      <c r="DD134" s="399" t="str">
        <f t="shared" si="30"/>
        <v/>
      </c>
      <c r="DE134" s="399" t="str">
        <f t="shared" si="40"/>
        <v/>
      </c>
      <c r="DG134" s="434"/>
      <c r="DH134" s="434"/>
      <c r="DJ134" s="399"/>
    </row>
    <row r="135" spans="8:114" x14ac:dyDescent="0.25">
      <c r="H135" s="416" t="str">
        <f ca="1">IF(IMPORT!C148="","",IMPORT!C148)</f>
        <v/>
      </c>
      <c r="I135" s="416" t="str">
        <f ca="1">IF(IMPORT!D148="","",IMPORT!D148)</f>
        <v/>
      </c>
      <c r="J135" s="416" t="str">
        <f ca="1">IF(IMPORT!E148="","",IMPORT!E148)</f>
        <v/>
      </c>
      <c r="K135" s="416" t="str">
        <f ca="1">IF(IMPORT!F148="","",IMPORT!F148)</f>
        <v/>
      </c>
      <c r="L135" s="416" t="str">
        <f ca="1">IF(IMPORT!G148="","",IMPORT!G148)</f>
        <v/>
      </c>
      <c r="M135" s="416" t="str">
        <f>IF(IMPORT!H148="","",IMPORT!H148)</f>
        <v/>
      </c>
      <c r="N135" s="399" t="str">
        <f t="shared" si="31"/>
        <v/>
      </c>
      <c r="P135" s="406" t="str">
        <f t="shared" si="32"/>
        <v/>
      </c>
      <c r="Q135" s="406" t="str">
        <f t="array" ref="Q135">IFERROR(INDEX($N$1:$N$203,SMALL(IF($N$1:$N$203&lt;&gt;"",ROW($N$1:$N$203)),ROW(133:133))),"")</f>
        <v/>
      </c>
      <c r="R135" s="399" t="str">
        <f t="shared" si="29"/>
        <v/>
      </c>
      <c r="S135" s="399" t="str">
        <f t="shared" si="33"/>
        <v/>
      </c>
      <c r="T135" s="399" t="str">
        <f t="shared" si="34"/>
        <v/>
      </c>
      <c r="U135" s="419" t="str">
        <f t="shared" si="27"/>
        <v/>
      </c>
      <c r="V135" s="433" t="b">
        <v>0</v>
      </c>
      <c r="W135" s="464"/>
      <c r="X135" s="433"/>
      <c r="Y135" s="433" t="s">
        <v>92</v>
      </c>
      <c r="Z135" s="433"/>
      <c r="AA135" s="433"/>
      <c r="AB135" s="433"/>
      <c r="AC135" s="433" t="s">
        <v>1401</v>
      </c>
      <c r="AD135" s="433"/>
      <c r="AE135" s="433" t="s">
        <v>111</v>
      </c>
      <c r="AF135" s="433" t="s">
        <v>299</v>
      </c>
      <c r="AG135" s="433"/>
      <c r="AH135" s="433"/>
      <c r="AI135" s="433"/>
      <c r="AJ135" s="433"/>
      <c r="AK135" s="433"/>
      <c r="AL135" s="433"/>
      <c r="AM135" s="433"/>
      <c r="AN135" s="433"/>
      <c r="AO135" s="433"/>
      <c r="AP135" s="433"/>
      <c r="AQ135" s="433"/>
      <c r="AR135" s="433"/>
      <c r="AS135" s="433" t="b">
        <v>0</v>
      </c>
      <c r="AT135" s="433"/>
      <c r="AU135" s="433"/>
      <c r="AV135" s="433"/>
      <c r="AW135" s="433"/>
      <c r="AX135" s="433"/>
      <c r="AY135" s="433"/>
      <c r="AZ135" s="433"/>
      <c r="BA135" s="433"/>
      <c r="BB135" s="433"/>
      <c r="BC135" s="433"/>
      <c r="BD135" s="433"/>
      <c r="BE135" s="433"/>
      <c r="BF135" s="433"/>
      <c r="BG135" s="433"/>
      <c r="BH135" s="433"/>
      <c r="BI135" s="433"/>
      <c r="BJ135" s="433"/>
      <c r="BK135" s="433"/>
      <c r="BL135" s="433"/>
      <c r="BM135" s="433"/>
      <c r="BN135" s="433"/>
      <c r="BO135" s="433"/>
      <c r="BP135" s="433"/>
      <c r="BQ135" s="433"/>
      <c r="BR135" s="433"/>
      <c r="BS135" s="433"/>
      <c r="BT135" s="433"/>
      <c r="BU135" s="399" t="str">
        <f t="shared" si="35"/>
        <v/>
      </c>
      <c r="BV135" s="433"/>
      <c r="BW135" s="433"/>
      <c r="BX135" s="433"/>
      <c r="BY135" s="433"/>
      <c r="BZ135" s="433"/>
      <c r="CA135" s="433"/>
      <c r="CB135" s="433"/>
      <c r="CC135" s="433"/>
      <c r="CD135" s="433"/>
      <c r="CE135" s="433"/>
      <c r="CF135" s="433"/>
      <c r="CG135" s="433"/>
      <c r="CH135" s="433"/>
      <c r="CI135" s="433"/>
      <c r="CJ135" s="433"/>
      <c r="CK135" s="433"/>
      <c r="CL135" s="433"/>
      <c r="CM135" s="433"/>
      <c r="CN135" s="433"/>
      <c r="CO135" s="433"/>
      <c r="CP135" s="433"/>
      <c r="CQ135" s="433"/>
      <c r="CR135" s="433"/>
      <c r="CS135" s="433"/>
      <c r="CT135" s="433"/>
      <c r="CU135" s="433"/>
      <c r="CV135" s="433"/>
      <c r="CW135" s="433"/>
      <c r="CX135" s="433"/>
      <c r="CY135" s="433"/>
      <c r="CZ135" s="399" t="str">
        <f t="shared" si="36"/>
        <v/>
      </c>
      <c r="DA135" s="399" t="str">
        <f t="shared" si="37"/>
        <v/>
      </c>
      <c r="DB135" s="399" t="str">
        <f t="shared" si="38"/>
        <v/>
      </c>
      <c r="DC135" s="399" t="str">
        <f t="shared" si="39"/>
        <v/>
      </c>
      <c r="DD135" s="399" t="str">
        <f t="shared" si="30"/>
        <v/>
      </c>
      <c r="DE135" s="399" t="str">
        <f t="shared" si="40"/>
        <v/>
      </c>
      <c r="DG135" s="434"/>
      <c r="DH135" s="434"/>
      <c r="DJ135" s="399"/>
    </row>
    <row r="136" spans="8:114" x14ac:dyDescent="0.25">
      <c r="H136" s="416" t="str">
        <f ca="1">IF(IMPORT!C149="","",IMPORT!C149)</f>
        <v/>
      </c>
      <c r="I136" s="416" t="str">
        <f ca="1">IF(IMPORT!D149="","",IMPORT!D149)</f>
        <v/>
      </c>
      <c r="J136" s="416" t="str">
        <f ca="1">IF(IMPORT!E149="","",IMPORT!E149)</f>
        <v/>
      </c>
      <c r="K136" s="416" t="str">
        <f ca="1">IF(IMPORT!F149="","",IMPORT!F149)</f>
        <v/>
      </c>
      <c r="L136" s="416" t="str">
        <f ca="1">IF(IMPORT!G149="","",IMPORT!G149)</f>
        <v/>
      </c>
      <c r="M136" s="416" t="str">
        <f>IF(IMPORT!H149="","",IMPORT!H149)</f>
        <v/>
      </c>
      <c r="N136" s="399" t="str">
        <f t="shared" si="31"/>
        <v/>
      </c>
      <c r="P136" s="406" t="str">
        <f t="shared" si="32"/>
        <v/>
      </c>
      <c r="Q136" s="406" t="str">
        <f t="array" ref="Q136">IFERROR(INDEX($N$1:$N$203,SMALL(IF($N$1:$N$203&lt;&gt;"",ROW($N$1:$N$203)),ROW(134:134))),"")</f>
        <v/>
      </c>
      <c r="R136" s="399" t="str">
        <f t="shared" si="29"/>
        <v/>
      </c>
      <c r="S136" s="399" t="str">
        <f t="shared" si="33"/>
        <v/>
      </c>
      <c r="T136" s="399" t="str">
        <f t="shared" si="34"/>
        <v/>
      </c>
      <c r="U136" s="419" t="str">
        <f t="shared" si="27"/>
        <v/>
      </c>
      <c r="V136" s="433" t="b">
        <v>0</v>
      </c>
      <c r="W136" s="464"/>
      <c r="X136" s="433"/>
      <c r="Y136" s="433" t="s">
        <v>92</v>
      </c>
      <c r="Z136" s="433"/>
      <c r="AA136" s="433"/>
      <c r="AB136" s="433"/>
      <c r="AC136" s="433" t="s">
        <v>1401</v>
      </c>
      <c r="AD136" s="433"/>
      <c r="AE136" s="433" t="s">
        <v>111</v>
      </c>
      <c r="AF136" s="433" t="s">
        <v>299</v>
      </c>
      <c r="AG136" s="433"/>
      <c r="AH136" s="433"/>
      <c r="AI136" s="433"/>
      <c r="AJ136" s="433"/>
      <c r="AK136" s="433"/>
      <c r="AL136" s="433"/>
      <c r="AM136" s="433"/>
      <c r="AN136" s="433"/>
      <c r="AO136" s="433"/>
      <c r="AP136" s="433"/>
      <c r="AQ136" s="433"/>
      <c r="AR136" s="433"/>
      <c r="AS136" s="433" t="b">
        <v>0</v>
      </c>
      <c r="AT136" s="433"/>
      <c r="AU136" s="433"/>
      <c r="AV136" s="433"/>
      <c r="AW136" s="433"/>
      <c r="AX136" s="433"/>
      <c r="AY136" s="433"/>
      <c r="AZ136" s="433"/>
      <c r="BA136" s="433"/>
      <c r="BB136" s="433"/>
      <c r="BC136" s="433"/>
      <c r="BD136" s="433"/>
      <c r="BE136" s="433"/>
      <c r="BF136" s="433"/>
      <c r="BG136" s="433"/>
      <c r="BH136" s="433"/>
      <c r="BI136" s="433"/>
      <c r="BJ136" s="433"/>
      <c r="BK136" s="433"/>
      <c r="BL136" s="433"/>
      <c r="BM136" s="433"/>
      <c r="BN136" s="433"/>
      <c r="BO136" s="433"/>
      <c r="BP136" s="433"/>
      <c r="BQ136" s="433"/>
      <c r="BR136" s="433"/>
      <c r="BS136" s="433"/>
      <c r="BT136" s="433"/>
      <c r="BU136" s="399" t="str">
        <f t="shared" si="35"/>
        <v/>
      </c>
      <c r="BV136" s="433"/>
      <c r="BW136" s="433"/>
      <c r="BX136" s="433"/>
      <c r="BY136" s="433"/>
      <c r="BZ136" s="433"/>
      <c r="CA136" s="433"/>
      <c r="CB136" s="433"/>
      <c r="CC136" s="433"/>
      <c r="CD136" s="433"/>
      <c r="CE136" s="433"/>
      <c r="CF136" s="433"/>
      <c r="CG136" s="433"/>
      <c r="CH136" s="433"/>
      <c r="CI136" s="433"/>
      <c r="CJ136" s="433"/>
      <c r="CK136" s="433"/>
      <c r="CL136" s="433"/>
      <c r="CM136" s="433"/>
      <c r="CN136" s="433"/>
      <c r="CO136" s="433"/>
      <c r="CP136" s="433"/>
      <c r="CQ136" s="433"/>
      <c r="CR136" s="433"/>
      <c r="CS136" s="433"/>
      <c r="CT136" s="433"/>
      <c r="CU136" s="433"/>
      <c r="CV136" s="433"/>
      <c r="CW136" s="433"/>
      <c r="CX136" s="433"/>
      <c r="CY136" s="433"/>
      <c r="CZ136" s="399" t="str">
        <f t="shared" si="36"/>
        <v/>
      </c>
      <c r="DA136" s="399" t="str">
        <f t="shared" si="37"/>
        <v/>
      </c>
      <c r="DB136" s="399" t="str">
        <f t="shared" si="38"/>
        <v/>
      </c>
      <c r="DC136" s="399" t="str">
        <f t="shared" si="39"/>
        <v/>
      </c>
      <c r="DD136" s="399" t="str">
        <f t="shared" si="30"/>
        <v/>
      </c>
      <c r="DE136" s="399" t="str">
        <f t="shared" si="40"/>
        <v/>
      </c>
      <c r="DG136" s="434"/>
      <c r="DH136" s="434"/>
      <c r="DJ136" s="399"/>
    </row>
    <row r="137" spans="8:114" x14ac:dyDescent="0.25">
      <c r="H137" s="416" t="str">
        <f ca="1">IF(IMPORT!C150="","",IMPORT!C150)</f>
        <v/>
      </c>
      <c r="I137" s="416" t="str">
        <f ca="1">IF(IMPORT!D150="","",IMPORT!D150)</f>
        <v/>
      </c>
      <c r="J137" s="416" t="str">
        <f ca="1">IF(IMPORT!E150="","",IMPORT!E150)</f>
        <v/>
      </c>
      <c r="K137" s="416" t="str">
        <f ca="1">IF(IMPORT!F150="","",IMPORT!F150)</f>
        <v/>
      </c>
      <c r="L137" s="416" t="str">
        <f ca="1">IF(IMPORT!G150="","",IMPORT!G150)</f>
        <v/>
      </c>
      <c r="M137" s="416" t="str">
        <f>IF(IMPORT!H150="","",IMPORT!H150)</f>
        <v/>
      </c>
      <c r="N137" s="399" t="str">
        <f t="shared" si="31"/>
        <v/>
      </c>
      <c r="P137" s="406" t="str">
        <f t="shared" si="32"/>
        <v/>
      </c>
      <c r="Q137" s="406" t="str">
        <f t="array" ref="Q137">IFERROR(INDEX($N$1:$N$203,SMALL(IF($N$1:$N$203&lt;&gt;"",ROW($N$1:$N$203)),ROW(135:135))),"")</f>
        <v/>
      </c>
      <c r="R137" s="399" t="str">
        <f t="shared" si="29"/>
        <v/>
      </c>
      <c r="S137" s="399" t="str">
        <f t="shared" si="33"/>
        <v/>
      </c>
      <c r="T137" s="399" t="str">
        <f t="shared" si="34"/>
        <v/>
      </c>
      <c r="U137" s="419" t="str">
        <f t="shared" si="27"/>
        <v/>
      </c>
      <c r="V137" s="433" t="b">
        <v>0</v>
      </c>
      <c r="W137" s="464"/>
      <c r="X137" s="433"/>
      <c r="Y137" s="433" t="s">
        <v>92</v>
      </c>
      <c r="Z137" s="433"/>
      <c r="AA137" s="433"/>
      <c r="AB137" s="433"/>
      <c r="AC137" s="433" t="s">
        <v>1401</v>
      </c>
      <c r="AD137" s="433"/>
      <c r="AE137" s="433" t="s">
        <v>111</v>
      </c>
      <c r="AF137" s="433" t="s">
        <v>299</v>
      </c>
      <c r="AG137" s="433"/>
      <c r="AH137" s="433"/>
      <c r="AI137" s="433"/>
      <c r="AJ137" s="433"/>
      <c r="AK137" s="433"/>
      <c r="AL137" s="433"/>
      <c r="AM137" s="433"/>
      <c r="AN137" s="433"/>
      <c r="AO137" s="433"/>
      <c r="AP137" s="433"/>
      <c r="AQ137" s="433"/>
      <c r="AR137" s="433"/>
      <c r="AS137" s="433" t="b">
        <v>0</v>
      </c>
      <c r="AT137" s="433"/>
      <c r="AU137" s="433"/>
      <c r="AV137" s="433"/>
      <c r="AW137" s="433"/>
      <c r="AX137" s="433"/>
      <c r="AY137" s="433"/>
      <c r="AZ137" s="433"/>
      <c r="BA137" s="433"/>
      <c r="BB137" s="433"/>
      <c r="BC137" s="433"/>
      <c r="BD137" s="433"/>
      <c r="BE137" s="433"/>
      <c r="BF137" s="433"/>
      <c r="BG137" s="433"/>
      <c r="BH137" s="433"/>
      <c r="BI137" s="433"/>
      <c r="BJ137" s="433"/>
      <c r="BK137" s="433"/>
      <c r="BL137" s="433"/>
      <c r="BM137" s="433"/>
      <c r="BN137" s="433"/>
      <c r="BO137" s="433"/>
      <c r="BP137" s="433"/>
      <c r="BQ137" s="433"/>
      <c r="BR137" s="433"/>
      <c r="BS137" s="433"/>
      <c r="BT137" s="433"/>
      <c r="BU137" s="399" t="str">
        <f t="shared" si="35"/>
        <v/>
      </c>
      <c r="BV137" s="433"/>
      <c r="BW137" s="433"/>
      <c r="BX137" s="433"/>
      <c r="BY137" s="433"/>
      <c r="BZ137" s="433"/>
      <c r="CA137" s="433"/>
      <c r="CB137" s="433"/>
      <c r="CC137" s="433"/>
      <c r="CD137" s="433"/>
      <c r="CE137" s="433"/>
      <c r="CF137" s="433"/>
      <c r="CG137" s="433"/>
      <c r="CH137" s="433"/>
      <c r="CI137" s="433"/>
      <c r="CJ137" s="433"/>
      <c r="CK137" s="433"/>
      <c r="CL137" s="433"/>
      <c r="CM137" s="433"/>
      <c r="CN137" s="433"/>
      <c r="CO137" s="433"/>
      <c r="CP137" s="433"/>
      <c r="CQ137" s="433"/>
      <c r="CR137" s="433"/>
      <c r="CS137" s="433"/>
      <c r="CT137" s="433"/>
      <c r="CU137" s="433"/>
      <c r="CV137" s="433"/>
      <c r="CW137" s="433"/>
      <c r="CX137" s="433"/>
      <c r="CY137" s="433"/>
      <c r="CZ137" s="399" t="str">
        <f t="shared" si="36"/>
        <v/>
      </c>
      <c r="DA137" s="399" t="str">
        <f t="shared" si="37"/>
        <v/>
      </c>
      <c r="DB137" s="399" t="str">
        <f t="shared" si="38"/>
        <v/>
      </c>
      <c r="DC137" s="399" t="str">
        <f t="shared" si="39"/>
        <v/>
      </c>
      <c r="DD137" s="399" t="str">
        <f t="shared" si="30"/>
        <v/>
      </c>
      <c r="DE137" s="399" t="str">
        <f t="shared" si="40"/>
        <v/>
      </c>
      <c r="DG137" s="434"/>
      <c r="DH137" s="434"/>
      <c r="DJ137" s="399"/>
    </row>
    <row r="138" spans="8:114" x14ac:dyDescent="0.25">
      <c r="H138" s="416" t="str">
        <f ca="1">IF(IMPORT!C151="","",IMPORT!C151)</f>
        <v/>
      </c>
      <c r="I138" s="416" t="str">
        <f ca="1">IF(IMPORT!D151="","",IMPORT!D151)</f>
        <v/>
      </c>
      <c r="J138" s="416" t="str">
        <f ca="1">IF(IMPORT!E151="","",IMPORT!E151)</f>
        <v/>
      </c>
      <c r="K138" s="416" t="str">
        <f ca="1">IF(IMPORT!F151="","",IMPORT!F151)</f>
        <v/>
      </c>
      <c r="L138" s="416" t="str">
        <f ca="1">IF(IMPORT!G151="","",IMPORT!G151)</f>
        <v/>
      </c>
      <c r="M138" s="416" t="str">
        <f>IF(IMPORT!H151="","",IMPORT!H151)</f>
        <v/>
      </c>
      <c r="N138" s="399" t="str">
        <f t="shared" si="31"/>
        <v/>
      </c>
      <c r="P138" s="406" t="str">
        <f t="shared" si="32"/>
        <v/>
      </c>
      <c r="Q138" s="406" t="str">
        <f t="array" ref="Q138">IFERROR(INDEX($N$1:$N$203,SMALL(IF($N$1:$N$203&lt;&gt;"",ROW($N$1:$N$203)),ROW(136:136))),"")</f>
        <v/>
      </c>
      <c r="R138" s="399" t="str">
        <f t="shared" si="29"/>
        <v/>
      </c>
      <c r="S138" s="399" t="str">
        <f t="shared" si="33"/>
        <v/>
      </c>
      <c r="T138" s="399" t="str">
        <f t="shared" si="34"/>
        <v/>
      </c>
      <c r="U138" s="419" t="str">
        <f t="shared" si="27"/>
        <v/>
      </c>
      <c r="V138" s="433" t="b">
        <v>0</v>
      </c>
      <c r="W138" s="464"/>
      <c r="X138" s="433"/>
      <c r="Y138" s="433" t="s">
        <v>92</v>
      </c>
      <c r="Z138" s="433"/>
      <c r="AA138" s="433"/>
      <c r="AB138" s="433"/>
      <c r="AC138" s="433" t="s">
        <v>1401</v>
      </c>
      <c r="AD138" s="433"/>
      <c r="AE138" s="433" t="s">
        <v>111</v>
      </c>
      <c r="AF138" s="433" t="s">
        <v>299</v>
      </c>
      <c r="AG138" s="433"/>
      <c r="AH138" s="433"/>
      <c r="AI138" s="433"/>
      <c r="AJ138" s="433"/>
      <c r="AK138" s="433"/>
      <c r="AL138" s="433"/>
      <c r="AM138" s="433"/>
      <c r="AN138" s="433"/>
      <c r="AO138" s="433"/>
      <c r="AP138" s="433"/>
      <c r="AQ138" s="433"/>
      <c r="AR138" s="433"/>
      <c r="AS138" s="433" t="b">
        <v>0</v>
      </c>
      <c r="AT138" s="433"/>
      <c r="AU138" s="433"/>
      <c r="AV138" s="433"/>
      <c r="AW138" s="433"/>
      <c r="AX138" s="433"/>
      <c r="AY138" s="433"/>
      <c r="AZ138" s="433"/>
      <c r="BA138" s="433"/>
      <c r="BB138" s="433"/>
      <c r="BC138" s="433"/>
      <c r="BD138" s="433"/>
      <c r="BE138" s="433"/>
      <c r="BF138" s="433"/>
      <c r="BG138" s="433"/>
      <c r="BH138" s="433"/>
      <c r="BI138" s="433"/>
      <c r="BJ138" s="433"/>
      <c r="BK138" s="433"/>
      <c r="BL138" s="433"/>
      <c r="BM138" s="433"/>
      <c r="BN138" s="433"/>
      <c r="BO138" s="433"/>
      <c r="BP138" s="433"/>
      <c r="BQ138" s="433"/>
      <c r="BR138" s="433"/>
      <c r="BS138" s="433"/>
      <c r="BT138" s="433"/>
      <c r="BU138" s="399" t="str">
        <f t="shared" si="35"/>
        <v/>
      </c>
      <c r="BV138" s="433"/>
      <c r="BW138" s="433"/>
      <c r="BX138" s="433"/>
      <c r="BY138" s="433"/>
      <c r="BZ138" s="433"/>
      <c r="CA138" s="433"/>
      <c r="CB138" s="433"/>
      <c r="CC138" s="433"/>
      <c r="CD138" s="433"/>
      <c r="CE138" s="433"/>
      <c r="CF138" s="433"/>
      <c r="CG138" s="433"/>
      <c r="CH138" s="433"/>
      <c r="CI138" s="433"/>
      <c r="CJ138" s="433"/>
      <c r="CK138" s="433"/>
      <c r="CL138" s="433"/>
      <c r="CM138" s="433"/>
      <c r="CN138" s="433"/>
      <c r="CO138" s="433"/>
      <c r="CP138" s="433"/>
      <c r="CQ138" s="433"/>
      <c r="CR138" s="433"/>
      <c r="CS138" s="433"/>
      <c r="CT138" s="433"/>
      <c r="CU138" s="433"/>
      <c r="CV138" s="433"/>
      <c r="CW138" s="433"/>
      <c r="CX138" s="433"/>
      <c r="CY138" s="433"/>
      <c r="CZ138" s="399" t="str">
        <f t="shared" si="36"/>
        <v/>
      </c>
      <c r="DA138" s="399" t="str">
        <f t="shared" si="37"/>
        <v/>
      </c>
      <c r="DB138" s="399" t="str">
        <f t="shared" si="38"/>
        <v/>
      </c>
      <c r="DC138" s="399" t="str">
        <f t="shared" si="39"/>
        <v/>
      </c>
      <c r="DD138" s="399" t="str">
        <f t="shared" si="30"/>
        <v/>
      </c>
      <c r="DE138" s="399" t="str">
        <f t="shared" si="40"/>
        <v/>
      </c>
      <c r="DG138" s="434"/>
      <c r="DH138" s="434"/>
      <c r="DJ138" s="399"/>
    </row>
    <row r="139" spans="8:114" x14ac:dyDescent="0.25">
      <c r="H139" s="416" t="str">
        <f ca="1">IF(IMPORT!C152="","",IMPORT!C152)</f>
        <v/>
      </c>
      <c r="I139" s="416" t="str">
        <f ca="1">IF(IMPORT!D152="","",IMPORT!D152)</f>
        <v/>
      </c>
      <c r="J139" s="416" t="str">
        <f ca="1">IF(IMPORT!E152="","",IMPORT!E152)</f>
        <v/>
      </c>
      <c r="K139" s="416" t="str">
        <f ca="1">IF(IMPORT!F152="","",IMPORT!F152)</f>
        <v/>
      </c>
      <c r="L139" s="416" t="str">
        <f ca="1">IF(IMPORT!G152="","",IMPORT!G152)</f>
        <v/>
      </c>
      <c r="M139" s="416" t="str">
        <f>IF(IMPORT!H152="","",IMPORT!H152)</f>
        <v/>
      </c>
      <c r="N139" s="399" t="str">
        <f t="shared" si="31"/>
        <v/>
      </c>
      <c r="P139" s="406" t="str">
        <f t="shared" si="32"/>
        <v/>
      </c>
      <c r="Q139" s="406" t="str">
        <f t="array" ref="Q139">IFERROR(INDEX($N$1:$N$203,SMALL(IF($N$1:$N$203&lt;&gt;"",ROW($N$1:$N$203)),ROW(137:137))),"")</f>
        <v/>
      </c>
      <c r="R139" s="399" t="str">
        <f t="shared" si="29"/>
        <v/>
      </c>
      <c r="S139" s="399" t="str">
        <f t="shared" si="33"/>
        <v/>
      </c>
      <c r="T139" s="399" t="str">
        <f t="shared" si="34"/>
        <v/>
      </c>
      <c r="U139" s="419" t="str">
        <f t="shared" si="27"/>
        <v/>
      </c>
      <c r="V139" s="433" t="b">
        <v>0</v>
      </c>
      <c r="W139" s="464"/>
      <c r="X139" s="433"/>
      <c r="Y139" s="433" t="s">
        <v>92</v>
      </c>
      <c r="Z139" s="433"/>
      <c r="AA139" s="433"/>
      <c r="AB139" s="433"/>
      <c r="AC139" s="433" t="s">
        <v>1401</v>
      </c>
      <c r="AD139" s="433"/>
      <c r="AE139" s="433" t="s">
        <v>111</v>
      </c>
      <c r="AF139" s="433" t="s">
        <v>299</v>
      </c>
      <c r="AG139" s="433"/>
      <c r="AH139" s="433"/>
      <c r="AI139" s="433"/>
      <c r="AJ139" s="433"/>
      <c r="AK139" s="433"/>
      <c r="AL139" s="433"/>
      <c r="AM139" s="433"/>
      <c r="AN139" s="433"/>
      <c r="AO139" s="433"/>
      <c r="AP139" s="433"/>
      <c r="AQ139" s="433"/>
      <c r="AR139" s="433"/>
      <c r="AS139" s="433" t="b">
        <v>0</v>
      </c>
      <c r="AT139" s="433"/>
      <c r="AU139" s="433"/>
      <c r="AV139" s="433"/>
      <c r="AW139" s="433"/>
      <c r="AX139" s="433"/>
      <c r="AY139" s="433"/>
      <c r="AZ139" s="433"/>
      <c r="BA139" s="433"/>
      <c r="BB139" s="433"/>
      <c r="BC139" s="433"/>
      <c r="BD139" s="433"/>
      <c r="BE139" s="433"/>
      <c r="BF139" s="433"/>
      <c r="BG139" s="433"/>
      <c r="BH139" s="433"/>
      <c r="BI139" s="433"/>
      <c r="BJ139" s="433"/>
      <c r="BK139" s="433"/>
      <c r="BL139" s="433"/>
      <c r="BM139" s="433"/>
      <c r="BN139" s="433"/>
      <c r="BO139" s="433"/>
      <c r="BP139" s="433"/>
      <c r="BQ139" s="433"/>
      <c r="BR139" s="433"/>
      <c r="BS139" s="433"/>
      <c r="BT139" s="433"/>
      <c r="BU139" s="399" t="str">
        <f t="shared" si="35"/>
        <v/>
      </c>
      <c r="BV139" s="433"/>
      <c r="BW139" s="433"/>
      <c r="BX139" s="433"/>
      <c r="BY139" s="433"/>
      <c r="BZ139" s="433"/>
      <c r="CA139" s="433"/>
      <c r="CB139" s="433"/>
      <c r="CC139" s="433"/>
      <c r="CD139" s="433"/>
      <c r="CE139" s="433"/>
      <c r="CF139" s="433"/>
      <c r="CG139" s="433"/>
      <c r="CH139" s="433"/>
      <c r="CI139" s="433"/>
      <c r="CJ139" s="433"/>
      <c r="CK139" s="433"/>
      <c r="CL139" s="433"/>
      <c r="CM139" s="433"/>
      <c r="CN139" s="433"/>
      <c r="CO139" s="433"/>
      <c r="CP139" s="433"/>
      <c r="CQ139" s="433"/>
      <c r="CR139" s="433"/>
      <c r="CS139" s="433"/>
      <c r="CT139" s="433"/>
      <c r="CU139" s="433"/>
      <c r="CV139" s="433"/>
      <c r="CW139" s="433"/>
      <c r="CX139" s="433"/>
      <c r="CY139" s="433"/>
      <c r="CZ139" s="399" t="str">
        <f t="shared" si="36"/>
        <v/>
      </c>
      <c r="DA139" s="399" t="str">
        <f t="shared" si="37"/>
        <v/>
      </c>
      <c r="DB139" s="399" t="str">
        <f t="shared" si="38"/>
        <v/>
      </c>
      <c r="DC139" s="399" t="str">
        <f t="shared" si="39"/>
        <v/>
      </c>
      <c r="DD139" s="399" t="str">
        <f t="shared" si="30"/>
        <v/>
      </c>
      <c r="DE139" s="399" t="str">
        <f t="shared" si="40"/>
        <v/>
      </c>
      <c r="DG139" s="434"/>
      <c r="DH139" s="434"/>
      <c r="DJ139" s="399"/>
    </row>
    <row r="140" spans="8:114" x14ac:dyDescent="0.25">
      <c r="H140" s="416" t="str">
        <f ca="1">IF(IMPORT!C153="","",IMPORT!C153)</f>
        <v/>
      </c>
      <c r="I140" s="416" t="str">
        <f ca="1">IF(IMPORT!D153="","",IMPORT!D153)</f>
        <v/>
      </c>
      <c r="J140" s="416" t="str">
        <f ca="1">IF(IMPORT!E153="","",IMPORT!E153)</f>
        <v/>
      </c>
      <c r="K140" s="416" t="str">
        <f ca="1">IF(IMPORT!F153="","",IMPORT!F153)</f>
        <v/>
      </c>
      <c r="L140" s="416" t="str">
        <f ca="1">IF(IMPORT!G153="","",IMPORT!G153)</f>
        <v/>
      </c>
      <c r="M140" s="416" t="str">
        <f>IF(IMPORT!H153="","",IMPORT!H153)</f>
        <v/>
      </c>
      <c r="N140" s="399" t="str">
        <f t="shared" si="31"/>
        <v/>
      </c>
      <c r="P140" s="406" t="str">
        <f t="shared" si="32"/>
        <v/>
      </c>
      <c r="Q140" s="406" t="str">
        <f t="array" ref="Q140">IFERROR(INDEX($N$1:$N$203,SMALL(IF($N$1:$N$203&lt;&gt;"",ROW($N$1:$N$203)),ROW(138:138))),"")</f>
        <v/>
      </c>
      <c r="R140" s="399" t="str">
        <f t="shared" si="29"/>
        <v/>
      </c>
      <c r="S140" s="399" t="str">
        <f t="shared" si="33"/>
        <v/>
      </c>
      <c r="T140" s="399" t="str">
        <f t="shared" si="34"/>
        <v/>
      </c>
      <c r="U140" s="419" t="str">
        <f t="shared" si="27"/>
        <v/>
      </c>
      <c r="V140" s="433" t="b">
        <v>0</v>
      </c>
      <c r="W140" s="464"/>
      <c r="X140" s="433"/>
      <c r="Y140" s="433" t="s">
        <v>92</v>
      </c>
      <c r="Z140" s="433"/>
      <c r="AA140" s="433"/>
      <c r="AB140" s="433"/>
      <c r="AC140" s="433" t="s">
        <v>1401</v>
      </c>
      <c r="AD140" s="433"/>
      <c r="AE140" s="433" t="s">
        <v>111</v>
      </c>
      <c r="AF140" s="433" t="s">
        <v>299</v>
      </c>
      <c r="AG140" s="433"/>
      <c r="AH140" s="433"/>
      <c r="AI140" s="433"/>
      <c r="AJ140" s="433"/>
      <c r="AK140" s="433"/>
      <c r="AL140" s="433"/>
      <c r="AM140" s="433"/>
      <c r="AN140" s="433"/>
      <c r="AO140" s="433"/>
      <c r="AP140" s="433"/>
      <c r="AQ140" s="433"/>
      <c r="AR140" s="433"/>
      <c r="AS140" s="433" t="b">
        <v>0</v>
      </c>
      <c r="AT140" s="433"/>
      <c r="AU140" s="433"/>
      <c r="AV140" s="433"/>
      <c r="AW140" s="433"/>
      <c r="AX140" s="433"/>
      <c r="AY140" s="433"/>
      <c r="AZ140" s="433"/>
      <c r="BA140" s="433"/>
      <c r="BB140" s="433"/>
      <c r="BC140" s="433"/>
      <c r="BD140" s="433"/>
      <c r="BE140" s="433"/>
      <c r="BF140" s="433"/>
      <c r="BG140" s="433"/>
      <c r="BH140" s="433"/>
      <c r="BI140" s="433"/>
      <c r="BJ140" s="433"/>
      <c r="BK140" s="433"/>
      <c r="BL140" s="433"/>
      <c r="BM140" s="433"/>
      <c r="BN140" s="433"/>
      <c r="BO140" s="433"/>
      <c r="BP140" s="433"/>
      <c r="BQ140" s="433"/>
      <c r="BR140" s="433"/>
      <c r="BS140" s="433"/>
      <c r="BT140" s="433"/>
      <c r="BU140" s="399" t="str">
        <f t="shared" si="35"/>
        <v/>
      </c>
      <c r="BV140" s="433"/>
      <c r="BW140" s="433"/>
      <c r="BX140" s="433"/>
      <c r="BY140" s="433"/>
      <c r="BZ140" s="433"/>
      <c r="CA140" s="433"/>
      <c r="CB140" s="433"/>
      <c r="CC140" s="433"/>
      <c r="CD140" s="433"/>
      <c r="CE140" s="433"/>
      <c r="CF140" s="433"/>
      <c r="CG140" s="433"/>
      <c r="CH140" s="433"/>
      <c r="CI140" s="433"/>
      <c r="CJ140" s="433"/>
      <c r="CK140" s="433"/>
      <c r="CL140" s="433"/>
      <c r="CM140" s="433"/>
      <c r="CN140" s="433"/>
      <c r="CO140" s="433"/>
      <c r="CP140" s="433"/>
      <c r="CQ140" s="433"/>
      <c r="CR140" s="433"/>
      <c r="CS140" s="433"/>
      <c r="CT140" s="433"/>
      <c r="CU140" s="433"/>
      <c r="CV140" s="433"/>
      <c r="CW140" s="433"/>
      <c r="CX140" s="433"/>
      <c r="CY140" s="433"/>
      <c r="CZ140" s="399" t="str">
        <f t="shared" si="36"/>
        <v/>
      </c>
      <c r="DA140" s="399" t="str">
        <f t="shared" si="37"/>
        <v/>
      </c>
      <c r="DB140" s="399" t="str">
        <f t="shared" si="38"/>
        <v/>
      </c>
      <c r="DC140" s="399" t="str">
        <f t="shared" si="39"/>
        <v/>
      </c>
      <c r="DD140" s="399" t="str">
        <f t="shared" si="30"/>
        <v/>
      </c>
      <c r="DE140" s="399" t="str">
        <f t="shared" si="40"/>
        <v/>
      </c>
      <c r="DG140" s="434"/>
      <c r="DH140" s="434"/>
      <c r="DJ140" s="399"/>
    </row>
    <row r="141" spans="8:114" x14ac:dyDescent="0.25">
      <c r="H141" s="416" t="str">
        <f ca="1">IF(IMPORT!C154="","",IMPORT!C154)</f>
        <v/>
      </c>
      <c r="I141" s="416" t="str">
        <f ca="1">IF(IMPORT!D154="","",IMPORT!D154)</f>
        <v/>
      </c>
      <c r="J141" s="416" t="str">
        <f ca="1">IF(IMPORT!E154="","",IMPORT!E154)</f>
        <v/>
      </c>
      <c r="K141" s="416" t="str">
        <f ca="1">IF(IMPORT!F154="","",IMPORT!F154)</f>
        <v/>
      </c>
      <c r="L141" s="416" t="str">
        <f ca="1">IF(IMPORT!G154="","",IMPORT!G154)</f>
        <v/>
      </c>
      <c r="M141" s="416" t="str">
        <f>IF(IMPORT!H154="","",IMPORT!H154)</f>
        <v/>
      </c>
      <c r="N141" s="399" t="str">
        <f t="shared" si="31"/>
        <v/>
      </c>
      <c r="P141" s="406" t="str">
        <f t="shared" si="32"/>
        <v/>
      </c>
      <c r="Q141" s="406" t="str">
        <f t="array" ref="Q141">IFERROR(INDEX($N$1:$N$203,SMALL(IF($N$1:$N$203&lt;&gt;"",ROW($N$1:$N$203)),ROW(139:139))),"")</f>
        <v/>
      </c>
      <c r="R141" s="399" t="str">
        <f t="shared" si="29"/>
        <v/>
      </c>
      <c r="S141" s="399" t="str">
        <f t="shared" si="33"/>
        <v/>
      </c>
      <c r="T141" s="399" t="str">
        <f t="shared" si="34"/>
        <v/>
      </c>
      <c r="U141" s="419" t="str">
        <f t="shared" ref="U141:U200" si="41">IF(P141="","",TowerTypeImport)</f>
        <v/>
      </c>
      <c r="V141" s="433" t="b">
        <v>0</v>
      </c>
      <c r="W141" s="464"/>
      <c r="X141" s="433"/>
      <c r="Y141" s="433" t="s">
        <v>92</v>
      </c>
      <c r="Z141" s="433"/>
      <c r="AA141" s="433"/>
      <c r="AB141" s="433"/>
      <c r="AC141" s="433" t="s">
        <v>1401</v>
      </c>
      <c r="AD141" s="433"/>
      <c r="AE141" s="433" t="s">
        <v>111</v>
      </c>
      <c r="AF141" s="433" t="s">
        <v>299</v>
      </c>
      <c r="AG141" s="433"/>
      <c r="AH141" s="433"/>
      <c r="AI141" s="433"/>
      <c r="AJ141" s="433"/>
      <c r="AK141" s="433"/>
      <c r="AL141" s="433"/>
      <c r="AM141" s="433"/>
      <c r="AN141" s="433"/>
      <c r="AO141" s="433"/>
      <c r="AP141" s="433"/>
      <c r="AQ141" s="433"/>
      <c r="AR141" s="433"/>
      <c r="AS141" s="433" t="b">
        <v>0</v>
      </c>
      <c r="AT141" s="433"/>
      <c r="AU141" s="433"/>
      <c r="AV141" s="433"/>
      <c r="AW141" s="433"/>
      <c r="AX141" s="433"/>
      <c r="AY141" s="433"/>
      <c r="AZ141" s="433"/>
      <c r="BA141" s="433"/>
      <c r="BB141" s="433"/>
      <c r="BC141" s="433"/>
      <c r="BD141" s="433"/>
      <c r="BE141" s="433"/>
      <c r="BF141" s="433"/>
      <c r="BG141" s="433"/>
      <c r="BH141" s="433"/>
      <c r="BI141" s="433"/>
      <c r="BJ141" s="433"/>
      <c r="BK141" s="433"/>
      <c r="BL141" s="433"/>
      <c r="BM141" s="433"/>
      <c r="BN141" s="433"/>
      <c r="BO141" s="433"/>
      <c r="BP141" s="433"/>
      <c r="BQ141" s="433"/>
      <c r="BR141" s="433"/>
      <c r="BS141" s="433"/>
      <c r="BT141" s="433"/>
      <c r="BU141" s="399" t="str">
        <f t="shared" si="35"/>
        <v/>
      </c>
      <c r="BV141" s="433"/>
      <c r="BW141" s="433"/>
      <c r="BX141" s="433"/>
      <c r="BY141" s="433"/>
      <c r="BZ141" s="433"/>
      <c r="CA141" s="433"/>
      <c r="CB141" s="433"/>
      <c r="CC141" s="433"/>
      <c r="CD141" s="433"/>
      <c r="CE141" s="433"/>
      <c r="CF141" s="433"/>
      <c r="CG141" s="433"/>
      <c r="CH141" s="433"/>
      <c r="CI141" s="433"/>
      <c r="CJ141" s="433"/>
      <c r="CK141" s="433"/>
      <c r="CL141" s="433"/>
      <c r="CM141" s="433"/>
      <c r="CN141" s="433"/>
      <c r="CO141" s="433"/>
      <c r="CP141" s="433"/>
      <c r="CQ141" s="433"/>
      <c r="CR141" s="433"/>
      <c r="CS141" s="433"/>
      <c r="CT141" s="433"/>
      <c r="CU141" s="433"/>
      <c r="CV141" s="433"/>
      <c r="CW141" s="433"/>
      <c r="CX141" s="433"/>
      <c r="CY141" s="433"/>
      <c r="CZ141" s="399" t="str">
        <f t="shared" si="36"/>
        <v/>
      </c>
      <c r="DA141" s="399" t="str">
        <f t="shared" si="37"/>
        <v/>
      </c>
      <c r="DB141" s="399" t="str">
        <f t="shared" si="38"/>
        <v/>
      </c>
      <c r="DC141" s="399" t="str">
        <f t="shared" si="39"/>
        <v/>
      </c>
      <c r="DD141" s="399" t="str">
        <f t="shared" si="30"/>
        <v/>
      </c>
      <c r="DE141" s="399" t="str">
        <f t="shared" si="40"/>
        <v/>
      </c>
      <c r="DG141" s="434"/>
      <c r="DH141" s="434"/>
      <c r="DJ141" s="399"/>
    </row>
    <row r="142" spans="8:114" x14ac:dyDescent="0.25">
      <c r="H142" s="416" t="str">
        <f ca="1">IF(IMPORT!C155="","",IMPORT!C155)</f>
        <v/>
      </c>
      <c r="I142" s="416" t="str">
        <f ca="1">IF(IMPORT!D155="","",IMPORT!D155)</f>
        <v/>
      </c>
      <c r="J142" s="416" t="str">
        <f ca="1">IF(IMPORT!E155="","",IMPORT!E155)</f>
        <v/>
      </c>
      <c r="K142" s="416" t="str">
        <f ca="1">IF(IMPORT!F155="","",IMPORT!F155)</f>
        <v/>
      </c>
      <c r="L142" s="416" t="str">
        <f ca="1">IF(IMPORT!G155="","",IMPORT!G155)</f>
        <v/>
      </c>
      <c r="M142" s="416" t="str">
        <f>IF(IMPORT!H155="","",IMPORT!H155)</f>
        <v/>
      </c>
      <c r="N142" s="399" t="str">
        <f t="shared" si="31"/>
        <v/>
      </c>
      <c r="P142" s="406" t="str">
        <f t="shared" si="32"/>
        <v/>
      </c>
      <c r="Q142" s="406" t="str">
        <f t="array" ref="Q142">IFERROR(INDEX($N$1:$N$203,SMALL(IF($N$1:$N$203&lt;&gt;"",ROW($N$1:$N$203)),ROW(140:140))),"")</f>
        <v/>
      </c>
      <c r="R142" s="399" t="str">
        <f t="shared" si="29"/>
        <v/>
      </c>
      <c r="S142" s="399" t="str">
        <f t="shared" si="33"/>
        <v/>
      </c>
      <c r="T142" s="399" t="str">
        <f t="shared" si="34"/>
        <v/>
      </c>
      <c r="U142" s="419" t="str">
        <f t="shared" si="41"/>
        <v/>
      </c>
      <c r="V142" s="433" t="b">
        <v>0</v>
      </c>
      <c r="W142" s="464"/>
      <c r="X142" s="433"/>
      <c r="Y142" s="433" t="s">
        <v>92</v>
      </c>
      <c r="Z142" s="433"/>
      <c r="AA142" s="433"/>
      <c r="AB142" s="433"/>
      <c r="AC142" s="433" t="s">
        <v>1401</v>
      </c>
      <c r="AD142" s="433"/>
      <c r="AE142" s="433" t="s">
        <v>111</v>
      </c>
      <c r="AF142" s="433" t="s">
        <v>299</v>
      </c>
      <c r="AG142" s="433"/>
      <c r="AH142" s="433"/>
      <c r="AI142" s="433"/>
      <c r="AJ142" s="433"/>
      <c r="AK142" s="433"/>
      <c r="AL142" s="433"/>
      <c r="AM142" s="433"/>
      <c r="AN142" s="433"/>
      <c r="AO142" s="433"/>
      <c r="AP142" s="433"/>
      <c r="AQ142" s="433"/>
      <c r="AR142" s="433"/>
      <c r="AS142" s="433" t="b">
        <v>0</v>
      </c>
      <c r="AT142" s="433"/>
      <c r="AU142" s="433"/>
      <c r="AV142" s="433"/>
      <c r="AW142" s="433"/>
      <c r="AX142" s="433"/>
      <c r="AY142" s="433"/>
      <c r="AZ142" s="433"/>
      <c r="BA142" s="433"/>
      <c r="BB142" s="433"/>
      <c r="BC142" s="433"/>
      <c r="BD142" s="433"/>
      <c r="BE142" s="433"/>
      <c r="BF142" s="433"/>
      <c r="BG142" s="433"/>
      <c r="BH142" s="433"/>
      <c r="BI142" s="433"/>
      <c r="BJ142" s="433"/>
      <c r="BK142" s="433"/>
      <c r="BL142" s="433"/>
      <c r="BM142" s="433"/>
      <c r="BN142" s="433"/>
      <c r="BO142" s="433"/>
      <c r="BP142" s="433"/>
      <c r="BQ142" s="433"/>
      <c r="BR142" s="433"/>
      <c r="BS142" s="433"/>
      <c r="BT142" s="433"/>
      <c r="BU142" s="399" t="str">
        <f t="shared" si="35"/>
        <v/>
      </c>
      <c r="BV142" s="433"/>
      <c r="BW142" s="433"/>
      <c r="BX142" s="433"/>
      <c r="BY142" s="433"/>
      <c r="BZ142" s="433"/>
      <c r="CA142" s="433"/>
      <c r="CB142" s="433"/>
      <c r="CC142" s="433"/>
      <c r="CD142" s="433"/>
      <c r="CE142" s="433"/>
      <c r="CF142" s="433"/>
      <c r="CG142" s="433"/>
      <c r="CH142" s="433"/>
      <c r="CI142" s="433"/>
      <c r="CJ142" s="433"/>
      <c r="CK142" s="433"/>
      <c r="CL142" s="433"/>
      <c r="CM142" s="433"/>
      <c r="CN142" s="433"/>
      <c r="CO142" s="433"/>
      <c r="CP142" s="433"/>
      <c r="CQ142" s="433"/>
      <c r="CR142" s="433"/>
      <c r="CS142" s="433"/>
      <c r="CT142" s="433"/>
      <c r="CU142" s="433"/>
      <c r="CV142" s="433"/>
      <c r="CW142" s="433"/>
      <c r="CX142" s="433"/>
      <c r="CY142" s="433"/>
      <c r="CZ142" s="399" t="str">
        <f t="shared" si="36"/>
        <v/>
      </c>
      <c r="DA142" s="399" t="str">
        <f t="shared" si="37"/>
        <v/>
      </c>
      <c r="DB142" s="399" t="str">
        <f t="shared" si="38"/>
        <v/>
      </c>
      <c r="DC142" s="399" t="str">
        <f t="shared" si="39"/>
        <v/>
      </c>
      <c r="DD142" s="399" t="str">
        <f t="shared" si="30"/>
        <v/>
      </c>
      <c r="DE142" s="399" t="str">
        <f t="shared" si="40"/>
        <v/>
      </c>
      <c r="DG142" s="434"/>
      <c r="DH142" s="434"/>
      <c r="DJ142" s="399"/>
    </row>
    <row r="143" spans="8:114" x14ac:dyDescent="0.25">
      <c r="H143" s="416" t="str">
        <f ca="1">IF(IMPORT!C156="","",IMPORT!C156)</f>
        <v/>
      </c>
      <c r="I143" s="416" t="str">
        <f ca="1">IF(IMPORT!D156="","",IMPORT!D156)</f>
        <v/>
      </c>
      <c r="J143" s="416" t="str">
        <f ca="1">IF(IMPORT!E156="","",IMPORT!E156)</f>
        <v/>
      </c>
      <c r="K143" s="416" t="str">
        <f ca="1">IF(IMPORT!F156="","",IMPORT!F156)</f>
        <v/>
      </c>
      <c r="L143" s="416" t="str">
        <f ca="1">IF(IMPORT!G156="","",IMPORT!G156)</f>
        <v/>
      </c>
      <c r="M143" s="416" t="str">
        <f>IF(IMPORT!H156="","",IMPORT!H156)</f>
        <v/>
      </c>
      <c r="N143" s="399" t="str">
        <f t="shared" si="31"/>
        <v/>
      </c>
      <c r="P143" s="406" t="str">
        <f t="shared" si="32"/>
        <v/>
      </c>
      <c r="Q143" s="406" t="str">
        <f t="array" ref="Q143">IFERROR(INDEX($N$1:$N$203,SMALL(IF($N$1:$N$203&lt;&gt;"",ROW($N$1:$N$203)),ROW(141:141))),"")</f>
        <v/>
      </c>
      <c r="R143" s="399" t="str">
        <f t="shared" si="29"/>
        <v/>
      </c>
      <c r="S143" s="399" t="str">
        <f t="shared" si="33"/>
        <v/>
      </c>
      <c r="T143" s="399" t="str">
        <f t="shared" si="34"/>
        <v/>
      </c>
      <c r="U143" s="419" t="str">
        <f t="shared" si="41"/>
        <v/>
      </c>
      <c r="V143" s="433" t="b">
        <v>0</v>
      </c>
      <c r="W143" s="464"/>
      <c r="X143" s="433"/>
      <c r="Y143" s="433" t="s">
        <v>92</v>
      </c>
      <c r="Z143" s="433"/>
      <c r="AA143" s="433"/>
      <c r="AB143" s="433"/>
      <c r="AC143" s="433" t="s">
        <v>1401</v>
      </c>
      <c r="AD143" s="433"/>
      <c r="AE143" s="433" t="s">
        <v>111</v>
      </c>
      <c r="AF143" s="433" t="s">
        <v>299</v>
      </c>
      <c r="AG143" s="433"/>
      <c r="AH143" s="433"/>
      <c r="AI143" s="433"/>
      <c r="AJ143" s="433"/>
      <c r="AK143" s="433"/>
      <c r="AL143" s="433"/>
      <c r="AM143" s="433"/>
      <c r="AN143" s="433"/>
      <c r="AO143" s="433"/>
      <c r="AP143" s="433"/>
      <c r="AQ143" s="433"/>
      <c r="AR143" s="433"/>
      <c r="AS143" s="433" t="b">
        <v>0</v>
      </c>
      <c r="AT143" s="433"/>
      <c r="AU143" s="433"/>
      <c r="AV143" s="433"/>
      <c r="AW143" s="433"/>
      <c r="AX143" s="433"/>
      <c r="AY143" s="433"/>
      <c r="AZ143" s="433"/>
      <c r="BA143" s="433"/>
      <c r="BB143" s="433"/>
      <c r="BC143" s="433"/>
      <c r="BD143" s="433"/>
      <c r="BE143" s="433"/>
      <c r="BF143" s="433"/>
      <c r="BG143" s="433"/>
      <c r="BH143" s="433"/>
      <c r="BI143" s="433"/>
      <c r="BJ143" s="433"/>
      <c r="BK143" s="433"/>
      <c r="BL143" s="433"/>
      <c r="BM143" s="433"/>
      <c r="BN143" s="433"/>
      <c r="BO143" s="433"/>
      <c r="BP143" s="433"/>
      <c r="BQ143" s="433"/>
      <c r="BR143" s="433"/>
      <c r="BS143" s="433"/>
      <c r="BT143" s="433"/>
      <c r="BU143" s="399" t="str">
        <f t="shared" si="35"/>
        <v/>
      </c>
      <c r="BV143" s="433"/>
      <c r="BW143" s="433"/>
      <c r="BX143" s="433"/>
      <c r="BY143" s="433"/>
      <c r="BZ143" s="433"/>
      <c r="CA143" s="433"/>
      <c r="CB143" s="433"/>
      <c r="CC143" s="433"/>
      <c r="CD143" s="433"/>
      <c r="CE143" s="433"/>
      <c r="CF143" s="433"/>
      <c r="CG143" s="433"/>
      <c r="CH143" s="433"/>
      <c r="CI143" s="433"/>
      <c r="CJ143" s="433"/>
      <c r="CK143" s="433"/>
      <c r="CL143" s="433"/>
      <c r="CM143" s="433"/>
      <c r="CN143" s="433"/>
      <c r="CO143" s="433"/>
      <c r="CP143" s="433"/>
      <c r="CQ143" s="433"/>
      <c r="CR143" s="433"/>
      <c r="CS143" s="433"/>
      <c r="CT143" s="433"/>
      <c r="CU143" s="433"/>
      <c r="CV143" s="433"/>
      <c r="CW143" s="433"/>
      <c r="CX143" s="433"/>
      <c r="CY143" s="433"/>
      <c r="CZ143" s="399" t="str">
        <f t="shared" si="36"/>
        <v/>
      </c>
      <c r="DA143" s="399" t="str">
        <f t="shared" si="37"/>
        <v/>
      </c>
      <c r="DB143" s="399" t="str">
        <f t="shared" si="38"/>
        <v/>
      </c>
      <c r="DC143" s="399" t="str">
        <f t="shared" si="39"/>
        <v/>
      </c>
      <c r="DD143" s="399" t="str">
        <f t="shared" si="30"/>
        <v/>
      </c>
      <c r="DE143" s="399" t="str">
        <f t="shared" si="40"/>
        <v/>
      </c>
      <c r="DG143" s="434"/>
      <c r="DH143" s="434"/>
      <c r="DJ143" s="399"/>
    </row>
    <row r="144" spans="8:114" x14ac:dyDescent="0.25">
      <c r="H144" s="416" t="str">
        <f ca="1">IF(IMPORT!C157="","",IMPORT!C157)</f>
        <v/>
      </c>
      <c r="I144" s="416" t="str">
        <f ca="1">IF(IMPORT!D157="","",IMPORT!D157)</f>
        <v/>
      </c>
      <c r="J144" s="416" t="str">
        <f ca="1">IF(IMPORT!E157="","",IMPORT!E157)</f>
        <v/>
      </c>
      <c r="K144" s="416" t="str">
        <f ca="1">IF(IMPORT!F157="","",IMPORT!F157)</f>
        <v/>
      </c>
      <c r="L144" s="416" t="str">
        <f ca="1">IF(IMPORT!G157="","",IMPORT!G157)</f>
        <v/>
      </c>
      <c r="M144" s="416" t="str">
        <f>IF(IMPORT!H157="","",IMPORT!H157)</f>
        <v/>
      </c>
      <c r="N144" s="399" t="str">
        <f t="shared" si="31"/>
        <v/>
      </c>
      <c r="P144" s="406" t="str">
        <f t="shared" si="32"/>
        <v/>
      </c>
      <c r="Q144" s="406" t="str">
        <f t="array" ref="Q144">IFERROR(INDEX($N$1:$N$203,SMALL(IF($N$1:$N$203&lt;&gt;"",ROW($N$1:$N$203)),ROW(142:142))),"")</f>
        <v/>
      </c>
      <c r="R144" s="399" t="str">
        <f t="shared" si="29"/>
        <v/>
      </c>
      <c r="S144" s="399" t="str">
        <f t="shared" si="33"/>
        <v/>
      </c>
      <c r="T144" s="399" t="str">
        <f t="shared" si="34"/>
        <v/>
      </c>
      <c r="U144" s="419" t="str">
        <f t="shared" si="41"/>
        <v/>
      </c>
      <c r="V144" s="433" t="b">
        <v>0</v>
      </c>
      <c r="W144" s="464"/>
      <c r="X144" s="433"/>
      <c r="Y144" s="433" t="s">
        <v>92</v>
      </c>
      <c r="Z144" s="433"/>
      <c r="AA144" s="433"/>
      <c r="AB144" s="433"/>
      <c r="AC144" s="433" t="s">
        <v>1401</v>
      </c>
      <c r="AD144" s="433"/>
      <c r="AE144" s="433" t="s">
        <v>111</v>
      </c>
      <c r="AF144" s="433" t="s">
        <v>299</v>
      </c>
      <c r="AG144" s="433"/>
      <c r="AH144" s="433"/>
      <c r="AI144" s="433"/>
      <c r="AJ144" s="433"/>
      <c r="AK144" s="433"/>
      <c r="AL144" s="433"/>
      <c r="AM144" s="433"/>
      <c r="AN144" s="433"/>
      <c r="AO144" s="433"/>
      <c r="AP144" s="433"/>
      <c r="AQ144" s="433"/>
      <c r="AR144" s="433"/>
      <c r="AS144" s="433" t="b">
        <v>0</v>
      </c>
      <c r="AT144" s="433"/>
      <c r="AU144" s="433"/>
      <c r="AV144" s="433"/>
      <c r="AW144" s="433"/>
      <c r="AX144" s="433"/>
      <c r="AY144" s="433"/>
      <c r="AZ144" s="433"/>
      <c r="BA144" s="433"/>
      <c r="BB144" s="433"/>
      <c r="BC144" s="433"/>
      <c r="BD144" s="433"/>
      <c r="BE144" s="433"/>
      <c r="BF144" s="433"/>
      <c r="BG144" s="433"/>
      <c r="BH144" s="433"/>
      <c r="BI144" s="433"/>
      <c r="BJ144" s="433"/>
      <c r="BK144" s="433"/>
      <c r="BL144" s="433"/>
      <c r="BM144" s="433"/>
      <c r="BN144" s="433"/>
      <c r="BO144" s="433"/>
      <c r="BP144" s="433"/>
      <c r="BQ144" s="433"/>
      <c r="BR144" s="433"/>
      <c r="BS144" s="433"/>
      <c r="BT144" s="433"/>
      <c r="BU144" s="399" t="str">
        <f t="shared" si="35"/>
        <v/>
      </c>
      <c r="BV144" s="433"/>
      <c r="BW144" s="433"/>
      <c r="BX144" s="433"/>
      <c r="BY144" s="433"/>
      <c r="BZ144" s="433"/>
      <c r="CA144" s="433"/>
      <c r="CB144" s="433"/>
      <c r="CC144" s="433"/>
      <c r="CD144" s="433"/>
      <c r="CE144" s="433"/>
      <c r="CF144" s="433"/>
      <c r="CG144" s="433"/>
      <c r="CH144" s="433"/>
      <c r="CI144" s="433"/>
      <c r="CJ144" s="433"/>
      <c r="CK144" s="433"/>
      <c r="CL144" s="433"/>
      <c r="CM144" s="433"/>
      <c r="CN144" s="433"/>
      <c r="CO144" s="433"/>
      <c r="CP144" s="433"/>
      <c r="CQ144" s="433"/>
      <c r="CR144" s="433"/>
      <c r="CS144" s="433"/>
      <c r="CT144" s="433"/>
      <c r="CU144" s="433"/>
      <c r="CV144" s="433"/>
      <c r="CW144" s="433"/>
      <c r="CX144" s="433"/>
      <c r="CY144" s="433"/>
      <c r="CZ144" s="399" t="str">
        <f t="shared" si="36"/>
        <v/>
      </c>
      <c r="DA144" s="399" t="str">
        <f t="shared" si="37"/>
        <v/>
      </c>
      <c r="DB144" s="399" t="str">
        <f t="shared" si="38"/>
        <v/>
      </c>
      <c r="DC144" s="399" t="str">
        <f t="shared" si="39"/>
        <v/>
      </c>
      <c r="DD144" s="399" t="str">
        <f t="shared" si="30"/>
        <v/>
      </c>
      <c r="DE144" s="399" t="str">
        <f t="shared" si="40"/>
        <v/>
      </c>
      <c r="DG144" s="434"/>
      <c r="DH144" s="434"/>
      <c r="DJ144" s="399"/>
    </row>
    <row r="145" spans="8:114" x14ac:dyDescent="0.25">
      <c r="H145" s="416" t="str">
        <f ca="1">IF(IMPORT!C158="","",IMPORT!C158)</f>
        <v/>
      </c>
      <c r="I145" s="416" t="str">
        <f ca="1">IF(IMPORT!D158="","",IMPORT!D158)</f>
        <v/>
      </c>
      <c r="J145" s="416" t="str">
        <f ca="1">IF(IMPORT!E158="","",IMPORT!E158)</f>
        <v/>
      </c>
      <c r="K145" s="416" t="str">
        <f ca="1">IF(IMPORT!F158="","",IMPORT!F158)</f>
        <v/>
      </c>
      <c r="L145" s="416" t="str">
        <f ca="1">IF(IMPORT!G158="","",IMPORT!G158)</f>
        <v/>
      </c>
      <c r="M145" s="416" t="str">
        <f>IF(IMPORT!H158="","",IMPORT!H158)</f>
        <v/>
      </c>
      <c r="N145" s="399" t="str">
        <f t="shared" si="31"/>
        <v/>
      </c>
      <c r="P145" s="406" t="str">
        <f t="shared" si="32"/>
        <v/>
      </c>
      <c r="Q145" s="406" t="str">
        <f t="array" ref="Q145">IFERROR(INDEX($N$1:$N$203,SMALL(IF($N$1:$N$203&lt;&gt;"",ROW($N$1:$N$203)),ROW(143:143))),"")</f>
        <v/>
      </c>
      <c r="R145" s="399" t="str">
        <f t="shared" si="29"/>
        <v/>
      </c>
      <c r="S145" s="399" t="str">
        <f t="shared" si="33"/>
        <v/>
      </c>
      <c r="T145" s="399" t="str">
        <f t="shared" si="34"/>
        <v/>
      </c>
      <c r="U145" s="419" t="str">
        <f t="shared" si="41"/>
        <v/>
      </c>
      <c r="V145" s="433" t="b">
        <v>0</v>
      </c>
      <c r="W145" s="464"/>
      <c r="X145" s="433"/>
      <c r="Y145" s="433" t="s">
        <v>92</v>
      </c>
      <c r="Z145" s="433"/>
      <c r="AA145" s="433"/>
      <c r="AB145" s="433"/>
      <c r="AC145" s="433" t="s">
        <v>1401</v>
      </c>
      <c r="AD145" s="433"/>
      <c r="AE145" s="433" t="s">
        <v>111</v>
      </c>
      <c r="AF145" s="433" t="s">
        <v>299</v>
      </c>
      <c r="AG145" s="433"/>
      <c r="AH145" s="433"/>
      <c r="AI145" s="433"/>
      <c r="AJ145" s="433"/>
      <c r="AK145" s="433"/>
      <c r="AL145" s="433"/>
      <c r="AM145" s="433"/>
      <c r="AN145" s="433"/>
      <c r="AO145" s="433"/>
      <c r="AP145" s="433"/>
      <c r="AQ145" s="433"/>
      <c r="AR145" s="433"/>
      <c r="AS145" s="433" t="b">
        <v>0</v>
      </c>
      <c r="AT145" s="433"/>
      <c r="AU145" s="433"/>
      <c r="AV145" s="433"/>
      <c r="AW145" s="433"/>
      <c r="AX145" s="433"/>
      <c r="AY145" s="433"/>
      <c r="AZ145" s="433"/>
      <c r="BA145" s="433"/>
      <c r="BB145" s="433"/>
      <c r="BC145" s="433"/>
      <c r="BD145" s="433"/>
      <c r="BE145" s="433"/>
      <c r="BF145" s="433"/>
      <c r="BG145" s="433"/>
      <c r="BH145" s="433"/>
      <c r="BI145" s="433"/>
      <c r="BJ145" s="433"/>
      <c r="BK145" s="433"/>
      <c r="BL145" s="433"/>
      <c r="BM145" s="433"/>
      <c r="BN145" s="433"/>
      <c r="BO145" s="433"/>
      <c r="BP145" s="433"/>
      <c r="BQ145" s="433"/>
      <c r="BR145" s="433"/>
      <c r="BS145" s="433"/>
      <c r="BT145" s="433"/>
      <c r="BU145" s="399" t="str">
        <f t="shared" si="35"/>
        <v/>
      </c>
      <c r="BV145" s="433"/>
      <c r="BW145" s="433"/>
      <c r="BX145" s="433"/>
      <c r="BY145" s="433"/>
      <c r="BZ145" s="433"/>
      <c r="CA145" s="433"/>
      <c r="CB145" s="433"/>
      <c r="CC145" s="433"/>
      <c r="CD145" s="433"/>
      <c r="CE145" s="433"/>
      <c r="CF145" s="433"/>
      <c r="CG145" s="433"/>
      <c r="CH145" s="433"/>
      <c r="CI145" s="433"/>
      <c r="CJ145" s="433"/>
      <c r="CK145" s="433"/>
      <c r="CL145" s="433"/>
      <c r="CM145" s="433"/>
      <c r="CN145" s="433"/>
      <c r="CO145" s="433"/>
      <c r="CP145" s="433"/>
      <c r="CQ145" s="433"/>
      <c r="CR145" s="433"/>
      <c r="CS145" s="433"/>
      <c r="CT145" s="433"/>
      <c r="CU145" s="433"/>
      <c r="CV145" s="433"/>
      <c r="CW145" s="433"/>
      <c r="CX145" s="433"/>
      <c r="CY145" s="433"/>
      <c r="CZ145" s="399" t="str">
        <f t="shared" si="36"/>
        <v/>
      </c>
      <c r="DA145" s="399" t="str">
        <f t="shared" si="37"/>
        <v/>
      </c>
      <c r="DB145" s="399" t="str">
        <f t="shared" si="38"/>
        <v/>
      </c>
      <c r="DC145" s="399" t="str">
        <f t="shared" si="39"/>
        <v/>
      </c>
      <c r="DD145" s="399" t="str">
        <f t="shared" si="30"/>
        <v/>
      </c>
      <c r="DE145" s="399" t="str">
        <f t="shared" si="40"/>
        <v/>
      </c>
      <c r="DG145" s="434"/>
      <c r="DH145" s="434"/>
      <c r="DJ145" s="399"/>
    </row>
    <row r="146" spans="8:114" x14ac:dyDescent="0.25">
      <c r="H146" s="416" t="str">
        <f ca="1">IF(IMPORT!C159="","",IMPORT!C159)</f>
        <v/>
      </c>
      <c r="I146" s="416" t="str">
        <f ca="1">IF(IMPORT!D159="","",IMPORT!D159)</f>
        <v/>
      </c>
      <c r="J146" s="416" t="str">
        <f ca="1">IF(IMPORT!E159="","",IMPORT!E159)</f>
        <v/>
      </c>
      <c r="K146" s="416" t="str">
        <f ca="1">IF(IMPORT!F159="","",IMPORT!F159)</f>
        <v/>
      </c>
      <c r="L146" s="416" t="str">
        <f ca="1">IF(IMPORT!G159="","",IMPORT!G159)</f>
        <v/>
      </c>
      <c r="M146" s="416" t="str">
        <f>IF(IMPORT!H159="","",IMPORT!H159)</f>
        <v/>
      </c>
      <c r="N146" s="399" t="str">
        <f t="shared" si="31"/>
        <v/>
      </c>
      <c r="P146" s="406" t="str">
        <f t="shared" si="32"/>
        <v/>
      </c>
      <c r="Q146" s="406" t="str">
        <f t="array" ref="Q146">IFERROR(INDEX($N$1:$N$203,SMALL(IF($N$1:$N$203&lt;&gt;"",ROW($N$1:$N$203)),ROW(144:144))),"")</f>
        <v/>
      </c>
      <c r="R146" s="399" t="str">
        <f t="shared" si="29"/>
        <v/>
      </c>
      <c r="S146" s="399" t="str">
        <f t="shared" si="33"/>
        <v/>
      </c>
      <c r="T146" s="399" t="str">
        <f t="shared" si="34"/>
        <v/>
      </c>
      <c r="U146" s="419" t="str">
        <f t="shared" si="41"/>
        <v/>
      </c>
      <c r="V146" s="433" t="b">
        <v>0</v>
      </c>
      <c r="W146" s="464"/>
      <c r="X146" s="433"/>
      <c r="Y146" s="433" t="s">
        <v>92</v>
      </c>
      <c r="Z146" s="433"/>
      <c r="AA146" s="433"/>
      <c r="AB146" s="433"/>
      <c r="AC146" s="433" t="s">
        <v>1401</v>
      </c>
      <c r="AD146" s="433"/>
      <c r="AE146" s="433" t="s">
        <v>111</v>
      </c>
      <c r="AF146" s="433" t="s">
        <v>299</v>
      </c>
      <c r="AG146" s="433"/>
      <c r="AH146" s="433"/>
      <c r="AI146" s="433"/>
      <c r="AJ146" s="433"/>
      <c r="AK146" s="433"/>
      <c r="AL146" s="433"/>
      <c r="AM146" s="433"/>
      <c r="AN146" s="433"/>
      <c r="AO146" s="433"/>
      <c r="AP146" s="433"/>
      <c r="AQ146" s="433"/>
      <c r="AR146" s="433"/>
      <c r="AS146" s="433" t="b">
        <v>0</v>
      </c>
      <c r="AT146" s="433"/>
      <c r="AU146" s="433"/>
      <c r="AV146" s="433"/>
      <c r="AW146" s="433"/>
      <c r="AX146" s="433"/>
      <c r="AY146" s="433"/>
      <c r="AZ146" s="433"/>
      <c r="BA146" s="433"/>
      <c r="BB146" s="433"/>
      <c r="BC146" s="433"/>
      <c r="BD146" s="433"/>
      <c r="BE146" s="433"/>
      <c r="BF146" s="433"/>
      <c r="BG146" s="433"/>
      <c r="BH146" s="433"/>
      <c r="BI146" s="433"/>
      <c r="BJ146" s="433"/>
      <c r="BK146" s="433"/>
      <c r="BL146" s="433"/>
      <c r="BM146" s="433"/>
      <c r="BN146" s="433"/>
      <c r="BO146" s="433"/>
      <c r="BP146" s="433"/>
      <c r="BQ146" s="433"/>
      <c r="BR146" s="433"/>
      <c r="BS146" s="433"/>
      <c r="BT146" s="433"/>
      <c r="BU146" s="399" t="str">
        <f t="shared" si="35"/>
        <v/>
      </c>
      <c r="BV146" s="433"/>
      <c r="BW146" s="433"/>
      <c r="BX146" s="433"/>
      <c r="BY146" s="433"/>
      <c r="BZ146" s="433"/>
      <c r="CA146" s="433"/>
      <c r="CB146" s="433"/>
      <c r="CC146" s="433"/>
      <c r="CD146" s="433"/>
      <c r="CE146" s="433"/>
      <c r="CF146" s="433"/>
      <c r="CG146" s="433"/>
      <c r="CH146" s="433"/>
      <c r="CI146" s="433"/>
      <c r="CJ146" s="433"/>
      <c r="CK146" s="433"/>
      <c r="CL146" s="433"/>
      <c r="CM146" s="433"/>
      <c r="CN146" s="433"/>
      <c r="CO146" s="433"/>
      <c r="CP146" s="433"/>
      <c r="CQ146" s="433"/>
      <c r="CR146" s="433"/>
      <c r="CS146" s="433"/>
      <c r="CT146" s="433"/>
      <c r="CU146" s="433"/>
      <c r="CV146" s="433"/>
      <c r="CW146" s="433"/>
      <c r="CX146" s="433"/>
      <c r="CY146" s="433"/>
      <c r="CZ146" s="399" t="str">
        <f t="shared" si="36"/>
        <v/>
      </c>
      <c r="DA146" s="399" t="str">
        <f t="shared" si="37"/>
        <v/>
      </c>
      <c r="DB146" s="399" t="str">
        <f t="shared" si="38"/>
        <v/>
      </c>
      <c r="DC146" s="399" t="str">
        <f t="shared" si="39"/>
        <v/>
      </c>
      <c r="DD146" s="399" t="str">
        <f t="shared" si="30"/>
        <v/>
      </c>
      <c r="DE146" s="399" t="str">
        <f t="shared" si="40"/>
        <v/>
      </c>
      <c r="DG146" s="434"/>
      <c r="DH146" s="434"/>
      <c r="DJ146" s="399"/>
    </row>
    <row r="147" spans="8:114" x14ac:dyDescent="0.25">
      <c r="H147" s="416" t="str">
        <f ca="1">IF(IMPORT!C160="","",IMPORT!C160)</f>
        <v/>
      </c>
      <c r="I147" s="416" t="str">
        <f ca="1">IF(IMPORT!D160="","",IMPORT!D160)</f>
        <v/>
      </c>
      <c r="J147" s="416" t="str">
        <f ca="1">IF(IMPORT!E160="","",IMPORT!E160)</f>
        <v/>
      </c>
      <c r="K147" s="416" t="str">
        <f ca="1">IF(IMPORT!F160="","",IMPORT!F160)</f>
        <v/>
      </c>
      <c r="L147" s="416" t="str">
        <f ca="1">IF(IMPORT!G160="","",IMPORT!G160)</f>
        <v/>
      </c>
      <c r="M147" s="416" t="str">
        <f>IF(IMPORT!H160="","",IMPORT!H160)</f>
        <v/>
      </c>
      <c r="N147" s="399" t="str">
        <f t="shared" si="31"/>
        <v/>
      </c>
      <c r="P147" s="406" t="str">
        <f t="shared" si="32"/>
        <v/>
      </c>
      <c r="Q147" s="406" t="str">
        <f t="array" ref="Q147">IFERROR(INDEX($N$1:$N$203,SMALL(IF($N$1:$N$203&lt;&gt;"",ROW($N$1:$N$203)),ROW(145:145))),"")</f>
        <v/>
      </c>
      <c r="R147" s="399" t="str">
        <f t="shared" si="29"/>
        <v/>
      </c>
      <c r="S147" s="399" t="str">
        <f t="shared" si="33"/>
        <v/>
      </c>
      <c r="T147" s="399" t="str">
        <f t="shared" si="34"/>
        <v/>
      </c>
      <c r="U147" s="419" t="str">
        <f t="shared" si="41"/>
        <v/>
      </c>
      <c r="V147" s="433" t="b">
        <v>0</v>
      </c>
      <c r="W147" s="464"/>
      <c r="X147" s="433"/>
      <c r="Y147" s="433" t="s">
        <v>92</v>
      </c>
      <c r="Z147" s="433"/>
      <c r="AA147" s="433"/>
      <c r="AB147" s="433"/>
      <c r="AC147" s="433" t="s">
        <v>1401</v>
      </c>
      <c r="AD147" s="433"/>
      <c r="AE147" s="433" t="s">
        <v>111</v>
      </c>
      <c r="AF147" s="433" t="s">
        <v>299</v>
      </c>
      <c r="AG147" s="433"/>
      <c r="AH147" s="433"/>
      <c r="AI147" s="433"/>
      <c r="AJ147" s="433"/>
      <c r="AK147" s="433"/>
      <c r="AL147" s="433"/>
      <c r="AM147" s="433"/>
      <c r="AN147" s="433"/>
      <c r="AO147" s="433"/>
      <c r="AP147" s="433"/>
      <c r="AQ147" s="433"/>
      <c r="AR147" s="433"/>
      <c r="AS147" s="433" t="b">
        <v>0</v>
      </c>
      <c r="AT147" s="433"/>
      <c r="AU147" s="433"/>
      <c r="AV147" s="433"/>
      <c r="AW147" s="433"/>
      <c r="AX147" s="433"/>
      <c r="AY147" s="433"/>
      <c r="AZ147" s="433"/>
      <c r="BA147" s="433"/>
      <c r="BB147" s="433"/>
      <c r="BC147" s="433"/>
      <c r="BD147" s="433"/>
      <c r="BE147" s="433"/>
      <c r="BF147" s="433"/>
      <c r="BG147" s="433"/>
      <c r="BH147" s="433"/>
      <c r="BI147" s="433"/>
      <c r="BJ147" s="433"/>
      <c r="BK147" s="433"/>
      <c r="BL147" s="433"/>
      <c r="BM147" s="433"/>
      <c r="BN147" s="433"/>
      <c r="BO147" s="433"/>
      <c r="BP147" s="433"/>
      <c r="BQ147" s="433"/>
      <c r="BR147" s="433"/>
      <c r="BS147" s="433"/>
      <c r="BT147" s="433"/>
      <c r="BU147" s="399" t="str">
        <f t="shared" si="35"/>
        <v/>
      </c>
      <c r="BV147" s="433"/>
      <c r="BW147" s="433"/>
      <c r="BX147" s="433"/>
      <c r="BY147" s="433"/>
      <c r="BZ147" s="433"/>
      <c r="CA147" s="433"/>
      <c r="CB147" s="433"/>
      <c r="CC147" s="433"/>
      <c r="CD147" s="433"/>
      <c r="CE147" s="433"/>
      <c r="CF147" s="433"/>
      <c r="CG147" s="433"/>
      <c r="CH147" s="433"/>
      <c r="CI147" s="433"/>
      <c r="CJ147" s="433"/>
      <c r="CK147" s="433"/>
      <c r="CL147" s="433"/>
      <c r="CM147" s="433"/>
      <c r="CN147" s="433"/>
      <c r="CO147" s="433"/>
      <c r="CP147" s="433"/>
      <c r="CQ147" s="433"/>
      <c r="CR147" s="433"/>
      <c r="CS147" s="433"/>
      <c r="CT147" s="433"/>
      <c r="CU147" s="433"/>
      <c r="CV147" s="433"/>
      <c r="CW147" s="433"/>
      <c r="CX147" s="433"/>
      <c r="CY147" s="433"/>
      <c r="CZ147" s="399" t="str">
        <f t="shared" si="36"/>
        <v/>
      </c>
      <c r="DA147" s="399" t="str">
        <f t="shared" si="37"/>
        <v/>
      </c>
      <c r="DB147" s="399" t="str">
        <f t="shared" si="38"/>
        <v/>
      </c>
      <c r="DC147" s="399" t="str">
        <f t="shared" si="39"/>
        <v/>
      </c>
      <c r="DD147" s="399" t="str">
        <f t="shared" si="30"/>
        <v/>
      </c>
      <c r="DE147" s="399" t="str">
        <f t="shared" si="40"/>
        <v/>
      </c>
      <c r="DG147" s="434"/>
      <c r="DH147" s="434"/>
      <c r="DJ147" s="399"/>
    </row>
    <row r="148" spans="8:114" x14ac:dyDescent="0.25">
      <c r="H148" s="416" t="str">
        <f ca="1">IF(IMPORT!C161="","",IMPORT!C161)</f>
        <v/>
      </c>
      <c r="I148" s="416" t="str">
        <f ca="1">IF(IMPORT!D161="","",IMPORT!D161)</f>
        <v/>
      </c>
      <c r="J148" s="416" t="str">
        <f ca="1">IF(IMPORT!E161="","",IMPORT!E161)</f>
        <v/>
      </c>
      <c r="K148" s="416" t="str">
        <f ca="1">IF(IMPORT!F161="","",IMPORT!F161)</f>
        <v/>
      </c>
      <c r="L148" s="416" t="str">
        <f ca="1">IF(IMPORT!G161="","",IMPORT!G161)</f>
        <v/>
      </c>
      <c r="M148" s="416" t="str">
        <f>IF(IMPORT!H161="","",IMPORT!H161)</f>
        <v/>
      </c>
      <c r="N148" s="399" t="str">
        <f t="shared" si="31"/>
        <v/>
      </c>
      <c r="P148" s="406" t="str">
        <f t="shared" si="32"/>
        <v/>
      </c>
      <c r="Q148" s="406" t="str">
        <f t="array" ref="Q148">IFERROR(INDEX($N$1:$N$203,SMALL(IF($N$1:$N$203&lt;&gt;"",ROW($N$1:$N$203)),ROW(146:146))),"")</f>
        <v/>
      </c>
      <c r="R148" s="399" t="str">
        <f t="shared" si="29"/>
        <v/>
      </c>
      <c r="S148" s="399" t="str">
        <f t="shared" si="33"/>
        <v/>
      </c>
      <c r="T148" s="399" t="str">
        <f t="shared" si="34"/>
        <v/>
      </c>
      <c r="U148" s="419" t="str">
        <f t="shared" si="41"/>
        <v/>
      </c>
      <c r="V148" s="433" t="b">
        <v>0</v>
      </c>
      <c r="W148" s="464"/>
      <c r="X148" s="433"/>
      <c r="Y148" s="433" t="s">
        <v>92</v>
      </c>
      <c r="Z148" s="433"/>
      <c r="AA148" s="433"/>
      <c r="AB148" s="433"/>
      <c r="AC148" s="433" t="s">
        <v>1401</v>
      </c>
      <c r="AD148" s="433"/>
      <c r="AE148" s="433" t="s">
        <v>111</v>
      </c>
      <c r="AF148" s="433" t="s">
        <v>299</v>
      </c>
      <c r="AG148" s="433"/>
      <c r="AH148" s="433"/>
      <c r="AI148" s="433"/>
      <c r="AJ148" s="433"/>
      <c r="AK148" s="433"/>
      <c r="AL148" s="433"/>
      <c r="AM148" s="433"/>
      <c r="AN148" s="433"/>
      <c r="AO148" s="433"/>
      <c r="AP148" s="433"/>
      <c r="AQ148" s="433"/>
      <c r="AR148" s="433"/>
      <c r="AS148" s="433" t="b">
        <v>0</v>
      </c>
      <c r="AT148" s="433"/>
      <c r="AU148" s="433"/>
      <c r="AV148" s="433"/>
      <c r="AW148" s="433"/>
      <c r="AX148" s="433"/>
      <c r="AY148" s="433"/>
      <c r="AZ148" s="433"/>
      <c r="BA148" s="433"/>
      <c r="BB148" s="433"/>
      <c r="BC148" s="433"/>
      <c r="BD148" s="433"/>
      <c r="BE148" s="433"/>
      <c r="BF148" s="433"/>
      <c r="BG148" s="433"/>
      <c r="BH148" s="433"/>
      <c r="BI148" s="433"/>
      <c r="BJ148" s="433"/>
      <c r="BK148" s="433"/>
      <c r="BL148" s="433"/>
      <c r="BM148" s="433"/>
      <c r="BN148" s="433"/>
      <c r="BO148" s="433"/>
      <c r="BP148" s="433"/>
      <c r="BQ148" s="433"/>
      <c r="BR148" s="433"/>
      <c r="BS148" s="433"/>
      <c r="BT148" s="433"/>
      <c r="BU148" s="399" t="str">
        <f t="shared" si="35"/>
        <v/>
      </c>
      <c r="BV148" s="433"/>
      <c r="BW148" s="433"/>
      <c r="BX148" s="433"/>
      <c r="BY148" s="433"/>
      <c r="BZ148" s="433"/>
      <c r="CA148" s="433"/>
      <c r="CB148" s="433"/>
      <c r="CC148" s="433"/>
      <c r="CD148" s="433"/>
      <c r="CE148" s="433"/>
      <c r="CF148" s="433"/>
      <c r="CG148" s="433"/>
      <c r="CH148" s="433"/>
      <c r="CI148" s="433"/>
      <c r="CJ148" s="433"/>
      <c r="CK148" s="433"/>
      <c r="CL148" s="433"/>
      <c r="CM148" s="433"/>
      <c r="CN148" s="433"/>
      <c r="CO148" s="433"/>
      <c r="CP148" s="433"/>
      <c r="CQ148" s="433"/>
      <c r="CR148" s="433"/>
      <c r="CS148" s="433"/>
      <c r="CT148" s="433"/>
      <c r="CU148" s="433"/>
      <c r="CV148" s="433"/>
      <c r="CW148" s="433"/>
      <c r="CX148" s="433"/>
      <c r="CY148" s="433"/>
      <c r="CZ148" s="399" t="str">
        <f t="shared" si="36"/>
        <v/>
      </c>
      <c r="DA148" s="399" t="str">
        <f t="shared" si="37"/>
        <v/>
      </c>
      <c r="DB148" s="399" t="str">
        <f t="shared" si="38"/>
        <v/>
      </c>
      <c r="DC148" s="399" t="str">
        <f t="shared" si="39"/>
        <v/>
      </c>
      <c r="DD148" s="399" t="str">
        <f t="shared" si="30"/>
        <v/>
      </c>
      <c r="DE148" s="399" t="str">
        <f t="shared" si="40"/>
        <v/>
      </c>
      <c r="DG148" s="434"/>
      <c r="DH148" s="434"/>
      <c r="DJ148" s="399"/>
    </row>
    <row r="149" spans="8:114" x14ac:dyDescent="0.25">
      <c r="H149" s="416" t="str">
        <f ca="1">IF(IMPORT!C162="","",IMPORT!C162)</f>
        <v/>
      </c>
      <c r="I149" s="416" t="str">
        <f ca="1">IF(IMPORT!D162="","",IMPORT!D162)</f>
        <v/>
      </c>
      <c r="J149" s="416" t="str">
        <f ca="1">IF(IMPORT!E162="","",IMPORT!E162)</f>
        <v/>
      </c>
      <c r="K149" s="416" t="str">
        <f ca="1">IF(IMPORT!F162="","",IMPORT!F162)</f>
        <v/>
      </c>
      <c r="L149" s="416" t="str">
        <f ca="1">IF(IMPORT!G162="","",IMPORT!G162)</f>
        <v/>
      </c>
      <c r="M149" s="416" t="str">
        <f>IF(IMPORT!H162="","",IMPORT!H162)</f>
        <v/>
      </c>
      <c r="N149" s="399" t="str">
        <f t="shared" si="31"/>
        <v/>
      </c>
      <c r="P149" s="406" t="str">
        <f t="shared" si="32"/>
        <v/>
      </c>
      <c r="Q149" s="406" t="str">
        <f t="array" ref="Q149">IFERROR(INDEX($N$1:$N$203,SMALL(IF($N$1:$N$203&lt;&gt;"",ROW($N$1:$N$203)),ROW(147:147))),"")</f>
        <v/>
      </c>
      <c r="R149" s="399" t="str">
        <f t="shared" si="29"/>
        <v/>
      </c>
      <c r="S149" s="399" t="str">
        <f t="shared" si="33"/>
        <v/>
      </c>
      <c r="T149" s="399" t="str">
        <f t="shared" si="34"/>
        <v/>
      </c>
      <c r="U149" s="419" t="str">
        <f t="shared" si="41"/>
        <v/>
      </c>
      <c r="V149" s="433" t="b">
        <v>0</v>
      </c>
      <c r="W149" s="464"/>
      <c r="X149" s="433"/>
      <c r="Y149" s="433" t="s">
        <v>92</v>
      </c>
      <c r="Z149" s="433"/>
      <c r="AA149" s="433"/>
      <c r="AB149" s="433"/>
      <c r="AC149" s="433" t="s">
        <v>1401</v>
      </c>
      <c r="AD149" s="433"/>
      <c r="AE149" s="433" t="s">
        <v>111</v>
      </c>
      <c r="AF149" s="433" t="s">
        <v>299</v>
      </c>
      <c r="AG149" s="433"/>
      <c r="AH149" s="433"/>
      <c r="AI149" s="433"/>
      <c r="AJ149" s="433"/>
      <c r="AK149" s="433"/>
      <c r="AL149" s="433"/>
      <c r="AM149" s="433"/>
      <c r="AN149" s="433"/>
      <c r="AO149" s="433"/>
      <c r="AP149" s="433"/>
      <c r="AQ149" s="433"/>
      <c r="AR149" s="433"/>
      <c r="AS149" s="433" t="b">
        <v>0</v>
      </c>
      <c r="AT149" s="433"/>
      <c r="AU149" s="433"/>
      <c r="AV149" s="433"/>
      <c r="AW149" s="433"/>
      <c r="AX149" s="433"/>
      <c r="AY149" s="433"/>
      <c r="AZ149" s="433"/>
      <c r="BA149" s="433"/>
      <c r="BB149" s="433"/>
      <c r="BC149" s="433"/>
      <c r="BD149" s="433"/>
      <c r="BE149" s="433"/>
      <c r="BF149" s="433"/>
      <c r="BG149" s="433"/>
      <c r="BH149" s="433"/>
      <c r="BI149" s="433"/>
      <c r="BJ149" s="433"/>
      <c r="BK149" s="433"/>
      <c r="BL149" s="433"/>
      <c r="BM149" s="433"/>
      <c r="BN149" s="433"/>
      <c r="BO149" s="433"/>
      <c r="BP149" s="433"/>
      <c r="BQ149" s="433"/>
      <c r="BR149" s="433"/>
      <c r="BS149" s="433"/>
      <c r="BT149" s="433"/>
      <c r="BU149" s="399" t="str">
        <f t="shared" si="35"/>
        <v/>
      </c>
      <c r="BV149" s="433"/>
      <c r="BW149" s="433"/>
      <c r="BX149" s="433"/>
      <c r="BY149" s="433"/>
      <c r="BZ149" s="433"/>
      <c r="CA149" s="433"/>
      <c r="CB149" s="433"/>
      <c r="CC149" s="433"/>
      <c r="CD149" s="433"/>
      <c r="CE149" s="433"/>
      <c r="CF149" s="433"/>
      <c r="CG149" s="433"/>
      <c r="CH149" s="433"/>
      <c r="CI149" s="433"/>
      <c r="CJ149" s="433"/>
      <c r="CK149" s="433"/>
      <c r="CL149" s="433"/>
      <c r="CM149" s="433"/>
      <c r="CN149" s="433"/>
      <c r="CO149" s="433"/>
      <c r="CP149" s="433"/>
      <c r="CQ149" s="433"/>
      <c r="CR149" s="433"/>
      <c r="CS149" s="433"/>
      <c r="CT149" s="433"/>
      <c r="CU149" s="433"/>
      <c r="CV149" s="433"/>
      <c r="CW149" s="433"/>
      <c r="CX149" s="433"/>
      <c r="CY149" s="433"/>
      <c r="CZ149" s="399" t="str">
        <f t="shared" si="36"/>
        <v/>
      </c>
      <c r="DA149" s="399" t="str">
        <f t="shared" si="37"/>
        <v/>
      </c>
      <c r="DB149" s="399" t="str">
        <f t="shared" si="38"/>
        <v/>
      </c>
      <c r="DC149" s="399" t="str">
        <f t="shared" si="39"/>
        <v/>
      </c>
      <c r="DD149" s="399" t="str">
        <f t="shared" si="30"/>
        <v/>
      </c>
      <c r="DE149" s="399" t="str">
        <f t="shared" si="40"/>
        <v/>
      </c>
      <c r="DG149" s="434"/>
      <c r="DH149" s="434"/>
      <c r="DJ149" s="399"/>
    </row>
    <row r="150" spans="8:114" x14ac:dyDescent="0.25">
      <c r="H150" s="416" t="str">
        <f ca="1">IF(IMPORT!C163="","",IMPORT!C163)</f>
        <v/>
      </c>
      <c r="I150" s="416" t="str">
        <f ca="1">IF(IMPORT!D163="","",IMPORT!D163)</f>
        <v/>
      </c>
      <c r="J150" s="416" t="str">
        <f ca="1">IF(IMPORT!E163="","",IMPORT!E163)</f>
        <v/>
      </c>
      <c r="K150" s="416" t="str">
        <f ca="1">IF(IMPORT!F163="","",IMPORT!F163)</f>
        <v/>
      </c>
      <c r="L150" s="416" t="str">
        <f ca="1">IF(IMPORT!G163="","",IMPORT!G163)</f>
        <v/>
      </c>
      <c r="M150" s="416" t="str">
        <f>IF(IMPORT!H163="","",IMPORT!H163)</f>
        <v/>
      </c>
      <c r="N150" s="399" t="str">
        <f t="shared" si="31"/>
        <v/>
      </c>
      <c r="P150" s="406" t="str">
        <f t="shared" si="32"/>
        <v/>
      </c>
      <c r="Q150" s="406" t="str">
        <f t="array" ref="Q150">IFERROR(INDEX($N$1:$N$203,SMALL(IF($N$1:$N$203&lt;&gt;"",ROW($N$1:$N$203)),ROW(148:148))),"")</f>
        <v/>
      </c>
      <c r="R150" s="399" t="str">
        <f t="shared" si="29"/>
        <v/>
      </c>
      <c r="S150" s="399" t="str">
        <f t="shared" si="33"/>
        <v/>
      </c>
      <c r="T150" s="399" t="str">
        <f t="shared" si="34"/>
        <v/>
      </c>
      <c r="U150" s="419" t="str">
        <f t="shared" si="41"/>
        <v/>
      </c>
      <c r="V150" s="433" t="b">
        <v>0</v>
      </c>
      <c r="W150" s="464"/>
      <c r="X150" s="433"/>
      <c r="Y150" s="433" t="s">
        <v>92</v>
      </c>
      <c r="Z150" s="433"/>
      <c r="AA150" s="433"/>
      <c r="AB150" s="433"/>
      <c r="AC150" s="433" t="s">
        <v>1401</v>
      </c>
      <c r="AD150" s="433"/>
      <c r="AE150" s="433" t="s">
        <v>111</v>
      </c>
      <c r="AF150" s="433" t="s">
        <v>299</v>
      </c>
      <c r="AG150" s="433"/>
      <c r="AH150" s="433"/>
      <c r="AI150" s="433"/>
      <c r="AJ150" s="433"/>
      <c r="AK150" s="433"/>
      <c r="AL150" s="433"/>
      <c r="AM150" s="433"/>
      <c r="AN150" s="433"/>
      <c r="AO150" s="433"/>
      <c r="AP150" s="433"/>
      <c r="AQ150" s="433"/>
      <c r="AR150" s="433"/>
      <c r="AS150" s="433" t="b">
        <v>0</v>
      </c>
      <c r="AT150" s="433"/>
      <c r="AU150" s="433"/>
      <c r="AV150" s="433"/>
      <c r="AW150" s="433"/>
      <c r="AX150" s="433"/>
      <c r="AY150" s="433"/>
      <c r="AZ150" s="433"/>
      <c r="BA150" s="433"/>
      <c r="BB150" s="433"/>
      <c r="BC150" s="433"/>
      <c r="BD150" s="433"/>
      <c r="BE150" s="433"/>
      <c r="BF150" s="433"/>
      <c r="BG150" s="433"/>
      <c r="BH150" s="433"/>
      <c r="BI150" s="433"/>
      <c r="BJ150" s="433"/>
      <c r="BK150" s="433"/>
      <c r="BL150" s="433"/>
      <c r="BM150" s="433"/>
      <c r="BN150" s="433"/>
      <c r="BO150" s="433"/>
      <c r="BP150" s="433"/>
      <c r="BQ150" s="433"/>
      <c r="BR150" s="433"/>
      <c r="BS150" s="433"/>
      <c r="BT150" s="433"/>
      <c r="BU150" s="399" t="str">
        <f t="shared" si="35"/>
        <v/>
      </c>
      <c r="BV150" s="433"/>
      <c r="BW150" s="433"/>
      <c r="BX150" s="433"/>
      <c r="BY150" s="433"/>
      <c r="BZ150" s="433"/>
      <c r="CA150" s="433"/>
      <c r="CB150" s="433"/>
      <c r="CC150" s="433"/>
      <c r="CD150" s="433"/>
      <c r="CE150" s="433"/>
      <c r="CF150" s="433"/>
      <c r="CG150" s="433"/>
      <c r="CH150" s="433"/>
      <c r="CI150" s="433"/>
      <c r="CJ150" s="433"/>
      <c r="CK150" s="433"/>
      <c r="CL150" s="433"/>
      <c r="CM150" s="433"/>
      <c r="CN150" s="433"/>
      <c r="CO150" s="433"/>
      <c r="CP150" s="433"/>
      <c r="CQ150" s="433"/>
      <c r="CR150" s="433"/>
      <c r="CS150" s="433"/>
      <c r="CT150" s="433"/>
      <c r="CU150" s="433"/>
      <c r="CV150" s="433"/>
      <c r="CW150" s="433"/>
      <c r="CX150" s="433"/>
      <c r="CY150" s="433"/>
      <c r="CZ150" s="399" t="str">
        <f t="shared" si="36"/>
        <v/>
      </c>
      <c r="DA150" s="399" t="str">
        <f t="shared" si="37"/>
        <v/>
      </c>
      <c r="DB150" s="399" t="str">
        <f t="shared" si="38"/>
        <v/>
      </c>
      <c r="DC150" s="399" t="str">
        <f t="shared" si="39"/>
        <v/>
      </c>
      <c r="DD150" s="399" t="str">
        <f t="shared" si="30"/>
        <v/>
      </c>
      <c r="DE150" s="399" t="str">
        <f t="shared" si="40"/>
        <v/>
      </c>
      <c r="DG150" s="434"/>
      <c r="DH150" s="434"/>
      <c r="DJ150" s="399"/>
    </row>
    <row r="151" spans="8:114" x14ac:dyDescent="0.25">
      <c r="H151" s="416" t="str">
        <f ca="1">IF(IMPORT!C164="","",IMPORT!C164)</f>
        <v/>
      </c>
      <c r="I151" s="416" t="str">
        <f ca="1">IF(IMPORT!D164="","",IMPORT!D164)</f>
        <v/>
      </c>
      <c r="J151" s="416" t="str">
        <f ca="1">IF(IMPORT!E164="","",IMPORT!E164)</f>
        <v/>
      </c>
      <c r="K151" s="416" t="str">
        <f ca="1">IF(IMPORT!F164="","",IMPORT!F164)</f>
        <v/>
      </c>
      <c r="L151" s="416" t="str">
        <f ca="1">IF(IMPORT!G164="","",IMPORT!G164)</f>
        <v/>
      </c>
      <c r="M151" s="416" t="str">
        <f>IF(IMPORT!H164="","",IMPORT!H164)</f>
        <v/>
      </c>
      <c r="N151" s="399" t="str">
        <f t="shared" si="31"/>
        <v/>
      </c>
      <c r="P151" s="406" t="str">
        <f t="shared" si="32"/>
        <v/>
      </c>
      <c r="Q151" s="406" t="str">
        <f t="array" ref="Q151">IFERROR(INDEX($N$1:$N$203,SMALL(IF($N$1:$N$203&lt;&gt;"",ROW($N$1:$N$203)),ROW(149:149))),"")</f>
        <v/>
      </c>
      <c r="R151" s="399" t="str">
        <f t="shared" si="29"/>
        <v/>
      </c>
      <c r="S151" s="399" t="str">
        <f t="shared" si="33"/>
        <v/>
      </c>
      <c r="T151" s="399" t="str">
        <f t="shared" si="34"/>
        <v/>
      </c>
      <c r="U151" s="419" t="str">
        <f t="shared" si="41"/>
        <v/>
      </c>
      <c r="V151" s="433" t="b">
        <v>0</v>
      </c>
      <c r="W151" s="464"/>
      <c r="X151" s="433"/>
      <c r="Y151" s="433" t="s">
        <v>92</v>
      </c>
      <c r="Z151" s="433"/>
      <c r="AA151" s="433"/>
      <c r="AB151" s="433"/>
      <c r="AC151" s="433" t="s">
        <v>1401</v>
      </c>
      <c r="AD151" s="433"/>
      <c r="AE151" s="433" t="s">
        <v>111</v>
      </c>
      <c r="AF151" s="433" t="s">
        <v>299</v>
      </c>
      <c r="AG151" s="433"/>
      <c r="AH151" s="433"/>
      <c r="AI151" s="433"/>
      <c r="AJ151" s="433"/>
      <c r="AK151" s="433"/>
      <c r="AL151" s="433"/>
      <c r="AM151" s="433"/>
      <c r="AN151" s="433"/>
      <c r="AO151" s="433"/>
      <c r="AP151" s="433"/>
      <c r="AQ151" s="433"/>
      <c r="AR151" s="433"/>
      <c r="AS151" s="433" t="b">
        <v>0</v>
      </c>
      <c r="AT151" s="433"/>
      <c r="AU151" s="433"/>
      <c r="AV151" s="433"/>
      <c r="AW151" s="433"/>
      <c r="AX151" s="433"/>
      <c r="AY151" s="433"/>
      <c r="AZ151" s="433"/>
      <c r="BA151" s="433"/>
      <c r="BB151" s="433"/>
      <c r="BC151" s="433"/>
      <c r="BD151" s="433"/>
      <c r="BE151" s="433"/>
      <c r="BF151" s="433"/>
      <c r="BG151" s="433"/>
      <c r="BH151" s="433"/>
      <c r="BI151" s="433"/>
      <c r="BJ151" s="433"/>
      <c r="BK151" s="433"/>
      <c r="BL151" s="433"/>
      <c r="BM151" s="433"/>
      <c r="BN151" s="433"/>
      <c r="BO151" s="433"/>
      <c r="BP151" s="433"/>
      <c r="BQ151" s="433"/>
      <c r="BR151" s="433"/>
      <c r="BS151" s="433"/>
      <c r="BT151" s="433"/>
      <c r="BU151" s="399" t="str">
        <f t="shared" si="35"/>
        <v/>
      </c>
      <c r="BV151" s="433"/>
      <c r="BW151" s="433"/>
      <c r="BX151" s="433"/>
      <c r="BY151" s="433"/>
      <c r="BZ151" s="433"/>
      <c r="CA151" s="433"/>
      <c r="CB151" s="433"/>
      <c r="CC151" s="433"/>
      <c r="CD151" s="433"/>
      <c r="CE151" s="433"/>
      <c r="CF151" s="433"/>
      <c r="CG151" s="433"/>
      <c r="CH151" s="433"/>
      <c r="CI151" s="433"/>
      <c r="CJ151" s="433"/>
      <c r="CK151" s="433"/>
      <c r="CL151" s="433"/>
      <c r="CM151" s="433"/>
      <c r="CN151" s="433"/>
      <c r="CO151" s="433"/>
      <c r="CP151" s="433"/>
      <c r="CQ151" s="433"/>
      <c r="CR151" s="433"/>
      <c r="CS151" s="433"/>
      <c r="CT151" s="433"/>
      <c r="CU151" s="433"/>
      <c r="CV151" s="433"/>
      <c r="CW151" s="433"/>
      <c r="CX151" s="433"/>
      <c r="CY151" s="433"/>
      <c r="CZ151" s="399" t="str">
        <f t="shared" si="36"/>
        <v/>
      </c>
      <c r="DA151" s="399" t="str">
        <f t="shared" si="37"/>
        <v/>
      </c>
      <c r="DB151" s="399" t="str">
        <f t="shared" si="38"/>
        <v/>
      </c>
      <c r="DC151" s="399" t="str">
        <f t="shared" si="39"/>
        <v/>
      </c>
      <c r="DD151" s="399" t="str">
        <f t="shared" si="30"/>
        <v/>
      </c>
      <c r="DE151" s="399" t="str">
        <f t="shared" si="40"/>
        <v/>
      </c>
      <c r="DG151" s="434"/>
      <c r="DH151" s="434"/>
      <c r="DJ151" s="399"/>
    </row>
    <row r="152" spans="8:114" x14ac:dyDescent="0.25">
      <c r="H152" s="416" t="str">
        <f ca="1">IF(IMPORT!C165="","",IMPORT!C165)</f>
        <v/>
      </c>
      <c r="I152" s="416" t="str">
        <f ca="1">IF(IMPORT!D165="","",IMPORT!D165)</f>
        <v/>
      </c>
      <c r="J152" s="416" t="str">
        <f ca="1">IF(IMPORT!E165="","",IMPORT!E165)</f>
        <v/>
      </c>
      <c r="K152" s="416" t="str">
        <f ca="1">IF(IMPORT!F165="","",IMPORT!F165)</f>
        <v/>
      </c>
      <c r="L152" s="416" t="str">
        <f ca="1">IF(IMPORT!G165="","",IMPORT!G165)</f>
        <v/>
      </c>
      <c r="M152" s="416" t="str">
        <f>IF(IMPORT!H165="","",IMPORT!H165)</f>
        <v/>
      </c>
      <c r="N152" s="399" t="str">
        <f t="shared" si="31"/>
        <v/>
      </c>
      <c r="P152" s="406" t="str">
        <f t="shared" si="32"/>
        <v/>
      </c>
      <c r="Q152" s="406" t="str">
        <f t="array" ref="Q152">IFERROR(INDEX($N$1:$N$203,SMALL(IF($N$1:$N$203&lt;&gt;"",ROW($N$1:$N$203)),ROW(150:150))),"")</f>
        <v/>
      </c>
      <c r="R152" s="399" t="str">
        <f t="shared" si="29"/>
        <v/>
      </c>
      <c r="S152" s="399" t="str">
        <f t="shared" si="33"/>
        <v/>
      </c>
      <c r="T152" s="399" t="str">
        <f t="shared" si="34"/>
        <v/>
      </c>
      <c r="U152" s="419" t="str">
        <f t="shared" si="41"/>
        <v/>
      </c>
      <c r="V152" s="433" t="b">
        <v>0</v>
      </c>
      <c r="W152" s="464"/>
      <c r="X152" s="433"/>
      <c r="Y152" s="433" t="s">
        <v>92</v>
      </c>
      <c r="Z152" s="433"/>
      <c r="AA152" s="433"/>
      <c r="AB152" s="433"/>
      <c r="AC152" s="433" t="s">
        <v>1401</v>
      </c>
      <c r="AD152" s="433"/>
      <c r="AE152" s="433" t="s">
        <v>111</v>
      </c>
      <c r="AF152" s="433" t="s">
        <v>299</v>
      </c>
      <c r="AG152" s="433"/>
      <c r="AH152" s="433"/>
      <c r="AI152" s="433"/>
      <c r="AJ152" s="433"/>
      <c r="AK152" s="433"/>
      <c r="AL152" s="433"/>
      <c r="AM152" s="433"/>
      <c r="AN152" s="433"/>
      <c r="AO152" s="433"/>
      <c r="AP152" s="433"/>
      <c r="AQ152" s="433"/>
      <c r="AR152" s="433"/>
      <c r="AS152" s="433" t="b">
        <v>0</v>
      </c>
      <c r="AT152" s="433"/>
      <c r="AU152" s="433"/>
      <c r="AV152" s="433"/>
      <c r="AW152" s="433"/>
      <c r="AX152" s="433"/>
      <c r="AY152" s="433"/>
      <c r="AZ152" s="433"/>
      <c r="BA152" s="433"/>
      <c r="BB152" s="433"/>
      <c r="BC152" s="433"/>
      <c r="BD152" s="433"/>
      <c r="BE152" s="433"/>
      <c r="BF152" s="433"/>
      <c r="BG152" s="433"/>
      <c r="BH152" s="433"/>
      <c r="BI152" s="433"/>
      <c r="BJ152" s="433"/>
      <c r="BK152" s="433"/>
      <c r="BL152" s="433"/>
      <c r="BM152" s="433"/>
      <c r="BN152" s="433"/>
      <c r="BO152" s="433"/>
      <c r="BP152" s="433"/>
      <c r="BQ152" s="433"/>
      <c r="BR152" s="433"/>
      <c r="BS152" s="433"/>
      <c r="BT152" s="433"/>
      <c r="BU152" s="399" t="str">
        <f t="shared" si="35"/>
        <v/>
      </c>
      <c r="BV152" s="433"/>
      <c r="BW152" s="433"/>
      <c r="BX152" s="433"/>
      <c r="BY152" s="433"/>
      <c r="BZ152" s="433"/>
      <c r="CA152" s="433"/>
      <c r="CB152" s="433"/>
      <c r="CC152" s="433"/>
      <c r="CD152" s="433"/>
      <c r="CE152" s="433"/>
      <c r="CF152" s="433"/>
      <c r="CG152" s="433"/>
      <c r="CH152" s="433"/>
      <c r="CI152" s="433"/>
      <c r="CJ152" s="433"/>
      <c r="CK152" s="433"/>
      <c r="CL152" s="433"/>
      <c r="CM152" s="433"/>
      <c r="CN152" s="433"/>
      <c r="CO152" s="433"/>
      <c r="CP152" s="433"/>
      <c r="CQ152" s="433"/>
      <c r="CR152" s="433"/>
      <c r="CS152" s="433"/>
      <c r="CT152" s="433"/>
      <c r="CU152" s="433"/>
      <c r="CV152" s="433"/>
      <c r="CW152" s="433"/>
      <c r="CX152" s="433"/>
      <c r="CY152" s="433"/>
      <c r="CZ152" s="399" t="str">
        <f t="shared" si="36"/>
        <v/>
      </c>
      <c r="DA152" s="399" t="str">
        <f t="shared" si="37"/>
        <v/>
      </c>
      <c r="DB152" s="399" t="str">
        <f t="shared" si="38"/>
        <v/>
      </c>
      <c r="DC152" s="399" t="str">
        <f t="shared" si="39"/>
        <v/>
      </c>
      <c r="DD152" s="399" t="str">
        <f t="shared" si="30"/>
        <v/>
      </c>
      <c r="DE152" s="399" t="str">
        <f t="shared" si="40"/>
        <v/>
      </c>
      <c r="DG152" s="434"/>
      <c r="DH152" s="434"/>
      <c r="DJ152" s="399"/>
    </row>
    <row r="153" spans="8:114" x14ac:dyDescent="0.25">
      <c r="H153" s="416" t="str">
        <f ca="1">IF(IMPORT!C166="","",IMPORT!C166)</f>
        <v/>
      </c>
      <c r="I153" s="416" t="str">
        <f ca="1">IF(IMPORT!D166="","",IMPORT!D166)</f>
        <v/>
      </c>
      <c r="J153" s="416" t="str">
        <f ca="1">IF(IMPORT!E166="","",IMPORT!E166)</f>
        <v/>
      </c>
      <c r="K153" s="416" t="str">
        <f ca="1">IF(IMPORT!F166="","",IMPORT!F166)</f>
        <v/>
      </c>
      <c r="L153" s="416" t="str">
        <f ca="1">IF(IMPORT!G166="","",IMPORT!G166)</f>
        <v/>
      </c>
      <c r="M153" s="416" t="str">
        <f>IF(IMPORT!H166="","",IMPORT!H166)</f>
        <v/>
      </c>
      <c r="N153" s="399" t="str">
        <f t="shared" si="31"/>
        <v/>
      </c>
      <c r="P153" s="406" t="str">
        <f t="shared" si="32"/>
        <v/>
      </c>
      <c r="Q153" s="406" t="str">
        <f t="array" ref="Q153">IFERROR(INDEX($N$1:$N$203,SMALL(IF($N$1:$N$203&lt;&gt;"",ROW($N$1:$N$203)),ROW(151:151))),"")</f>
        <v/>
      </c>
      <c r="R153" s="399" t="str">
        <f t="shared" si="29"/>
        <v/>
      </c>
      <c r="S153" s="399" t="str">
        <f t="shared" si="33"/>
        <v/>
      </c>
      <c r="T153" s="399" t="str">
        <f t="shared" si="34"/>
        <v/>
      </c>
      <c r="U153" s="419" t="str">
        <f t="shared" si="41"/>
        <v/>
      </c>
      <c r="V153" s="433" t="b">
        <v>0</v>
      </c>
      <c r="W153" s="464"/>
      <c r="X153" s="433"/>
      <c r="Y153" s="433" t="s">
        <v>92</v>
      </c>
      <c r="Z153" s="433"/>
      <c r="AA153" s="433"/>
      <c r="AB153" s="433"/>
      <c r="AC153" s="433" t="s">
        <v>1401</v>
      </c>
      <c r="AD153" s="433"/>
      <c r="AE153" s="433" t="s">
        <v>111</v>
      </c>
      <c r="AF153" s="433" t="s">
        <v>299</v>
      </c>
      <c r="AG153" s="433"/>
      <c r="AH153" s="433"/>
      <c r="AI153" s="433"/>
      <c r="AJ153" s="433"/>
      <c r="AK153" s="433"/>
      <c r="AL153" s="433"/>
      <c r="AM153" s="433"/>
      <c r="AN153" s="433"/>
      <c r="AO153" s="433"/>
      <c r="AP153" s="433"/>
      <c r="AQ153" s="433"/>
      <c r="AR153" s="433"/>
      <c r="AS153" s="433" t="b">
        <v>0</v>
      </c>
      <c r="AT153" s="433"/>
      <c r="AU153" s="433"/>
      <c r="AV153" s="433"/>
      <c r="AW153" s="433"/>
      <c r="AX153" s="433"/>
      <c r="AY153" s="433"/>
      <c r="AZ153" s="433"/>
      <c r="BA153" s="433"/>
      <c r="BB153" s="433"/>
      <c r="BC153" s="433"/>
      <c r="BD153" s="433"/>
      <c r="BE153" s="433"/>
      <c r="BF153" s="433"/>
      <c r="BG153" s="433"/>
      <c r="BH153" s="433"/>
      <c r="BI153" s="433"/>
      <c r="BJ153" s="433"/>
      <c r="BK153" s="433"/>
      <c r="BL153" s="433"/>
      <c r="BM153" s="433"/>
      <c r="BN153" s="433"/>
      <c r="BO153" s="433"/>
      <c r="BP153" s="433"/>
      <c r="BQ153" s="433"/>
      <c r="BR153" s="433"/>
      <c r="BS153" s="433"/>
      <c r="BT153" s="433"/>
      <c r="BU153" s="399" t="str">
        <f t="shared" si="35"/>
        <v/>
      </c>
      <c r="BV153" s="433"/>
      <c r="BW153" s="433"/>
      <c r="BX153" s="433"/>
      <c r="BY153" s="433"/>
      <c r="BZ153" s="433"/>
      <c r="CA153" s="433"/>
      <c r="CB153" s="433"/>
      <c r="CC153" s="433"/>
      <c r="CD153" s="433"/>
      <c r="CE153" s="433"/>
      <c r="CF153" s="433"/>
      <c r="CG153" s="433"/>
      <c r="CH153" s="433"/>
      <c r="CI153" s="433"/>
      <c r="CJ153" s="433"/>
      <c r="CK153" s="433"/>
      <c r="CL153" s="433"/>
      <c r="CM153" s="433"/>
      <c r="CN153" s="433"/>
      <c r="CO153" s="433"/>
      <c r="CP153" s="433"/>
      <c r="CQ153" s="433"/>
      <c r="CR153" s="433"/>
      <c r="CS153" s="433"/>
      <c r="CT153" s="433"/>
      <c r="CU153" s="433"/>
      <c r="CV153" s="433"/>
      <c r="CW153" s="433"/>
      <c r="CX153" s="433"/>
      <c r="CY153" s="433"/>
      <c r="CZ153" s="399" t="str">
        <f t="shared" si="36"/>
        <v/>
      </c>
      <c r="DA153" s="399" t="str">
        <f t="shared" si="37"/>
        <v/>
      </c>
      <c r="DB153" s="399" t="str">
        <f t="shared" si="38"/>
        <v/>
      </c>
      <c r="DC153" s="399" t="str">
        <f t="shared" si="39"/>
        <v/>
      </c>
      <c r="DD153" s="399" t="str">
        <f t="shared" si="30"/>
        <v/>
      </c>
      <c r="DE153" s="399" t="str">
        <f t="shared" si="40"/>
        <v/>
      </c>
      <c r="DG153" s="434"/>
      <c r="DH153" s="434"/>
      <c r="DJ153" s="399"/>
    </row>
    <row r="154" spans="8:114" x14ac:dyDescent="0.25">
      <c r="H154" s="416" t="str">
        <f ca="1">IF(IMPORT!C167="","",IMPORT!C167)</f>
        <v/>
      </c>
      <c r="I154" s="416" t="str">
        <f ca="1">IF(IMPORT!D167="","",IMPORT!D167)</f>
        <v/>
      </c>
      <c r="J154" s="416" t="str">
        <f ca="1">IF(IMPORT!E167="","",IMPORT!E167)</f>
        <v/>
      </c>
      <c r="K154" s="416" t="str">
        <f ca="1">IF(IMPORT!F167="","",IMPORT!F167)</f>
        <v/>
      </c>
      <c r="L154" s="416" t="str">
        <f ca="1">IF(IMPORT!G167="","",IMPORT!G167)</f>
        <v/>
      </c>
      <c r="M154" s="416" t="str">
        <f>IF(IMPORT!H167="","",IMPORT!H167)</f>
        <v/>
      </c>
      <c r="N154" s="399" t="str">
        <f t="shared" si="31"/>
        <v/>
      </c>
      <c r="P154" s="406" t="str">
        <f t="shared" si="32"/>
        <v/>
      </c>
      <c r="Q154" s="406" t="str">
        <f t="array" ref="Q154">IFERROR(INDEX($N$1:$N$203,SMALL(IF($N$1:$N$203&lt;&gt;"",ROW($N$1:$N$203)),ROW(152:152))),"")</f>
        <v/>
      </c>
      <c r="R154" s="399" t="str">
        <f t="shared" si="29"/>
        <v/>
      </c>
      <c r="S154" s="399" t="str">
        <f t="shared" si="33"/>
        <v/>
      </c>
      <c r="T154" s="399" t="str">
        <f t="shared" si="34"/>
        <v/>
      </c>
      <c r="U154" s="419" t="str">
        <f t="shared" si="41"/>
        <v/>
      </c>
      <c r="V154" s="433" t="b">
        <v>0</v>
      </c>
      <c r="W154" s="464"/>
      <c r="X154" s="433"/>
      <c r="Y154" s="433" t="s">
        <v>92</v>
      </c>
      <c r="Z154" s="433"/>
      <c r="AA154" s="433"/>
      <c r="AB154" s="433"/>
      <c r="AC154" s="433" t="s">
        <v>1401</v>
      </c>
      <c r="AD154" s="433"/>
      <c r="AE154" s="433" t="s">
        <v>111</v>
      </c>
      <c r="AF154" s="433" t="s">
        <v>299</v>
      </c>
      <c r="AG154" s="433"/>
      <c r="AH154" s="433"/>
      <c r="AI154" s="433"/>
      <c r="AJ154" s="433"/>
      <c r="AK154" s="433"/>
      <c r="AL154" s="433"/>
      <c r="AM154" s="433"/>
      <c r="AN154" s="433"/>
      <c r="AO154" s="433"/>
      <c r="AP154" s="433"/>
      <c r="AQ154" s="433"/>
      <c r="AR154" s="433"/>
      <c r="AS154" s="433" t="b">
        <v>0</v>
      </c>
      <c r="AT154" s="433"/>
      <c r="AU154" s="433"/>
      <c r="AV154" s="433"/>
      <c r="AW154" s="433"/>
      <c r="AX154" s="433"/>
      <c r="AY154" s="433"/>
      <c r="AZ154" s="433"/>
      <c r="BA154" s="433"/>
      <c r="BB154" s="433"/>
      <c r="BC154" s="433"/>
      <c r="BD154" s="433"/>
      <c r="BE154" s="433"/>
      <c r="BF154" s="433"/>
      <c r="BG154" s="433"/>
      <c r="BH154" s="433"/>
      <c r="BI154" s="433"/>
      <c r="BJ154" s="433"/>
      <c r="BK154" s="433"/>
      <c r="BL154" s="433"/>
      <c r="BM154" s="433"/>
      <c r="BN154" s="433"/>
      <c r="BO154" s="433"/>
      <c r="BP154" s="433"/>
      <c r="BQ154" s="433"/>
      <c r="BR154" s="433"/>
      <c r="BS154" s="433"/>
      <c r="BT154" s="433"/>
      <c r="BU154" s="399" t="str">
        <f t="shared" si="35"/>
        <v/>
      </c>
      <c r="BV154" s="433"/>
      <c r="BW154" s="433"/>
      <c r="BX154" s="433"/>
      <c r="BY154" s="433"/>
      <c r="BZ154" s="433"/>
      <c r="CA154" s="433"/>
      <c r="CB154" s="433"/>
      <c r="CC154" s="433"/>
      <c r="CD154" s="433"/>
      <c r="CE154" s="433"/>
      <c r="CF154" s="433"/>
      <c r="CG154" s="433"/>
      <c r="CH154" s="433"/>
      <c r="CI154" s="433"/>
      <c r="CJ154" s="433"/>
      <c r="CK154" s="433"/>
      <c r="CL154" s="433"/>
      <c r="CM154" s="433"/>
      <c r="CN154" s="433"/>
      <c r="CO154" s="433"/>
      <c r="CP154" s="433"/>
      <c r="CQ154" s="433"/>
      <c r="CR154" s="433"/>
      <c r="CS154" s="433"/>
      <c r="CT154" s="433"/>
      <c r="CU154" s="433"/>
      <c r="CV154" s="433"/>
      <c r="CW154" s="433"/>
      <c r="CX154" s="433"/>
      <c r="CY154" s="433"/>
      <c r="CZ154" s="399" t="str">
        <f t="shared" si="36"/>
        <v/>
      </c>
      <c r="DA154" s="399" t="str">
        <f t="shared" si="37"/>
        <v/>
      </c>
      <c r="DB154" s="399" t="str">
        <f t="shared" si="38"/>
        <v/>
      </c>
      <c r="DC154" s="399" t="str">
        <f t="shared" si="39"/>
        <v/>
      </c>
      <c r="DD154" s="399" t="str">
        <f t="shared" si="30"/>
        <v/>
      </c>
      <c r="DE154" s="399" t="str">
        <f t="shared" si="40"/>
        <v/>
      </c>
      <c r="DG154" s="434"/>
      <c r="DH154" s="434"/>
      <c r="DJ154" s="399"/>
    </row>
    <row r="155" spans="8:114" x14ac:dyDescent="0.25">
      <c r="H155" s="416" t="str">
        <f ca="1">IF(IMPORT!C168="","",IMPORT!C168)</f>
        <v/>
      </c>
      <c r="I155" s="416" t="str">
        <f ca="1">IF(IMPORT!D168="","",IMPORT!D168)</f>
        <v/>
      </c>
      <c r="J155" s="416" t="str">
        <f ca="1">IF(IMPORT!E168="","",IMPORT!E168)</f>
        <v/>
      </c>
      <c r="K155" s="416" t="str">
        <f ca="1">IF(IMPORT!F168="","",IMPORT!F168)</f>
        <v/>
      </c>
      <c r="L155" s="416" t="str">
        <f ca="1">IF(IMPORT!G168="","",IMPORT!G168)</f>
        <v/>
      </c>
      <c r="M155" s="416" t="str">
        <f>IF(IMPORT!H168="","",IMPORT!H168)</f>
        <v/>
      </c>
      <c r="N155" s="399" t="str">
        <f t="shared" si="31"/>
        <v/>
      </c>
      <c r="P155" s="406" t="str">
        <f t="shared" si="32"/>
        <v/>
      </c>
      <c r="Q155" s="406" t="str">
        <f t="array" ref="Q155">IFERROR(INDEX($N$1:$N$203,SMALL(IF($N$1:$N$203&lt;&gt;"",ROW($N$1:$N$203)),ROW(153:153))),"")</f>
        <v/>
      </c>
      <c r="R155" s="399" t="str">
        <f t="shared" si="29"/>
        <v/>
      </c>
      <c r="S155" s="399" t="str">
        <f t="shared" si="33"/>
        <v/>
      </c>
      <c r="T155" s="399" t="str">
        <f t="shared" si="34"/>
        <v/>
      </c>
      <c r="U155" s="419" t="str">
        <f t="shared" si="41"/>
        <v/>
      </c>
      <c r="V155" s="433" t="b">
        <v>0</v>
      </c>
      <c r="W155" s="464"/>
      <c r="X155" s="433"/>
      <c r="Y155" s="433" t="s">
        <v>92</v>
      </c>
      <c r="Z155" s="433"/>
      <c r="AA155" s="433"/>
      <c r="AB155" s="433"/>
      <c r="AC155" s="433" t="s">
        <v>1401</v>
      </c>
      <c r="AD155" s="433"/>
      <c r="AE155" s="433" t="s">
        <v>111</v>
      </c>
      <c r="AF155" s="433" t="s">
        <v>299</v>
      </c>
      <c r="AG155" s="433"/>
      <c r="AH155" s="433"/>
      <c r="AI155" s="433"/>
      <c r="AJ155" s="433"/>
      <c r="AK155" s="433"/>
      <c r="AL155" s="433"/>
      <c r="AM155" s="433"/>
      <c r="AN155" s="433"/>
      <c r="AO155" s="433"/>
      <c r="AP155" s="433"/>
      <c r="AQ155" s="433"/>
      <c r="AR155" s="433"/>
      <c r="AS155" s="433" t="b">
        <v>0</v>
      </c>
      <c r="AT155" s="433"/>
      <c r="AU155" s="433"/>
      <c r="AV155" s="433"/>
      <c r="AW155" s="433"/>
      <c r="AX155" s="433"/>
      <c r="AY155" s="433"/>
      <c r="AZ155" s="433"/>
      <c r="BA155" s="433"/>
      <c r="BB155" s="433"/>
      <c r="BC155" s="433"/>
      <c r="BD155" s="433"/>
      <c r="BE155" s="433"/>
      <c r="BF155" s="433"/>
      <c r="BG155" s="433"/>
      <c r="BH155" s="433"/>
      <c r="BI155" s="433"/>
      <c r="BJ155" s="433"/>
      <c r="BK155" s="433"/>
      <c r="BL155" s="433"/>
      <c r="BM155" s="433"/>
      <c r="BN155" s="433"/>
      <c r="BO155" s="433"/>
      <c r="BP155" s="433"/>
      <c r="BQ155" s="433"/>
      <c r="BR155" s="433"/>
      <c r="BS155" s="433"/>
      <c r="BT155" s="433"/>
      <c r="BU155" s="399" t="str">
        <f t="shared" si="35"/>
        <v/>
      </c>
      <c r="BV155" s="433"/>
      <c r="BW155" s="433"/>
      <c r="BX155" s="433"/>
      <c r="BY155" s="433"/>
      <c r="BZ155" s="433"/>
      <c r="CA155" s="433"/>
      <c r="CB155" s="433"/>
      <c r="CC155" s="433"/>
      <c r="CD155" s="433"/>
      <c r="CE155" s="433"/>
      <c r="CF155" s="433"/>
      <c r="CG155" s="433"/>
      <c r="CH155" s="433"/>
      <c r="CI155" s="433"/>
      <c r="CJ155" s="433"/>
      <c r="CK155" s="433"/>
      <c r="CL155" s="433"/>
      <c r="CM155" s="433"/>
      <c r="CN155" s="433"/>
      <c r="CO155" s="433"/>
      <c r="CP155" s="433"/>
      <c r="CQ155" s="433"/>
      <c r="CR155" s="433"/>
      <c r="CS155" s="433"/>
      <c r="CT155" s="433"/>
      <c r="CU155" s="433"/>
      <c r="CV155" s="433"/>
      <c r="CW155" s="433"/>
      <c r="CX155" s="433"/>
      <c r="CY155" s="433"/>
      <c r="CZ155" s="399" t="str">
        <f t="shared" si="36"/>
        <v/>
      </c>
      <c r="DA155" s="399" t="str">
        <f t="shared" si="37"/>
        <v/>
      </c>
      <c r="DB155" s="399" t="str">
        <f t="shared" si="38"/>
        <v/>
      </c>
      <c r="DC155" s="399" t="str">
        <f t="shared" si="39"/>
        <v/>
      </c>
      <c r="DD155" s="399" t="str">
        <f t="shared" si="30"/>
        <v/>
      </c>
      <c r="DE155" s="399" t="str">
        <f t="shared" si="40"/>
        <v/>
      </c>
      <c r="DG155" s="434"/>
      <c r="DH155" s="434"/>
      <c r="DJ155" s="399"/>
    </row>
    <row r="156" spans="8:114" x14ac:dyDescent="0.25">
      <c r="H156" s="416" t="str">
        <f ca="1">IF(IMPORT!C169="","",IMPORT!C169)</f>
        <v/>
      </c>
      <c r="I156" s="416" t="str">
        <f ca="1">IF(IMPORT!D169="","",IMPORT!D169)</f>
        <v/>
      </c>
      <c r="J156" s="416" t="str">
        <f ca="1">IF(IMPORT!E169="","",IMPORT!E169)</f>
        <v/>
      </c>
      <c r="K156" s="416" t="str">
        <f ca="1">IF(IMPORT!F169="","",IMPORT!F169)</f>
        <v/>
      </c>
      <c r="L156" s="416" t="str">
        <f ca="1">IF(IMPORT!G169="","",IMPORT!G169)</f>
        <v/>
      </c>
      <c r="M156" s="416" t="str">
        <f>IF(IMPORT!H169="","",IMPORT!H169)</f>
        <v/>
      </c>
      <c r="N156" s="399" t="str">
        <f t="shared" si="31"/>
        <v/>
      </c>
      <c r="P156" s="406" t="str">
        <f t="shared" si="32"/>
        <v/>
      </c>
      <c r="Q156" s="406" t="str">
        <f t="array" ref="Q156">IFERROR(INDEX($N$1:$N$203,SMALL(IF($N$1:$N$203&lt;&gt;"",ROW($N$1:$N$203)),ROW(154:154))),"")</f>
        <v/>
      </c>
      <c r="R156" s="399" t="str">
        <f t="shared" si="29"/>
        <v/>
      </c>
      <c r="S156" s="399" t="str">
        <f t="shared" si="33"/>
        <v/>
      </c>
      <c r="T156" s="399" t="str">
        <f t="shared" si="34"/>
        <v/>
      </c>
      <c r="U156" s="419" t="str">
        <f t="shared" si="41"/>
        <v/>
      </c>
      <c r="V156" s="433" t="b">
        <v>0</v>
      </c>
      <c r="W156" s="464"/>
      <c r="X156" s="433"/>
      <c r="Y156" s="433" t="s">
        <v>92</v>
      </c>
      <c r="Z156" s="433"/>
      <c r="AA156" s="433"/>
      <c r="AB156" s="433"/>
      <c r="AC156" s="433" t="s">
        <v>1401</v>
      </c>
      <c r="AD156" s="433"/>
      <c r="AE156" s="433" t="s">
        <v>111</v>
      </c>
      <c r="AF156" s="433" t="s">
        <v>299</v>
      </c>
      <c r="AG156" s="433"/>
      <c r="AH156" s="433"/>
      <c r="AI156" s="433"/>
      <c r="AJ156" s="433"/>
      <c r="AK156" s="433"/>
      <c r="AL156" s="433"/>
      <c r="AM156" s="433"/>
      <c r="AN156" s="433"/>
      <c r="AO156" s="433"/>
      <c r="AP156" s="433"/>
      <c r="AQ156" s="433"/>
      <c r="AR156" s="433"/>
      <c r="AS156" s="433" t="b">
        <v>0</v>
      </c>
      <c r="AT156" s="433"/>
      <c r="AU156" s="433"/>
      <c r="AV156" s="433"/>
      <c r="AW156" s="433"/>
      <c r="AX156" s="433"/>
      <c r="AY156" s="433"/>
      <c r="AZ156" s="433"/>
      <c r="BA156" s="433"/>
      <c r="BB156" s="433"/>
      <c r="BC156" s="433"/>
      <c r="BD156" s="433"/>
      <c r="BE156" s="433"/>
      <c r="BF156" s="433"/>
      <c r="BG156" s="433"/>
      <c r="BH156" s="433"/>
      <c r="BI156" s="433"/>
      <c r="BJ156" s="433"/>
      <c r="BK156" s="433"/>
      <c r="BL156" s="433"/>
      <c r="BM156" s="433"/>
      <c r="BN156" s="433"/>
      <c r="BO156" s="433"/>
      <c r="BP156" s="433"/>
      <c r="BQ156" s="433"/>
      <c r="BR156" s="433"/>
      <c r="BS156" s="433"/>
      <c r="BT156" s="433"/>
      <c r="BU156" s="399" t="str">
        <f t="shared" si="35"/>
        <v/>
      </c>
      <c r="BV156" s="433"/>
      <c r="BW156" s="433"/>
      <c r="BX156" s="433"/>
      <c r="BY156" s="433"/>
      <c r="BZ156" s="433"/>
      <c r="CA156" s="433"/>
      <c r="CB156" s="433"/>
      <c r="CC156" s="433"/>
      <c r="CD156" s="433"/>
      <c r="CE156" s="433"/>
      <c r="CF156" s="433"/>
      <c r="CG156" s="433"/>
      <c r="CH156" s="433"/>
      <c r="CI156" s="433"/>
      <c r="CJ156" s="433"/>
      <c r="CK156" s="433"/>
      <c r="CL156" s="433"/>
      <c r="CM156" s="433"/>
      <c r="CN156" s="433"/>
      <c r="CO156" s="433"/>
      <c r="CP156" s="433"/>
      <c r="CQ156" s="433"/>
      <c r="CR156" s="433"/>
      <c r="CS156" s="433"/>
      <c r="CT156" s="433"/>
      <c r="CU156" s="433"/>
      <c r="CV156" s="433"/>
      <c r="CW156" s="433"/>
      <c r="CX156" s="433"/>
      <c r="CY156" s="433"/>
      <c r="CZ156" s="399" t="str">
        <f t="shared" si="36"/>
        <v/>
      </c>
      <c r="DA156" s="399" t="str">
        <f t="shared" si="37"/>
        <v/>
      </c>
      <c r="DB156" s="399" t="str">
        <f t="shared" si="38"/>
        <v/>
      </c>
      <c r="DC156" s="399" t="str">
        <f t="shared" si="39"/>
        <v/>
      </c>
      <c r="DD156" s="399" t="str">
        <f t="shared" si="30"/>
        <v/>
      </c>
      <c r="DE156" s="399" t="str">
        <f t="shared" si="40"/>
        <v/>
      </c>
      <c r="DG156" s="434"/>
      <c r="DH156" s="434"/>
      <c r="DJ156" s="399"/>
    </row>
    <row r="157" spans="8:114" x14ac:dyDescent="0.25">
      <c r="H157" s="416" t="str">
        <f ca="1">IF(IMPORT!C170="","",IMPORT!C170)</f>
        <v/>
      </c>
      <c r="I157" s="416" t="str">
        <f ca="1">IF(IMPORT!D170="","",IMPORT!D170)</f>
        <v/>
      </c>
      <c r="J157" s="416" t="str">
        <f ca="1">IF(IMPORT!E170="","",IMPORT!E170)</f>
        <v/>
      </c>
      <c r="K157" s="416" t="str">
        <f ca="1">IF(IMPORT!F170="","",IMPORT!F170)</f>
        <v/>
      </c>
      <c r="L157" s="416" t="str">
        <f ca="1">IF(IMPORT!G170="","",IMPORT!G170)</f>
        <v/>
      </c>
      <c r="M157" s="416" t="str">
        <f>IF(IMPORT!H170="","",IMPORT!H170)</f>
        <v/>
      </c>
      <c r="N157" s="399" t="str">
        <f t="shared" si="31"/>
        <v/>
      </c>
      <c r="P157" s="406" t="str">
        <f t="shared" si="32"/>
        <v/>
      </c>
      <c r="Q157" s="406" t="str">
        <f t="array" ref="Q157">IFERROR(INDEX($N$1:$N$203,SMALL(IF($N$1:$N$203&lt;&gt;"",ROW($N$1:$N$203)),ROW(155:155))),"")</f>
        <v/>
      </c>
      <c r="R157" s="399" t="str">
        <f t="shared" si="29"/>
        <v/>
      </c>
      <c r="S157" s="399" t="str">
        <f t="shared" si="33"/>
        <v/>
      </c>
      <c r="T157" s="399" t="str">
        <f t="shared" si="34"/>
        <v/>
      </c>
      <c r="U157" s="419" t="str">
        <f t="shared" si="41"/>
        <v/>
      </c>
      <c r="V157" s="433" t="b">
        <v>0</v>
      </c>
      <c r="W157" s="464"/>
      <c r="X157" s="433"/>
      <c r="Y157" s="433" t="s">
        <v>92</v>
      </c>
      <c r="Z157" s="433"/>
      <c r="AA157" s="433"/>
      <c r="AB157" s="433"/>
      <c r="AC157" s="433" t="s">
        <v>1401</v>
      </c>
      <c r="AD157" s="433"/>
      <c r="AE157" s="433" t="s">
        <v>111</v>
      </c>
      <c r="AF157" s="433" t="s">
        <v>299</v>
      </c>
      <c r="AG157" s="433"/>
      <c r="AH157" s="433"/>
      <c r="AI157" s="433"/>
      <c r="AJ157" s="433"/>
      <c r="AK157" s="433"/>
      <c r="AL157" s="433"/>
      <c r="AM157" s="433"/>
      <c r="AN157" s="433"/>
      <c r="AO157" s="433"/>
      <c r="AP157" s="433"/>
      <c r="AQ157" s="433"/>
      <c r="AR157" s="433"/>
      <c r="AS157" s="433" t="b">
        <v>0</v>
      </c>
      <c r="AT157" s="433"/>
      <c r="AU157" s="433"/>
      <c r="AV157" s="433"/>
      <c r="AW157" s="433"/>
      <c r="AX157" s="433"/>
      <c r="AY157" s="433"/>
      <c r="AZ157" s="433"/>
      <c r="BA157" s="433"/>
      <c r="BB157" s="433"/>
      <c r="BC157" s="433"/>
      <c r="BD157" s="433"/>
      <c r="BE157" s="433"/>
      <c r="BF157" s="433"/>
      <c r="BG157" s="433"/>
      <c r="BH157" s="433"/>
      <c r="BI157" s="433"/>
      <c r="BJ157" s="433"/>
      <c r="BK157" s="433"/>
      <c r="BL157" s="433"/>
      <c r="BM157" s="433"/>
      <c r="BN157" s="433"/>
      <c r="BO157" s="433"/>
      <c r="BP157" s="433"/>
      <c r="BQ157" s="433"/>
      <c r="BR157" s="433"/>
      <c r="BS157" s="433"/>
      <c r="BT157" s="433"/>
      <c r="BU157" s="399" t="str">
        <f t="shared" si="35"/>
        <v/>
      </c>
      <c r="BV157" s="433"/>
      <c r="BW157" s="433"/>
      <c r="BX157" s="433"/>
      <c r="BY157" s="433"/>
      <c r="BZ157" s="433"/>
      <c r="CA157" s="433"/>
      <c r="CB157" s="433"/>
      <c r="CC157" s="433"/>
      <c r="CD157" s="433"/>
      <c r="CE157" s="433"/>
      <c r="CF157" s="433"/>
      <c r="CG157" s="433"/>
      <c r="CH157" s="433"/>
      <c r="CI157" s="433"/>
      <c r="CJ157" s="433"/>
      <c r="CK157" s="433"/>
      <c r="CL157" s="433"/>
      <c r="CM157" s="433"/>
      <c r="CN157" s="433"/>
      <c r="CO157" s="433"/>
      <c r="CP157" s="433"/>
      <c r="CQ157" s="433"/>
      <c r="CR157" s="433"/>
      <c r="CS157" s="433"/>
      <c r="CT157" s="433"/>
      <c r="CU157" s="433"/>
      <c r="CV157" s="433"/>
      <c r="CW157" s="433"/>
      <c r="CX157" s="433"/>
      <c r="CY157" s="433"/>
      <c r="CZ157" s="399" t="str">
        <f t="shared" si="36"/>
        <v/>
      </c>
      <c r="DA157" s="399" t="str">
        <f t="shared" si="37"/>
        <v/>
      </c>
      <c r="DB157" s="399" t="str">
        <f t="shared" si="38"/>
        <v/>
      </c>
      <c r="DC157" s="399" t="str">
        <f t="shared" si="39"/>
        <v/>
      </c>
      <c r="DD157" s="399" t="str">
        <f t="shared" si="30"/>
        <v/>
      </c>
      <c r="DE157" s="399" t="str">
        <f t="shared" si="40"/>
        <v/>
      </c>
      <c r="DG157" s="434"/>
      <c r="DH157" s="434"/>
      <c r="DJ157" s="399"/>
    </row>
    <row r="158" spans="8:114" x14ac:dyDescent="0.25">
      <c r="H158" s="416" t="str">
        <f ca="1">IF(IMPORT!C171="","",IMPORT!C171)</f>
        <v/>
      </c>
      <c r="I158" s="416" t="str">
        <f ca="1">IF(IMPORT!D171="","",IMPORT!D171)</f>
        <v/>
      </c>
      <c r="J158" s="416" t="str">
        <f ca="1">IF(IMPORT!E171="","",IMPORT!E171)</f>
        <v/>
      </c>
      <c r="K158" s="416" t="str">
        <f ca="1">IF(IMPORT!F171="","",IMPORT!F171)</f>
        <v/>
      </c>
      <c r="L158" s="416" t="str">
        <f ca="1">IF(IMPORT!G171="","",IMPORT!G171)</f>
        <v/>
      </c>
      <c r="M158" s="416" t="str">
        <f>IF(IMPORT!H171="","",IMPORT!H171)</f>
        <v/>
      </c>
      <c r="N158" s="399" t="str">
        <f t="shared" si="31"/>
        <v/>
      </c>
      <c r="P158" s="406" t="str">
        <f t="shared" si="32"/>
        <v/>
      </c>
      <c r="Q158" s="406" t="str">
        <f t="array" ref="Q158">IFERROR(INDEX($N$1:$N$203,SMALL(IF($N$1:$N$203&lt;&gt;"",ROW($N$1:$N$203)),ROW(156:156))),"")</f>
        <v/>
      </c>
      <c r="R158" s="399" t="str">
        <f t="shared" si="29"/>
        <v/>
      </c>
      <c r="S158" s="399" t="str">
        <f t="shared" si="33"/>
        <v/>
      </c>
      <c r="T158" s="399" t="str">
        <f t="shared" si="34"/>
        <v/>
      </c>
      <c r="U158" s="419" t="str">
        <f t="shared" si="41"/>
        <v/>
      </c>
      <c r="V158" s="433" t="b">
        <v>0</v>
      </c>
      <c r="W158" s="464"/>
      <c r="X158" s="433"/>
      <c r="Y158" s="433" t="s">
        <v>92</v>
      </c>
      <c r="Z158" s="433"/>
      <c r="AA158" s="433"/>
      <c r="AB158" s="433"/>
      <c r="AC158" s="433" t="s">
        <v>1401</v>
      </c>
      <c r="AD158" s="433"/>
      <c r="AE158" s="433" t="s">
        <v>111</v>
      </c>
      <c r="AF158" s="433" t="s">
        <v>299</v>
      </c>
      <c r="AG158" s="433"/>
      <c r="AH158" s="433"/>
      <c r="AI158" s="433"/>
      <c r="AJ158" s="433"/>
      <c r="AK158" s="433"/>
      <c r="AL158" s="433"/>
      <c r="AM158" s="433"/>
      <c r="AN158" s="433"/>
      <c r="AO158" s="433"/>
      <c r="AP158" s="433"/>
      <c r="AQ158" s="433"/>
      <c r="AR158" s="433"/>
      <c r="AS158" s="433" t="b">
        <v>0</v>
      </c>
      <c r="AT158" s="433"/>
      <c r="AU158" s="433"/>
      <c r="AV158" s="433"/>
      <c r="AW158" s="433"/>
      <c r="AX158" s="433"/>
      <c r="AY158" s="433"/>
      <c r="AZ158" s="433"/>
      <c r="BA158" s="433"/>
      <c r="BB158" s="433"/>
      <c r="BC158" s="433"/>
      <c r="BD158" s="433"/>
      <c r="BE158" s="433"/>
      <c r="BF158" s="433"/>
      <c r="BG158" s="433"/>
      <c r="BH158" s="433"/>
      <c r="BI158" s="433"/>
      <c r="BJ158" s="433"/>
      <c r="BK158" s="433"/>
      <c r="BL158" s="433"/>
      <c r="BM158" s="433"/>
      <c r="BN158" s="433"/>
      <c r="BO158" s="433"/>
      <c r="BP158" s="433"/>
      <c r="BQ158" s="433"/>
      <c r="BR158" s="433"/>
      <c r="BS158" s="433"/>
      <c r="BT158" s="433"/>
      <c r="BU158" s="399" t="str">
        <f t="shared" si="35"/>
        <v/>
      </c>
      <c r="BV158" s="433"/>
      <c r="BW158" s="433"/>
      <c r="BX158" s="433"/>
      <c r="BY158" s="433"/>
      <c r="BZ158" s="433"/>
      <c r="CA158" s="433"/>
      <c r="CB158" s="433"/>
      <c r="CC158" s="433"/>
      <c r="CD158" s="433"/>
      <c r="CE158" s="433"/>
      <c r="CF158" s="433"/>
      <c r="CG158" s="433"/>
      <c r="CH158" s="433"/>
      <c r="CI158" s="433"/>
      <c r="CJ158" s="433"/>
      <c r="CK158" s="433"/>
      <c r="CL158" s="433"/>
      <c r="CM158" s="433"/>
      <c r="CN158" s="433"/>
      <c r="CO158" s="433"/>
      <c r="CP158" s="433"/>
      <c r="CQ158" s="433"/>
      <c r="CR158" s="433"/>
      <c r="CS158" s="433"/>
      <c r="CT158" s="433"/>
      <c r="CU158" s="433"/>
      <c r="CV158" s="433"/>
      <c r="CW158" s="433"/>
      <c r="CX158" s="433"/>
      <c r="CY158" s="433"/>
      <c r="CZ158" s="399" t="str">
        <f t="shared" si="36"/>
        <v/>
      </c>
      <c r="DA158" s="399" t="str">
        <f t="shared" si="37"/>
        <v/>
      </c>
      <c r="DB158" s="399" t="str">
        <f t="shared" si="38"/>
        <v/>
      </c>
      <c r="DC158" s="399" t="str">
        <f t="shared" si="39"/>
        <v/>
      </c>
      <c r="DD158" s="399" t="str">
        <f t="shared" si="30"/>
        <v/>
      </c>
      <c r="DE158" s="399" t="str">
        <f t="shared" si="40"/>
        <v/>
      </c>
      <c r="DG158" s="434"/>
      <c r="DH158" s="434"/>
      <c r="DJ158" s="399"/>
    </row>
    <row r="159" spans="8:114" x14ac:dyDescent="0.25">
      <c r="H159" s="416" t="str">
        <f ca="1">IF(IMPORT!C172="","",IMPORT!C172)</f>
        <v/>
      </c>
      <c r="I159" s="416" t="str">
        <f ca="1">IF(IMPORT!D172="","",IMPORT!D172)</f>
        <v/>
      </c>
      <c r="J159" s="416" t="str">
        <f ca="1">IF(IMPORT!E172="","",IMPORT!E172)</f>
        <v/>
      </c>
      <c r="K159" s="416" t="str">
        <f ca="1">IF(IMPORT!F172="","",IMPORT!F172)</f>
        <v/>
      </c>
      <c r="L159" s="416" t="str">
        <f ca="1">IF(IMPORT!G172="","",IMPORT!G172)</f>
        <v/>
      </c>
      <c r="M159" s="416" t="str">
        <f>IF(IMPORT!H172="","",IMPORT!H172)</f>
        <v/>
      </c>
      <c r="N159" s="399" t="str">
        <f t="shared" si="31"/>
        <v/>
      </c>
      <c r="P159" s="406" t="str">
        <f t="shared" si="32"/>
        <v/>
      </c>
      <c r="Q159" s="406" t="str">
        <f t="array" ref="Q159">IFERROR(INDEX($N$1:$N$203,SMALL(IF($N$1:$N$203&lt;&gt;"",ROW($N$1:$N$203)),ROW(157:157))),"")</f>
        <v/>
      </c>
      <c r="R159" s="399" t="str">
        <f t="shared" si="29"/>
        <v/>
      </c>
      <c r="S159" s="399" t="str">
        <f t="shared" si="33"/>
        <v/>
      </c>
      <c r="T159" s="399" t="str">
        <f t="shared" si="34"/>
        <v/>
      </c>
      <c r="U159" s="419" t="str">
        <f t="shared" si="41"/>
        <v/>
      </c>
      <c r="V159" s="433" t="b">
        <v>0</v>
      </c>
      <c r="W159" s="464"/>
      <c r="X159" s="433"/>
      <c r="Y159" s="433" t="s">
        <v>92</v>
      </c>
      <c r="Z159" s="433"/>
      <c r="AA159" s="433"/>
      <c r="AB159" s="433"/>
      <c r="AC159" s="433" t="s">
        <v>1401</v>
      </c>
      <c r="AD159" s="433"/>
      <c r="AE159" s="433" t="s">
        <v>111</v>
      </c>
      <c r="AF159" s="433" t="s">
        <v>299</v>
      </c>
      <c r="AG159" s="433"/>
      <c r="AH159" s="433"/>
      <c r="AI159" s="433"/>
      <c r="AJ159" s="433"/>
      <c r="AK159" s="433"/>
      <c r="AL159" s="433"/>
      <c r="AM159" s="433"/>
      <c r="AN159" s="433"/>
      <c r="AO159" s="433"/>
      <c r="AP159" s="433"/>
      <c r="AQ159" s="433"/>
      <c r="AR159" s="433"/>
      <c r="AS159" s="433" t="b">
        <v>0</v>
      </c>
      <c r="AT159" s="433"/>
      <c r="AU159" s="433"/>
      <c r="AV159" s="433"/>
      <c r="AW159" s="433"/>
      <c r="AX159" s="433"/>
      <c r="AY159" s="433"/>
      <c r="AZ159" s="433"/>
      <c r="BA159" s="433"/>
      <c r="BB159" s="433"/>
      <c r="BC159" s="433"/>
      <c r="BD159" s="433"/>
      <c r="BE159" s="433"/>
      <c r="BF159" s="433"/>
      <c r="BG159" s="433"/>
      <c r="BH159" s="433"/>
      <c r="BI159" s="433"/>
      <c r="BJ159" s="433"/>
      <c r="BK159" s="433"/>
      <c r="BL159" s="433"/>
      <c r="BM159" s="433"/>
      <c r="BN159" s="433"/>
      <c r="BO159" s="433"/>
      <c r="BP159" s="433"/>
      <c r="BQ159" s="433"/>
      <c r="BR159" s="433"/>
      <c r="BS159" s="433"/>
      <c r="BT159" s="433"/>
      <c r="BU159" s="399" t="str">
        <f t="shared" si="35"/>
        <v/>
      </c>
      <c r="BV159" s="433"/>
      <c r="BW159" s="433"/>
      <c r="BX159" s="433"/>
      <c r="BY159" s="433"/>
      <c r="BZ159" s="433"/>
      <c r="CA159" s="433"/>
      <c r="CB159" s="433"/>
      <c r="CC159" s="433"/>
      <c r="CD159" s="433"/>
      <c r="CE159" s="433"/>
      <c r="CF159" s="433"/>
      <c r="CG159" s="433"/>
      <c r="CH159" s="433"/>
      <c r="CI159" s="433"/>
      <c r="CJ159" s="433"/>
      <c r="CK159" s="433"/>
      <c r="CL159" s="433"/>
      <c r="CM159" s="433"/>
      <c r="CN159" s="433"/>
      <c r="CO159" s="433"/>
      <c r="CP159" s="433"/>
      <c r="CQ159" s="433"/>
      <c r="CR159" s="433"/>
      <c r="CS159" s="433"/>
      <c r="CT159" s="433"/>
      <c r="CU159" s="433"/>
      <c r="CV159" s="433"/>
      <c r="CW159" s="433"/>
      <c r="CX159" s="433"/>
      <c r="CY159" s="433"/>
      <c r="CZ159" s="399" t="str">
        <f t="shared" si="36"/>
        <v/>
      </c>
      <c r="DA159" s="399" t="str">
        <f t="shared" si="37"/>
        <v/>
      </c>
      <c r="DB159" s="399" t="str">
        <f t="shared" si="38"/>
        <v/>
      </c>
      <c r="DC159" s="399" t="str">
        <f t="shared" si="39"/>
        <v/>
      </c>
      <c r="DD159" s="399" t="str">
        <f t="shared" si="30"/>
        <v/>
      </c>
      <c r="DE159" s="399" t="str">
        <f t="shared" si="40"/>
        <v/>
      </c>
      <c r="DG159" s="434"/>
      <c r="DH159" s="434"/>
      <c r="DJ159" s="399"/>
    </row>
    <row r="160" spans="8:114" x14ac:dyDescent="0.25">
      <c r="H160" s="416" t="str">
        <f ca="1">IF(IMPORT!C173="","",IMPORT!C173)</f>
        <v/>
      </c>
      <c r="I160" s="416" t="str">
        <f ca="1">IF(IMPORT!D173="","",IMPORT!D173)</f>
        <v/>
      </c>
      <c r="J160" s="416" t="str">
        <f ca="1">IF(IMPORT!E173="","",IMPORT!E173)</f>
        <v/>
      </c>
      <c r="K160" s="416" t="str">
        <f ca="1">IF(IMPORT!F173="","",IMPORT!F173)</f>
        <v/>
      </c>
      <c r="L160" s="416" t="str">
        <f ca="1">IF(IMPORT!G173="","",IMPORT!G173)</f>
        <v/>
      </c>
      <c r="M160" s="416" t="str">
        <f>IF(IMPORT!H173="","",IMPORT!H173)</f>
        <v/>
      </c>
      <c r="N160" s="399" t="str">
        <f t="shared" si="31"/>
        <v/>
      </c>
      <c r="P160" s="406" t="str">
        <f t="shared" si="32"/>
        <v/>
      </c>
      <c r="Q160" s="406" t="str">
        <f t="array" ref="Q160">IFERROR(INDEX($N$1:$N$203,SMALL(IF($N$1:$N$203&lt;&gt;"",ROW($N$1:$N$203)),ROW(158:158))),"")</f>
        <v/>
      </c>
      <c r="R160" s="399" t="str">
        <f t="shared" si="29"/>
        <v/>
      </c>
      <c r="S160" s="399" t="str">
        <f t="shared" si="33"/>
        <v/>
      </c>
      <c r="T160" s="399" t="str">
        <f t="shared" si="34"/>
        <v/>
      </c>
      <c r="U160" s="419" t="str">
        <f t="shared" si="41"/>
        <v/>
      </c>
      <c r="V160" s="433" t="b">
        <v>0</v>
      </c>
      <c r="W160" s="464"/>
      <c r="X160" s="433"/>
      <c r="Y160" s="433" t="s">
        <v>92</v>
      </c>
      <c r="Z160" s="433"/>
      <c r="AA160" s="433"/>
      <c r="AB160" s="433"/>
      <c r="AC160" s="433" t="s">
        <v>1401</v>
      </c>
      <c r="AD160" s="433"/>
      <c r="AE160" s="433" t="s">
        <v>111</v>
      </c>
      <c r="AF160" s="433" t="s">
        <v>299</v>
      </c>
      <c r="AG160" s="433"/>
      <c r="AH160" s="433"/>
      <c r="AI160" s="433"/>
      <c r="AJ160" s="433"/>
      <c r="AK160" s="433"/>
      <c r="AL160" s="433"/>
      <c r="AM160" s="433"/>
      <c r="AN160" s="433"/>
      <c r="AO160" s="433"/>
      <c r="AP160" s="433"/>
      <c r="AQ160" s="433"/>
      <c r="AR160" s="433"/>
      <c r="AS160" s="433" t="b">
        <v>0</v>
      </c>
      <c r="AT160" s="433"/>
      <c r="AU160" s="433"/>
      <c r="AV160" s="433"/>
      <c r="AW160" s="433"/>
      <c r="AX160" s="433"/>
      <c r="AY160" s="433"/>
      <c r="AZ160" s="433"/>
      <c r="BA160" s="433"/>
      <c r="BB160" s="433"/>
      <c r="BC160" s="433"/>
      <c r="BD160" s="433"/>
      <c r="BE160" s="433"/>
      <c r="BF160" s="433"/>
      <c r="BG160" s="433"/>
      <c r="BH160" s="433"/>
      <c r="BI160" s="433"/>
      <c r="BJ160" s="433"/>
      <c r="BK160" s="433"/>
      <c r="BL160" s="433"/>
      <c r="BM160" s="433"/>
      <c r="BN160" s="433"/>
      <c r="BO160" s="433"/>
      <c r="BP160" s="433"/>
      <c r="BQ160" s="433"/>
      <c r="BR160" s="433"/>
      <c r="BS160" s="433"/>
      <c r="BT160" s="433"/>
      <c r="BU160" s="399" t="str">
        <f t="shared" si="35"/>
        <v/>
      </c>
      <c r="BV160" s="433"/>
      <c r="BW160" s="433"/>
      <c r="BX160" s="433"/>
      <c r="BY160" s="433"/>
      <c r="BZ160" s="433"/>
      <c r="CA160" s="433"/>
      <c r="CB160" s="433"/>
      <c r="CC160" s="433"/>
      <c r="CD160" s="433"/>
      <c r="CE160" s="433"/>
      <c r="CF160" s="433"/>
      <c r="CG160" s="433"/>
      <c r="CH160" s="433"/>
      <c r="CI160" s="433"/>
      <c r="CJ160" s="433"/>
      <c r="CK160" s="433"/>
      <c r="CL160" s="433"/>
      <c r="CM160" s="433"/>
      <c r="CN160" s="433"/>
      <c r="CO160" s="433"/>
      <c r="CP160" s="433"/>
      <c r="CQ160" s="433"/>
      <c r="CR160" s="433"/>
      <c r="CS160" s="433"/>
      <c r="CT160" s="433"/>
      <c r="CU160" s="433"/>
      <c r="CV160" s="433"/>
      <c r="CW160" s="433"/>
      <c r="CX160" s="433"/>
      <c r="CY160" s="433"/>
      <c r="CZ160" s="399" t="str">
        <f t="shared" si="36"/>
        <v/>
      </c>
      <c r="DA160" s="399" t="str">
        <f t="shared" si="37"/>
        <v/>
      </c>
      <c r="DB160" s="399" t="str">
        <f t="shared" si="38"/>
        <v/>
      </c>
      <c r="DC160" s="399" t="str">
        <f t="shared" si="39"/>
        <v/>
      </c>
      <c r="DD160" s="399" t="str">
        <f t="shared" si="30"/>
        <v/>
      </c>
      <c r="DE160" s="399" t="str">
        <f t="shared" si="40"/>
        <v/>
      </c>
      <c r="DG160" s="434"/>
      <c r="DH160" s="434"/>
      <c r="DJ160" s="399"/>
    </row>
    <row r="161" spans="8:114" x14ac:dyDescent="0.25">
      <c r="H161" s="416" t="str">
        <f ca="1">IF(IMPORT!C174="","",IMPORT!C174)</f>
        <v/>
      </c>
      <c r="I161" s="416" t="str">
        <f ca="1">IF(IMPORT!D174="","",IMPORT!D174)</f>
        <v/>
      </c>
      <c r="J161" s="416" t="str">
        <f ca="1">IF(IMPORT!E174="","",IMPORT!E174)</f>
        <v/>
      </c>
      <c r="K161" s="416" t="str">
        <f ca="1">IF(IMPORT!F174="","",IMPORT!F174)</f>
        <v/>
      </c>
      <c r="L161" s="416" t="str">
        <f ca="1">IF(IMPORT!G174="","",IMPORT!G174)</f>
        <v/>
      </c>
      <c r="M161" s="416" t="str">
        <f>IF(IMPORT!H174="","",IMPORT!H174)</f>
        <v/>
      </c>
      <c r="N161" s="399" t="str">
        <f t="shared" si="31"/>
        <v/>
      </c>
      <c r="P161" s="406" t="str">
        <f t="shared" si="32"/>
        <v/>
      </c>
      <c r="Q161" s="406" t="str">
        <f t="array" ref="Q161">IFERROR(INDEX($N$1:$N$203,SMALL(IF($N$1:$N$203&lt;&gt;"",ROW($N$1:$N$203)),ROW(159:159))),"")</f>
        <v/>
      </c>
      <c r="R161" s="399" t="str">
        <f t="shared" si="29"/>
        <v/>
      </c>
      <c r="S161" s="399" t="str">
        <f t="shared" si="33"/>
        <v/>
      </c>
      <c r="T161" s="399" t="str">
        <f t="shared" si="34"/>
        <v/>
      </c>
      <c r="U161" s="419" t="str">
        <f t="shared" si="41"/>
        <v/>
      </c>
      <c r="V161" s="433" t="b">
        <v>0</v>
      </c>
      <c r="W161" s="464"/>
      <c r="X161" s="433"/>
      <c r="Y161" s="433" t="s">
        <v>92</v>
      </c>
      <c r="Z161" s="433"/>
      <c r="AA161" s="433"/>
      <c r="AB161" s="433"/>
      <c r="AC161" s="433" t="s">
        <v>1401</v>
      </c>
      <c r="AD161" s="433"/>
      <c r="AE161" s="433" t="s">
        <v>111</v>
      </c>
      <c r="AF161" s="433" t="s">
        <v>299</v>
      </c>
      <c r="AG161" s="433"/>
      <c r="AH161" s="433"/>
      <c r="AI161" s="433"/>
      <c r="AJ161" s="433"/>
      <c r="AK161" s="433"/>
      <c r="AL161" s="433"/>
      <c r="AM161" s="433"/>
      <c r="AN161" s="433"/>
      <c r="AO161" s="433"/>
      <c r="AP161" s="433"/>
      <c r="AQ161" s="433"/>
      <c r="AR161" s="433"/>
      <c r="AS161" s="433" t="b">
        <v>0</v>
      </c>
      <c r="AT161" s="433"/>
      <c r="AU161" s="433"/>
      <c r="AV161" s="433"/>
      <c r="AW161" s="433"/>
      <c r="AX161" s="433"/>
      <c r="AY161" s="433"/>
      <c r="AZ161" s="433"/>
      <c r="BA161" s="433"/>
      <c r="BB161" s="433"/>
      <c r="BC161" s="433"/>
      <c r="BD161" s="433"/>
      <c r="BE161" s="433"/>
      <c r="BF161" s="433"/>
      <c r="BG161" s="433"/>
      <c r="BH161" s="433"/>
      <c r="BI161" s="433"/>
      <c r="BJ161" s="433"/>
      <c r="BK161" s="433"/>
      <c r="BL161" s="433"/>
      <c r="BM161" s="433"/>
      <c r="BN161" s="433"/>
      <c r="BO161" s="433"/>
      <c r="BP161" s="433"/>
      <c r="BQ161" s="433"/>
      <c r="BR161" s="433"/>
      <c r="BS161" s="433"/>
      <c r="BT161" s="433"/>
      <c r="BU161" s="399" t="str">
        <f t="shared" si="35"/>
        <v/>
      </c>
      <c r="BV161" s="433"/>
      <c r="BW161" s="433"/>
      <c r="BX161" s="433"/>
      <c r="BY161" s="433"/>
      <c r="BZ161" s="433"/>
      <c r="CA161" s="433"/>
      <c r="CB161" s="433"/>
      <c r="CC161" s="433"/>
      <c r="CD161" s="433"/>
      <c r="CE161" s="433"/>
      <c r="CF161" s="433"/>
      <c r="CG161" s="433"/>
      <c r="CH161" s="433"/>
      <c r="CI161" s="433"/>
      <c r="CJ161" s="433"/>
      <c r="CK161" s="433"/>
      <c r="CL161" s="433"/>
      <c r="CM161" s="433"/>
      <c r="CN161" s="433"/>
      <c r="CO161" s="433"/>
      <c r="CP161" s="433"/>
      <c r="CQ161" s="433"/>
      <c r="CR161" s="433"/>
      <c r="CS161" s="433"/>
      <c r="CT161" s="433"/>
      <c r="CU161" s="433"/>
      <c r="CV161" s="433"/>
      <c r="CW161" s="433"/>
      <c r="CX161" s="433"/>
      <c r="CY161" s="433"/>
      <c r="CZ161" s="399" t="str">
        <f t="shared" si="36"/>
        <v/>
      </c>
      <c r="DA161" s="399" t="str">
        <f t="shared" si="37"/>
        <v/>
      </c>
      <c r="DB161" s="399" t="str">
        <f t="shared" si="38"/>
        <v/>
      </c>
      <c r="DC161" s="399" t="str">
        <f t="shared" si="39"/>
        <v/>
      </c>
      <c r="DD161" s="399" t="str">
        <f t="shared" si="30"/>
        <v/>
      </c>
      <c r="DE161" s="399" t="str">
        <f t="shared" si="40"/>
        <v/>
      </c>
      <c r="DG161" s="434"/>
      <c r="DH161" s="434"/>
      <c r="DJ161" s="399"/>
    </row>
    <row r="162" spans="8:114" x14ac:dyDescent="0.25">
      <c r="H162" s="416" t="str">
        <f ca="1">IF(IMPORT!C175="","",IMPORT!C175)</f>
        <v/>
      </c>
      <c r="I162" s="416" t="str">
        <f ca="1">IF(IMPORT!D175="","",IMPORT!D175)</f>
        <v/>
      </c>
      <c r="J162" s="416" t="str">
        <f ca="1">IF(IMPORT!E175="","",IMPORT!E175)</f>
        <v/>
      </c>
      <c r="K162" s="416" t="str">
        <f ca="1">IF(IMPORT!F175="","",IMPORT!F175)</f>
        <v/>
      </c>
      <c r="L162" s="416" t="str">
        <f ca="1">IF(IMPORT!G175="","",IMPORT!G175)</f>
        <v/>
      </c>
      <c r="M162" s="416" t="str">
        <f>IF(IMPORT!H175="","",IMPORT!H175)</f>
        <v/>
      </c>
      <c r="N162" s="399" t="str">
        <f t="shared" si="31"/>
        <v/>
      </c>
      <c r="P162" s="406" t="str">
        <f t="shared" si="32"/>
        <v/>
      </c>
      <c r="Q162" s="406" t="str">
        <f t="array" ref="Q162">IFERROR(INDEX($N$1:$N$203,SMALL(IF($N$1:$N$203&lt;&gt;"",ROW($N$1:$N$203)),ROW(160:160))),"")</f>
        <v/>
      </c>
      <c r="R162" s="399" t="str">
        <f t="shared" si="29"/>
        <v/>
      </c>
      <c r="S162" s="399" t="str">
        <f t="shared" si="33"/>
        <v/>
      </c>
      <c r="T162" s="399" t="str">
        <f t="shared" si="34"/>
        <v/>
      </c>
      <c r="U162" s="419" t="str">
        <f t="shared" si="41"/>
        <v/>
      </c>
      <c r="V162" s="433" t="b">
        <v>0</v>
      </c>
      <c r="W162" s="464"/>
      <c r="X162" s="433"/>
      <c r="Y162" s="433" t="s">
        <v>92</v>
      </c>
      <c r="Z162" s="433"/>
      <c r="AA162" s="433"/>
      <c r="AB162" s="433"/>
      <c r="AC162" s="433" t="s">
        <v>1401</v>
      </c>
      <c r="AD162" s="433"/>
      <c r="AE162" s="433" t="s">
        <v>111</v>
      </c>
      <c r="AF162" s="433" t="s">
        <v>299</v>
      </c>
      <c r="AG162" s="433"/>
      <c r="AH162" s="433"/>
      <c r="AI162" s="433"/>
      <c r="AJ162" s="433"/>
      <c r="AK162" s="433"/>
      <c r="AL162" s="433"/>
      <c r="AM162" s="433"/>
      <c r="AN162" s="433"/>
      <c r="AO162" s="433"/>
      <c r="AP162" s="433"/>
      <c r="AQ162" s="433"/>
      <c r="AR162" s="433"/>
      <c r="AS162" s="433" t="b">
        <v>0</v>
      </c>
      <c r="AT162" s="433"/>
      <c r="AU162" s="433"/>
      <c r="AV162" s="433"/>
      <c r="AW162" s="433"/>
      <c r="AX162" s="433"/>
      <c r="AY162" s="433"/>
      <c r="AZ162" s="433"/>
      <c r="BA162" s="433"/>
      <c r="BB162" s="433"/>
      <c r="BC162" s="433"/>
      <c r="BD162" s="433"/>
      <c r="BE162" s="433"/>
      <c r="BF162" s="433"/>
      <c r="BG162" s="433"/>
      <c r="BH162" s="433"/>
      <c r="BI162" s="433"/>
      <c r="BJ162" s="433"/>
      <c r="BK162" s="433"/>
      <c r="BL162" s="433"/>
      <c r="BM162" s="433"/>
      <c r="BN162" s="433"/>
      <c r="BO162" s="433"/>
      <c r="BP162" s="433"/>
      <c r="BQ162" s="433"/>
      <c r="BR162" s="433"/>
      <c r="BS162" s="433"/>
      <c r="BT162" s="433"/>
      <c r="BU162" s="399" t="str">
        <f t="shared" si="35"/>
        <v/>
      </c>
      <c r="BV162" s="433"/>
      <c r="BW162" s="433"/>
      <c r="BX162" s="433"/>
      <c r="BY162" s="433"/>
      <c r="BZ162" s="433"/>
      <c r="CA162" s="433"/>
      <c r="CB162" s="433"/>
      <c r="CC162" s="433"/>
      <c r="CD162" s="433"/>
      <c r="CE162" s="433"/>
      <c r="CF162" s="433"/>
      <c r="CG162" s="433"/>
      <c r="CH162" s="433"/>
      <c r="CI162" s="433"/>
      <c r="CJ162" s="433"/>
      <c r="CK162" s="433"/>
      <c r="CL162" s="433"/>
      <c r="CM162" s="433"/>
      <c r="CN162" s="433"/>
      <c r="CO162" s="433"/>
      <c r="CP162" s="433"/>
      <c r="CQ162" s="433"/>
      <c r="CR162" s="433"/>
      <c r="CS162" s="433"/>
      <c r="CT162" s="433"/>
      <c r="CU162" s="433"/>
      <c r="CV162" s="433"/>
      <c r="CW162" s="433"/>
      <c r="CX162" s="433"/>
      <c r="CY162" s="433"/>
      <c r="CZ162" s="399" t="str">
        <f t="shared" si="36"/>
        <v/>
      </c>
      <c r="DA162" s="399" t="str">
        <f t="shared" si="37"/>
        <v/>
      </c>
      <c r="DB162" s="399" t="str">
        <f t="shared" si="38"/>
        <v/>
      </c>
      <c r="DC162" s="399" t="str">
        <f t="shared" si="39"/>
        <v/>
      </c>
      <c r="DD162" s="399" t="str">
        <f t="shared" si="30"/>
        <v/>
      </c>
      <c r="DE162" s="399" t="str">
        <f t="shared" si="40"/>
        <v/>
      </c>
      <c r="DG162" s="434"/>
      <c r="DH162" s="434"/>
      <c r="DJ162" s="399"/>
    </row>
    <row r="163" spans="8:114" x14ac:dyDescent="0.25">
      <c r="H163" s="416" t="str">
        <f ca="1">IF(IMPORT!C176="","",IMPORT!C176)</f>
        <v/>
      </c>
      <c r="I163" s="416" t="str">
        <f ca="1">IF(IMPORT!D176="","",IMPORT!D176)</f>
        <v/>
      </c>
      <c r="J163" s="416" t="str">
        <f ca="1">IF(IMPORT!E176="","",IMPORT!E176)</f>
        <v/>
      </c>
      <c r="K163" s="416" t="str">
        <f ca="1">IF(IMPORT!F176="","",IMPORT!F176)</f>
        <v/>
      </c>
      <c r="L163" s="416" t="str">
        <f ca="1">IF(IMPORT!G176="","",IMPORT!G176)</f>
        <v/>
      </c>
      <c r="M163" s="416" t="str">
        <f>IF(IMPORT!H176="","",IMPORT!H176)</f>
        <v/>
      </c>
      <c r="N163" s="399" t="str">
        <f t="shared" si="31"/>
        <v/>
      </c>
      <c r="P163" s="406" t="str">
        <f t="shared" si="32"/>
        <v/>
      </c>
      <c r="Q163" s="406" t="str">
        <f t="array" ref="Q163">IFERROR(INDEX($N$1:$N$203,SMALL(IF($N$1:$N$203&lt;&gt;"",ROW($N$1:$N$203)),ROW(161:161))),"")</f>
        <v/>
      </c>
      <c r="R163" s="399" t="str">
        <f t="shared" si="29"/>
        <v/>
      </c>
      <c r="S163" s="399" t="str">
        <f t="shared" si="33"/>
        <v/>
      </c>
      <c r="T163" s="399" t="str">
        <f t="shared" si="34"/>
        <v/>
      </c>
      <c r="U163" s="419" t="str">
        <f t="shared" si="41"/>
        <v/>
      </c>
      <c r="V163" s="433" t="b">
        <v>0</v>
      </c>
      <c r="W163" s="464"/>
      <c r="X163" s="433"/>
      <c r="Y163" s="433" t="s">
        <v>92</v>
      </c>
      <c r="Z163" s="433"/>
      <c r="AA163" s="433"/>
      <c r="AB163" s="433"/>
      <c r="AC163" s="433" t="s">
        <v>1401</v>
      </c>
      <c r="AD163" s="433"/>
      <c r="AE163" s="433" t="s">
        <v>111</v>
      </c>
      <c r="AF163" s="433" t="s">
        <v>299</v>
      </c>
      <c r="AG163" s="433"/>
      <c r="AH163" s="433"/>
      <c r="AI163" s="433"/>
      <c r="AJ163" s="433"/>
      <c r="AK163" s="433"/>
      <c r="AL163" s="433"/>
      <c r="AM163" s="433"/>
      <c r="AN163" s="433"/>
      <c r="AO163" s="433"/>
      <c r="AP163" s="433"/>
      <c r="AQ163" s="433"/>
      <c r="AR163" s="433"/>
      <c r="AS163" s="433" t="b">
        <v>0</v>
      </c>
      <c r="AT163" s="433"/>
      <c r="AU163" s="433"/>
      <c r="AV163" s="433"/>
      <c r="AW163" s="433"/>
      <c r="AX163" s="433"/>
      <c r="AY163" s="433"/>
      <c r="AZ163" s="433"/>
      <c r="BA163" s="433"/>
      <c r="BB163" s="433"/>
      <c r="BC163" s="433"/>
      <c r="BD163" s="433"/>
      <c r="BE163" s="433"/>
      <c r="BF163" s="433"/>
      <c r="BG163" s="433"/>
      <c r="BH163" s="433"/>
      <c r="BI163" s="433"/>
      <c r="BJ163" s="433"/>
      <c r="BK163" s="433"/>
      <c r="BL163" s="433"/>
      <c r="BM163" s="433"/>
      <c r="BN163" s="433"/>
      <c r="BO163" s="433"/>
      <c r="BP163" s="433"/>
      <c r="BQ163" s="433"/>
      <c r="BR163" s="433"/>
      <c r="BS163" s="433"/>
      <c r="BT163" s="433"/>
      <c r="BU163" s="399" t="str">
        <f t="shared" si="35"/>
        <v/>
      </c>
      <c r="BV163" s="433"/>
      <c r="BW163" s="433"/>
      <c r="BX163" s="433"/>
      <c r="BY163" s="433"/>
      <c r="BZ163" s="433"/>
      <c r="CA163" s="433"/>
      <c r="CB163" s="433"/>
      <c r="CC163" s="433"/>
      <c r="CD163" s="433"/>
      <c r="CE163" s="433"/>
      <c r="CF163" s="433"/>
      <c r="CG163" s="433"/>
      <c r="CH163" s="433"/>
      <c r="CI163" s="433"/>
      <c r="CJ163" s="433"/>
      <c r="CK163" s="433"/>
      <c r="CL163" s="433"/>
      <c r="CM163" s="433"/>
      <c r="CN163" s="433"/>
      <c r="CO163" s="433"/>
      <c r="CP163" s="433"/>
      <c r="CQ163" s="433"/>
      <c r="CR163" s="433"/>
      <c r="CS163" s="433"/>
      <c r="CT163" s="433"/>
      <c r="CU163" s="433"/>
      <c r="CV163" s="433"/>
      <c r="CW163" s="433"/>
      <c r="CX163" s="433"/>
      <c r="CY163" s="433"/>
      <c r="CZ163" s="399" t="str">
        <f t="shared" si="36"/>
        <v/>
      </c>
      <c r="DA163" s="399" t="str">
        <f t="shared" si="37"/>
        <v/>
      </c>
      <c r="DB163" s="399" t="str">
        <f t="shared" si="38"/>
        <v/>
      </c>
      <c r="DC163" s="399" t="str">
        <f t="shared" si="39"/>
        <v/>
      </c>
      <c r="DD163" s="399" t="str">
        <f t="shared" si="30"/>
        <v/>
      </c>
      <c r="DE163" s="399" t="str">
        <f t="shared" si="40"/>
        <v/>
      </c>
      <c r="DG163" s="434"/>
      <c r="DH163" s="434"/>
      <c r="DJ163" s="399"/>
    </row>
    <row r="164" spans="8:114" x14ac:dyDescent="0.25">
      <c r="H164" s="416" t="str">
        <f ca="1">IF(IMPORT!C177="","",IMPORT!C177)</f>
        <v/>
      </c>
      <c r="I164" s="416" t="str">
        <f ca="1">IF(IMPORT!D177="","",IMPORT!D177)</f>
        <v/>
      </c>
      <c r="J164" s="416" t="str">
        <f ca="1">IF(IMPORT!E177="","",IMPORT!E177)</f>
        <v/>
      </c>
      <c r="K164" s="416" t="str">
        <f ca="1">IF(IMPORT!F177="","",IMPORT!F177)</f>
        <v/>
      </c>
      <c r="L164" s="416" t="str">
        <f ca="1">IF(IMPORT!G177="","",IMPORT!G177)</f>
        <v/>
      </c>
      <c r="M164" s="416" t="str">
        <f>IF(IMPORT!H177="","",IMPORT!H177)</f>
        <v/>
      </c>
      <c r="N164" s="399" t="str">
        <f t="shared" si="31"/>
        <v/>
      </c>
      <c r="P164" s="406" t="str">
        <f t="shared" si="32"/>
        <v/>
      </c>
      <c r="Q164" s="406" t="str">
        <f t="array" ref="Q164">IFERROR(INDEX($N$1:$N$203,SMALL(IF($N$1:$N$203&lt;&gt;"",ROW($N$1:$N$203)),ROW(162:162))),"")</f>
        <v/>
      </c>
      <c r="R164" s="399" t="str">
        <f t="shared" si="29"/>
        <v/>
      </c>
      <c r="S164" s="399" t="str">
        <f t="shared" si="33"/>
        <v/>
      </c>
      <c r="T164" s="399" t="str">
        <f t="shared" si="34"/>
        <v/>
      </c>
      <c r="U164" s="419" t="str">
        <f t="shared" si="41"/>
        <v/>
      </c>
      <c r="V164" s="433" t="b">
        <v>0</v>
      </c>
      <c r="W164" s="464"/>
      <c r="X164" s="433"/>
      <c r="Y164" s="433" t="s">
        <v>92</v>
      </c>
      <c r="Z164" s="433"/>
      <c r="AA164" s="433"/>
      <c r="AB164" s="433"/>
      <c r="AC164" s="433" t="s">
        <v>1401</v>
      </c>
      <c r="AD164" s="433"/>
      <c r="AE164" s="433" t="s">
        <v>111</v>
      </c>
      <c r="AF164" s="433" t="s">
        <v>299</v>
      </c>
      <c r="AG164" s="433"/>
      <c r="AH164" s="433"/>
      <c r="AI164" s="433"/>
      <c r="AJ164" s="433"/>
      <c r="AK164" s="433"/>
      <c r="AL164" s="433"/>
      <c r="AM164" s="433"/>
      <c r="AN164" s="433"/>
      <c r="AO164" s="433"/>
      <c r="AP164" s="433"/>
      <c r="AQ164" s="433"/>
      <c r="AR164" s="433"/>
      <c r="AS164" s="433" t="b">
        <v>0</v>
      </c>
      <c r="AT164" s="433"/>
      <c r="AU164" s="433"/>
      <c r="AV164" s="433"/>
      <c r="AW164" s="433"/>
      <c r="AX164" s="433"/>
      <c r="AY164" s="433"/>
      <c r="AZ164" s="433"/>
      <c r="BA164" s="433"/>
      <c r="BB164" s="433"/>
      <c r="BC164" s="433"/>
      <c r="BD164" s="433"/>
      <c r="BE164" s="433"/>
      <c r="BF164" s="433"/>
      <c r="BG164" s="433"/>
      <c r="BH164" s="433"/>
      <c r="BI164" s="433"/>
      <c r="BJ164" s="433"/>
      <c r="BK164" s="433"/>
      <c r="BL164" s="433"/>
      <c r="BM164" s="433"/>
      <c r="BN164" s="433"/>
      <c r="BO164" s="433"/>
      <c r="BP164" s="433"/>
      <c r="BQ164" s="433"/>
      <c r="BR164" s="433"/>
      <c r="BS164" s="433"/>
      <c r="BT164" s="433"/>
      <c r="BU164" s="399" t="str">
        <f t="shared" si="35"/>
        <v/>
      </c>
      <c r="BV164" s="433"/>
      <c r="BW164" s="433"/>
      <c r="BX164" s="433"/>
      <c r="BY164" s="433"/>
      <c r="BZ164" s="433"/>
      <c r="CA164" s="433"/>
      <c r="CB164" s="433"/>
      <c r="CC164" s="433"/>
      <c r="CD164" s="433"/>
      <c r="CE164" s="433"/>
      <c r="CF164" s="433"/>
      <c r="CG164" s="433"/>
      <c r="CH164" s="433"/>
      <c r="CI164" s="433"/>
      <c r="CJ164" s="433"/>
      <c r="CK164" s="433"/>
      <c r="CL164" s="433"/>
      <c r="CM164" s="433"/>
      <c r="CN164" s="433"/>
      <c r="CO164" s="433"/>
      <c r="CP164" s="433"/>
      <c r="CQ164" s="433"/>
      <c r="CR164" s="433"/>
      <c r="CS164" s="433"/>
      <c r="CT164" s="433"/>
      <c r="CU164" s="433"/>
      <c r="CV164" s="433"/>
      <c r="CW164" s="433"/>
      <c r="CX164" s="433"/>
      <c r="CY164" s="433"/>
      <c r="CZ164" s="399" t="str">
        <f t="shared" si="36"/>
        <v/>
      </c>
      <c r="DA164" s="399" t="str">
        <f t="shared" si="37"/>
        <v/>
      </c>
      <c r="DB164" s="399" t="str">
        <f t="shared" si="38"/>
        <v/>
      </c>
      <c r="DC164" s="399" t="str">
        <f t="shared" si="39"/>
        <v/>
      </c>
      <c r="DD164" s="399" t="str">
        <f t="shared" ref="DD164:DD195" si="42">IFERROR(IF($P164="","",VLOOKUP($DC164,MaterialGrades,4,0)),"A36")</f>
        <v/>
      </c>
      <c r="DE164" s="399" t="str">
        <f t="shared" si="40"/>
        <v/>
      </c>
      <c r="DG164" s="434"/>
      <c r="DH164" s="434"/>
      <c r="DJ164" s="399"/>
    </row>
    <row r="165" spans="8:114" x14ac:dyDescent="0.25">
      <c r="H165" s="416" t="str">
        <f ca="1">IF(IMPORT!C178="","",IMPORT!C178)</f>
        <v/>
      </c>
      <c r="I165" s="416" t="str">
        <f ca="1">IF(IMPORT!D178="","",IMPORT!D178)</f>
        <v/>
      </c>
      <c r="J165" s="416" t="str">
        <f ca="1">IF(IMPORT!E178="","",IMPORT!E178)</f>
        <v/>
      </c>
      <c r="K165" s="416" t="str">
        <f ca="1">IF(IMPORT!F178="","",IMPORT!F178)</f>
        <v/>
      </c>
      <c r="L165" s="416" t="str">
        <f ca="1">IF(IMPORT!G178="","",IMPORT!G178)</f>
        <v/>
      </c>
      <c r="M165" s="416" t="str">
        <f>IF(IMPORT!H178="","",IMPORT!H178)</f>
        <v/>
      </c>
      <c r="N165" s="399" t="str">
        <f t="shared" si="31"/>
        <v/>
      </c>
      <c r="P165" s="406" t="str">
        <f t="shared" si="32"/>
        <v/>
      </c>
      <c r="Q165" s="406" t="str">
        <f t="array" ref="Q165">IFERROR(INDEX($N$1:$N$203,SMALL(IF($N$1:$N$203&lt;&gt;"",ROW($N$1:$N$203)),ROW(163:163))),"")</f>
        <v/>
      </c>
      <c r="R165" s="399" t="str">
        <f t="shared" si="29"/>
        <v/>
      </c>
      <c r="S165" s="399" t="str">
        <f t="shared" si="33"/>
        <v/>
      </c>
      <c r="T165" s="399" t="str">
        <f t="shared" si="34"/>
        <v/>
      </c>
      <c r="U165" s="419" t="str">
        <f t="shared" si="41"/>
        <v/>
      </c>
      <c r="V165" s="433" t="b">
        <v>0</v>
      </c>
      <c r="W165" s="464"/>
      <c r="X165" s="433"/>
      <c r="Y165" s="433" t="s">
        <v>92</v>
      </c>
      <c r="Z165" s="433"/>
      <c r="AA165" s="433"/>
      <c r="AB165" s="433"/>
      <c r="AC165" s="433" t="s">
        <v>1401</v>
      </c>
      <c r="AD165" s="433"/>
      <c r="AE165" s="433" t="s">
        <v>111</v>
      </c>
      <c r="AF165" s="433" t="s">
        <v>299</v>
      </c>
      <c r="AG165" s="433"/>
      <c r="AH165" s="433"/>
      <c r="AI165" s="433"/>
      <c r="AJ165" s="433"/>
      <c r="AK165" s="433"/>
      <c r="AL165" s="433"/>
      <c r="AM165" s="433"/>
      <c r="AN165" s="433"/>
      <c r="AO165" s="433"/>
      <c r="AP165" s="433"/>
      <c r="AQ165" s="433"/>
      <c r="AR165" s="433"/>
      <c r="AS165" s="433" t="b">
        <v>0</v>
      </c>
      <c r="AT165" s="433"/>
      <c r="AU165" s="433"/>
      <c r="AV165" s="433"/>
      <c r="AW165" s="433"/>
      <c r="AX165" s="433"/>
      <c r="AY165" s="433"/>
      <c r="AZ165" s="433"/>
      <c r="BA165" s="433"/>
      <c r="BB165" s="433"/>
      <c r="BC165" s="433"/>
      <c r="BD165" s="433"/>
      <c r="BE165" s="433"/>
      <c r="BF165" s="433"/>
      <c r="BG165" s="433"/>
      <c r="BH165" s="433"/>
      <c r="BI165" s="433"/>
      <c r="BJ165" s="433"/>
      <c r="BK165" s="433"/>
      <c r="BL165" s="433"/>
      <c r="BM165" s="433"/>
      <c r="BN165" s="433"/>
      <c r="BO165" s="433"/>
      <c r="BP165" s="433"/>
      <c r="BQ165" s="433"/>
      <c r="BR165" s="433"/>
      <c r="BS165" s="433"/>
      <c r="BT165" s="433"/>
      <c r="BU165" s="399" t="str">
        <f t="shared" si="35"/>
        <v/>
      </c>
      <c r="BV165" s="433"/>
      <c r="BW165" s="433"/>
      <c r="BX165" s="433"/>
      <c r="BY165" s="433"/>
      <c r="BZ165" s="433"/>
      <c r="CA165" s="433"/>
      <c r="CB165" s="433"/>
      <c r="CC165" s="433"/>
      <c r="CD165" s="433"/>
      <c r="CE165" s="433"/>
      <c r="CF165" s="433"/>
      <c r="CG165" s="433"/>
      <c r="CH165" s="433"/>
      <c r="CI165" s="433"/>
      <c r="CJ165" s="433"/>
      <c r="CK165" s="433"/>
      <c r="CL165" s="433"/>
      <c r="CM165" s="433"/>
      <c r="CN165" s="433"/>
      <c r="CO165" s="433"/>
      <c r="CP165" s="433"/>
      <c r="CQ165" s="433"/>
      <c r="CR165" s="433"/>
      <c r="CS165" s="433"/>
      <c r="CT165" s="433"/>
      <c r="CU165" s="433"/>
      <c r="CV165" s="433"/>
      <c r="CW165" s="433"/>
      <c r="CX165" s="433"/>
      <c r="CY165" s="433"/>
      <c r="CZ165" s="399" t="str">
        <f t="shared" si="36"/>
        <v/>
      </c>
      <c r="DA165" s="399" t="str">
        <f t="shared" si="37"/>
        <v/>
      </c>
      <c r="DB165" s="399" t="str">
        <f t="shared" si="38"/>
        <v/>
      </c>
      <c r="DC165" s="399" t="str">
        <f t="shared" si="39"/>
        <v/>
      </c>
      <c r="DD165" s="399" t="str">
        <f t="shared" si="42"/>
        <v/>
      </c>
      <c r="DE165" s="399" t="str">
        <f t="shared" si="40"/>
        <v/>
      </c>
      <c r="DG165" s="434"/>
      <c r="DH165" s="434"/>
      <c r="DJ165" s="399"/>
    </row>
    <row r="166" spans="8:114" x14ac:dyDescent="0.25">
      <c r="H166" s="416" t="str">
        <f ca="1">IF(IMPORT!C179="","",IMPORT!C179)</f>
        <v/>
      </c>
      <c r="I166" s="416" t="str">
        <f ca="1">IF(IMPORT!D179="","",IMPORT!D179)</f>
        <v/>
      </c>
      <c r="J166" s="416" t="str">
        <f ca="1">IF(IMPORT!E179="","",IMPORT!E179)</f>
        <v/>
      </c>
      <c r="K166" s="416" t="str">
        <f ca="1">IF(IMPORT!F179="","",IMPORT!F179)</f>
        <v/>
      </c>
      <c r="L166" s="416" t="str">
        <f ca="1">IF(IMPORT!G179="","",IMPORT!G179)</f>
        <v/>
      </c>
      <c r="M166" s="416" t="str">
        <f>IF(IMPORT!H179="","",IMPORT!H179)</f>
        <v/>
      </c>
      <c r="N166" s="399" t="str">
        <f t="shared" si="31"/>
        <v/>
      </c>
      <c r="P166" s="406" t="str">
        <f t="shared" si="32"/>
        <v/>
      </c>
      <c r="Q166" s="406" t="str">
        <f t="array" ref="Q166">IFERROR(INDEX($N$1:$N$203,SMALL(IF($N$1:$N$203&lt;&gt;"",ROW($N$1:$N$203)),ROW(164:164))),"")</f>
        <v/>
      </c>
      <c r="R166" s="399" t="str">
        <f t="shared" si="29"/>
        <v/>
      </c>
      <c r="S166" s="399" t="str">
        <f t="shared" si="33"/>
        <v/>
      </c>
      <c r="T166" s="399" t="str">
        <f t="shared" si="34"/>
        <v/>
      </c>
      <c r="U166" s="419" t="str">
        <f t="shared" si="41"/>
        <v/>
      </c>
      <c r="V166" s="433" t="b">
        <v>0</v>
      </c>
      <c r="W166" s="464"/>
      <c r="X166" s="433"/>
      <c r="Y166" s="433" t="s">
        <v>92</v>
      </c>
      <c r="Z166" s="433"/>
      <c r="AA166" s="433"/>
      <c r="AB166" s="433"/>
      <c r="AC166" s="433" t="s">
        <v>1401</v>
      </c>
      <c r="AD166" s="433"/>
      <c r="AE166" s="433" t="s">
        <v>111</v>
      </c>
      <c r="AF166" s="433" t="s">
        <v>299</v>
      </c>
      <c r="AG166" s="433"/>
      <c r="AH166" s="433"/>
      <c r="AI166" s="433"/>
      <c r="AJ166" s="433"/>
      <c r="AK166" s="433"/>
      <c r="AL166" s="433"/>
      <c r="AM166" s="433"/>
      <c r="AN166" s="433"/>
      <c r="AO166" s="433"/>
      <c r="AP166" s="433"/>
      <c r="AQ166" s="433"/>
      <c r="AR166" s="433"/>
      <c r="AS166" s="433" t="b">
        <v>0</v>
      </c>
      <c r="AT166" s="433"/>
      <c r="AU166" s="433"/>
      <c r="AV166" s="433"/>
      <c r="AW166" s="433"/>
      <c r="AX166" s="433"/>
      <c r="AY166" s="433"/>
      <c r="AZ166" s="433"/>
      <c r="BA166" s="433"/>
      <c r="BB166" s="433"/>
      <c r="BC166" s="433"/>
      <c r="BD166" s="433"/>
      <c r="BE166" s="433"/>
      <c r="BF166" s="433"/>
      <c r="BG166" s="433"/>
      <c r="BH166" s="433"/>
      <c r="BI166" s="433"/>
      <c r="BJ166" s="433"/>
      <c r="BK166" s="433"/>
      <c r="BL166" s="433"/>
      <c r="BM166" s="433"/>
      <c r="BN166" s="433"/>
      <c r="BO166" s="433"/>
      <c r="BP166" s="433"/>
      <c r="BQ166" s="433"/>
      <c r="BR166" s="433"/>
      <c r="BS166" s="433"/>
      <c r="BT166" s="433"/>
      <c r="BU166" s="399" t="str">
        <f t="shared" si="35"/>
        <v/>
      </c>
      <c r="BV166" s="433"/>
      <c r="BW166" s="433"/>
      <c r="BX166" s="433"/>
      <c r="BY166" s="433"/>
      <c r="BZ166" s="433"/>
      <c r="CA166" s="433"/>
      <c r="CB166" s="433"/>
      <c r="CC166" s="433"/>
      <c r="CD166" s="433"/>
      <c r="CE166" s="433"/>
      <c r="CF166" s="433"/>
      <c r="CG166" s="433"/>
      <c r="CH166" s="433"/>
      <c r="CI166" s="433"/>
      <c r="CJ166" s="433"/>
      <c r="CK166" s="433"/>
      <c r="CL166" s="433"/>
      <c r="CM166" s="433"/>
      <c r="CN166" s="433"/>
      <c r="CO166" s="433"/>
      <c r="CP166" s="433"/>
      <c r="CQ166" s="433"/>
      <c r="CR166" s="433"/>
      <c r="CS166" s="433"/>
      <c r="CT166" s="433"/>
      <c r="CU166" s="433"/>
      <c r="CV166" s="433"/>
      <c r="CW166" s="433"/>
      <c r="CX166" s="433"/>
      <c r="CY166" s="433"/>
      <c r="CZ166" s="399" t="str">
        <f t="shared" si="36"/>
        <v/>
      </c>
      <c r="DA166" s="399" t="str">
        <f t="shared" si="37"/>
        <v/>
      </c>
      <c r="DB166" s="399" t="str">
        <f t="shared" si="38"/>
        <v/>
      </c>
      <c r="DC166" s="399" t="str">
        <f t="shared" si="39"/>
        <v/>
      </c>
      <c r="DD166" s="399" t="str">
        <f t="shared" si="42"/>
        <v/>
      </c>
      <c r="DE166" s="399" t="str">
        <f t="shared" si="40"/>
        <v/>
      </c>
      <c r="DG166" s="434"/>
      <c r="DH166" s="434"/>
      <c r="DJ166" s="399"/>
    </row>
    <row r="167" spans="8:114" x14ac:dyDescent="0.25">
      <c r="H167" s="416" t="str">
        <f ca="1">IF(IMPORT!C180="","",IMPORT!C180)</f>
        <v/>
      </c>
      <c r="I167" s="416" t="str">
        <f ca="1">IF(IMPORT!D180="","",IMPORT!D180)</f>
        <v/>
      </c>
      <c r="J167" s="416" t="str">
        <f ca="1">IF(IMPORT!E180="","",IMPORT!E180)</f>
        <v/>
      </c>
      <c r="K167" s="416" t="str">
        <f ca="1">IF(IMPORT!F180="","",IMPORT!F180)</f>
        <v/>
      </c>
      <c r="L167" s="416" t="str">
        <f ca="1">IF(IMPORT!G180="","",IMPORT!G180)</f>
        <v/>
      </c>
      <c r="M167" s="416" t="str">
        <f>IF(IMPORT!H180="","",IMPORT!H180)</f>
        <v/>
      </c>
      <c r="N167" s="399" t="str">
        <f t="shared" si="31"/>
        <v/>
      </c>
      <c r="P167" s="406" t="str">
        <f t="shared" si="32"/>
        <v/>
      </c>
      <c r="Q167" s="406" t="str">
        <f t="array" ref="Q167">IFERROR(INDEX($N$1:$N$203,SMALL(IF($N$1:$N$203&lt;&gt;"",ROW($N$1:$N$203)),ROW(165:165))),"")</f>
        <v/>
      </c>
      <c r="R167" s="399" t="str">
        <f t="shared" si="29"/>
        <v/>
      </c>
      <c r="S167" s="399" t="str">
        <f t="shared" si="33"/>
        <v/>
      </c>
      <c r="T167" s="399" t="str">
        <f t="shared" si="34"/>
        <v/>
      </c>
      <c r="U167" s="419" t="str">
        <f t="shared" si="41"/>
        <v/>
      </c>
      <c r="V167" s="433" t="b">
        <v>0</v>
      </c>
      <c r="W167" s="464"/>
      <c r="X167" s="433"/>
      <c r="Y167" s="433" t="s">
        <v>92</v>
      </c>
      <c r="Z167" s="433"/>
      <c r="AA167" s="433"/>
      <c r="AB167" s="433"/>
      <c r="AC167" s="433" t="s">
        <v>1401</v>
      </c>
      <c r="AD167" s="433"/>
      <c r="AE167" s="433" t="s">
        <v>111</v>
      </c>
      <c r="AF167" s="433" t="s">
        <v>299</v>
      </c>
      <c r="AG167" s="433"/>
      <c r="AH167" s="433"/>
      <c r="AI167" s="433"/>
      <c r="AJ167" s="433"/>
      <c r="AK167" s="433"/>
      <c r="AL167" s="433"/>
      <c r="AM167" s="433"/>
      <c r="AN167" s="433"/>
      <c r="AO167" s="433"/>
      <c r="AP167" s="433"/>
      <c r="AQ167" s="433"/>
      <c r="AR167" s="433"/>
      <c r="AS167" s="433" t="b">
        <v>0</v>
      </c>
      <c r="AT167" s="433"/>
      <c r="AU167" s="433"/>
      <c r="AV167" s="433"/>
      <c r="AW167" s="433"/>
      <c r="AX167" s="433"/>
      <c r="AY167" s="433"/>
      <c r="AZ167" s="433"/>
      <c r="BA167" s="433"/>
      <c r="BB167" s="433"/>
      <c r="BC167" s="433"/>
      <c r="BD167" s="433"/>
      <c r="BE167" s="433"/>
      <c r="BF167" s="433"/>
      <c r="BG167" s="433"/>
      <c r="BH167" s="433"/>
      <c r="BI167" s="433"/>
      <c r="BJ167" s="433"/>
      <c r="BK167" s="433"/>
      <c r="BL167" s="433"/>
      <c r="BM167" s="433"/>
      <c r="BN167" s="433"/>
      <c r="BO167" s="433"/>
      <c r="BP167" s="433"/>
      <c r="BQ167" s="433"/>
      <c r="BR167" s="433"/>
      <c r="BS167" s="433"/>
      <c r="BT167" s="433"/>
      <c r="BU167" s="399" t="str">
        <f t="shared" si="35"/>
        <v/>
      </c>
      <c r="BV167" s="433"/>
      <c r="BW167" s="433"/>
      <c r="BX167" s="433"/>
      <c r="BY167" s="433"/>
      <c r="BZ167" s="433"/>
      <c r="CA167" s="433"/>
      <c r="CB167" s="433"/>
      <c r="CC167" s="433"/>
      <c r="CD167" s="433"/>
      <c r="CE167" s="433"/>
      <c r="CF167" s="433"/>
      <c r="CG167" s="433"/>
      <c r="CH167" s="433"/>
      <c r="CI167" s="433"/>
      <c r="CJ167" s="433"/>
      <c r="CK167" s="433"/>
      <c r="CL167" s="433"/>
      <c r="CM167" s="433"/>
      <c r="CN167" s="433"/>
      <c r="CO167" s="433"/>
      <c r="CP167" s="433"/>
      <c r="CQ167" s="433"/>
      <c r="CR167" s="433"/>
      <c r="CS167" s="433"/>
      <c r="CT167" s="433"/>
      <c r="CU167" s="433"/>
      <c r="CV167" s="433"/>
      <c r="CW167" s="433"/>
      <c r="CX167" s="433"/>
      <c r="CY167" s="433"/>
      <c r="CZ167" s="399" t="str">
        <f t="shared" si="36"/>
        <v/>
      </c>
      <c r="DA167" s="399" t="str">
        <f t="shared" si="37"/>
        <v/>
      </c>
      <c r="DB167" s="399" t="str">
        <f t="shared" si="38"/>
        <v/>
      </c>
      <c r="DC167" s="399" t="str">
        <f t="shared" si="39"/>
        <v/>
      </c>
      <c r="DD167" s="399" t="str">
        <f t="shared" si="42"/>
        <v/>
      </c>
      <c r="DE167" s="399" t="str">
        <f t="shared" si="40"/>
        <v/>
      </c>
      <c r="DG167" s="434"/>
      <c r="DH167" s="434"/>
      <c r="DJ167" s="399"/>
    </row>
    <row r="168" spans="8:114" x14ac:dyDescent="0.25">
      <c r="H168" s="416" t="str">
        <f ca="1">IF(IMPORT!C181="","",IMPORT!C181)</f>
        <v/>
      </c>
      <c r="I168" s="416" t="str">
        <f ca="1">IF(IMPORT!D181="","",IMPORT!D181)</f>
        <v/>
      </c>
      <c r="J168" s="416" t="str">
        <f ca="1">IF(IMPORT!E181="","",IMPORT!E181)</f>
        <v/>
      </c>
      <c r="K168" s="416" t="str">
        <f ca="1">IF(IMPORT!F181="","",IMPORT!F181)</f>
        <v/>
      </c>
      <c r="L168" s="416" t="str">
        <f ca="1">IF(IMPORT!G181="","",IMPORT!G181)</f>
        <v/>
      </c>
      <c r="M168" s="416" t="str">
        <f>IF(IMPORT!H181="","",IMPORT!H181)</f>
        <v/>
      </c>
      <c r="N168" s="399" t="str">
        <f t="shared" si="31"/>
        <v/>
      </c>
      <c r="P168" s="406" t="str">
        <f t="shared" si="32"/>
        <v/>
      </c>
      <c r="Q168" s="406" t="str">
        <f t="array" ref="Q168">IFERROR(INDEX($N$1:$N$203,SMALL(IF($N$1:$N$203&lt;&gt;"",ROW($N$1:$N$203)),ROW(166:166))),"")</f>
        <v/>
      </c>
      <c r="R168" s="399" t="str">
        <f t="shared" si="29"/>
        <v/>
      </c>
      <c r="S168" s="399" t="str">
        <f t="shared" si="33"/>
        <v/>
      </c>
      <c r="T168" s="399" t="str">
        <f t="shared" si="34"/>
        <v/>
      </c>
      <c r="U168" s="419" t="str">
        <f t="shared" si="41"/>
        <v/>
      </c>
      <c r="V168" s="433" t="b">
        <v>0</v>
      </c>
      <c r="W168" s="464"/>
      <c r="X168" s="433"/>
      <c r="Y168" s="433" t="s">
        <v>92</v>
      </c>
      <c r="Z168" s="433"/>
      <c r="AA168" s="433"/>
      <c r="AB168" s="433"/>
      <c r="AC168" s="433" t="s">
        <v>1401</v>
      </c>
      <c r="AD168" s="433"/>
      <c r="AE168" s="433" t="s">
        <v>111</v>
      </c>
      <c r="AF168" s="433" t="s">
        <v>299</v>
      </c>
      <c r="AG168" s="433"/>
      <c r="AH168" s="433"/>
      <c r="AI168" s="433"/>
      <c r="AJ168" s="433"/>
      <c r="AK168" s="433"/>
      <c r="AL168" s="433"/>
      <c r="AM168" s="433"/>
      <c r="AN168" s="433"/>
      <c r="AO168" s="433"/>
      <c r="AP168" s="433"/>
      <c r="AQ168" s="433"/>
      <c r="AR168" s="433"/>
      <c r="AS168" s="433" t="b">
        <v>0</v>
      </c>
      <c r="AT168" s="433"/>
      <c r="AU168" s="433"/>
      <c r="AV168" s="433"/>
      <c r="AW168" s="433"/>
      <c r="AX168" s="433"/>
      <c r="AY168" s="433"/>
      <c r="AZ168" s="433"/>
      <c r="BA168" s="433"/>
      <c r="BB168" s="433"/>
      <c r="BC168" s="433"/>
      <c r="BD168" s="433"/>
      <c r="BE168" s="433"/>
      <c r="BF168" s="433"/>
      <c r="BG168" s="433"/>
      <c r="BH168" s="433"/>
      <c r="BI168" s="433"/>
      <c r="BJ168" s="433"/>
      <c r="BK168" s="433"/>
      <c r="BL168" s="433"/>
      <c r="BM168" s="433"/>
      <c r="BN168" s="433"/>
      <c r="BO168" s="433"/>
      <c r="BP168" s="433"/>
      <c r="BQ168" s="433"/>
      <c r="BR168" s="433"/>
      <c r="BS168" s="433"/>
      <c r="BT168" s="433"/>
      <c r="BU168" s="399" t="str">
        <f t="shared" si="35"/>
        <v/>
      </c>
      <c r="BV168" s="433"/>
      <c r="BW168" s="433"/>
      <c r="BX168" s="433"/>
      <c r="BY168" s="433"/>
      <c r="BZ168" s="433"/>
      <c r="CA168" s="433"/>
      <c r="CB168" s="433"/>
      <c r="CC168" s="433"/>
      <c r="CD168" s="433"/>
      <c r="CE168" s="433"/>
      <c r="CF168" s="433"/>
      <c r="CG168" s="433"/>
      <c r="CH168" s="433"/>
      <c r="CI168" s="433"/>
      <c r="CJ168" s="433"/>
      <c r="CK168" s="433"/>
      <c r="CL168" s="433"/>
      <c r="CM168" s="433"/>
      <c r="CN168" s="433"/>
      <c r="CO168" s="433"/>
      <c r="CP168" s="433"/>
      <c r="CQ168" s="433"/>
      <c r="CR168" s="433"/>
      <c r="CS168" s="433"/>
      <c r="CT168" s="433"/>
      <c r="CU168" s="433"/>
      <c r="CV168" s="433"/>
      <c r="CW168" s="433"/>
      <c r="CX168" s="433"/>
      <c r="CY168" s="433"/>
      <c r="CZ168" s="399" t="str">
        <f t="shared" si="36"/>
        <v/>
      </c>
      <c r="DA168" s="399" t="str">
        <f t="shared" si="37"/>
        <v/>
      </c>
      <c r="DB168" s="399" t="str">
        <f t="shared" si="38"/>
        <v/>
      </c>
      <c r="DC168" s="399" t="str">
        <f t="shared" si="39"/>
        <v/>
      </c>
      <c r="DD168" s="399" t="str">
        <f t="shared" si="42"/>
        <v/>
      </c>
      <c r="DE168" s="399" t="str">
        <f t="shared" si="40"/>
        <v/>
      </c>
      <c r="DG168" s="434"/>
      <c r="DH168" s="434"/>
      <c r="DJ168" s="399"/>
    </row>
    <row r="169" spans="8:114" x14ac:dyDescent="0.25">
      <c r="H169" s="416" t="str">
        <f ca="1">IF(IMPORT!C182="","",IMPORT!C182)</f>
        <v/>
      </c>
      <c r="I169" s="416" t="str">
        <f ca="1">IF(IMPORT!D182="","",IMPORT!D182)</f>
        <v/>
      </c>
      <c r="J169" s="416" t="str">
        <f ca="1">IF(IMPORT!E182="","",IMPORT!E182)</f>
        <v/>
      </c>
      <c r="K169" s="416" t="str">
        <f ca="1">IF(IMPORT!F182="","",IMPORT!F182)</f>
        <v/>
      </c>
      <c r="L169" s="416" t="str">
        <f ca="1">IF(IMPORT!G182="","",IMPORT!G182)</f>
        <v/>
      </c>
      <c r="M169" s="416" t="str">
        <f>IF(IMPORT!H182="","",IMPORT!H182)</f>
        <v/>
      </c>
      <c r="N169" s="399" t="str">
        <f t="shared" si="31"/>
        <v/>
      </c>
      <c r="P169" s="406" t="str">
        <f t="shared" si="32"/>
        <v/>
      </c>
      <c r="Q169" s="406" t="str">
        <f t="array" ref="Q169">IFERROR(INDEX($N$1:$N$203,SMALL(IF($N$1:$N$203&lt;&gt;"",ROW($N$1:$N$203)),ROW(167:167))),"")</f>
        <v/>
      </c>
      <c r="R169" s="399" t="str">
        <f t="shared" si="29"/>
        <v/>
      </c>
      <c r="S169" s="399" t="str">
        <f t="shared" si="33"/>
        <v/>
      </c>
      <c r="T169" s="399" t="str">
        <f t="shared" si="34"/>
        <v/>
      </c>
      <c r="U169" s="419" t="str">
        <f t="shared" si="41"/>
        <v/>
      </c>
      <c r="V169" s="433" t="b">
        <v>0</v>
      </c>
      <c r="W169" s="464"/>
      <c r="X169" s="433"/>
      <c r="Y169" s="433" t="s">
        <v>92</v>
      </c>
      <c r="Z169" s="433"/>
      <c r="AA169" s="433"/>
      <c r="AB169" s="433"/>
      <c r="AC169" s="433" t="s">
        <v>1401</v>
      </c>
      <c r="AD169" s="433"/>
      <c r="AE169" s="433" t="s">
        <v>111</v>
      </c>
      <c r="AF169" s="433" t="s">
        <v>299</v>
      </c>
      <c r="AG169" s="433"/>
      <c r="AH169" s="433"/>
      <c r="AI169" s="433"/>
      <c r="AJ169" s="433"/>
      <c r="AK169" s="433"/>
      <c r="AL169" s="433"/>
      <c r="AM169" s="433"/>
      <c r="AN169" s="433"/>
      <c r="AO169" s="433"/>
      <c r="AP169" s="433"/>
      <c r="AQ169" s="433"/>
      <c r="AR169" s="433"/>
      <c r="AS169" s="433" t="b">
        <v>0</v>
      </c>
      <c r="AT169" s="433"/>
      <c r="AU169" s="433"/>
      <c r="AV169" s="433"/>
      <c r="AW169" s="433"/>
      <c r="AX169" s="433"/>
      <c r="AY169" s="433"/>
      <c r="AZ169" s="433"/>
      <c r="BA169" s="433"/>
      <c r="BB169" s="433"/>
      <c r="BC169" s="433"/>
      <c r="BD169" s="433"/>
      <c r="BE169" s="433"/>
      <c r="BF169" s="433"/>
      <c r="BG169" s="433"/>
      <c r="BH169" s="433"/>
      <c r="BI169" s="433"/>
      <c r="BJ169" s="433"/>
      <c r="BK169" s="433"/>
      <c r="BL169" s="433"/>
      <c r="BM169" s="433"/>
      <c r="BN169" s="433"/>
      <c r="BO169" s="433"/>
      <c r="BP169" s="433"/>
      <c r="BQ169" s="433"/>
      <c r="BR169" s="433"/>
      <c r="BS169" s="433"/>
      <c r="BT169" s="433"/>
      <c r="BU169" s="399" t="str">
        <f t="shared" si="35"/>
        <v/>
      </c>
      <c r="BV169" s="433"/>
      <c r="BW169" s="433"/>
      <c r="BX169" s="433"/>
      <c r="BY169" s="433"/>
      <c r="BZ169" s="433"/>
      <c r="CA169" s="433"/>
      <c r="CB169" s="433"/>
      <c r="CC169" s="433"/>
      <c r="CD169" s="433"/>
      <c r="CE169" s="433"/>
      <c r="CF169" s="433"/>
      <c r="CG169" s="433"/>
      <c r="CH169" s="433"/>
      <c r="CI169" s="433"/>
      <c r="CJ169" s="433"/>
      <c r="CK169" s="433"/>
      <c r="CL169" s="433"/>
      <c r="CM169" s="433"/>
      <c r="CN169" s="433"/>
      <c r="CO169" s="433"/>
      <c r="CP169" s="433"/>
      <c r="CQ169" s="433"/>
      <c r="CR169" s="433"/>
      <c r="CS169" s="433"/>
      <c r="CT169" s="433"/>
      <c r="CU169" s="433"/>
      <c r="CV169" s="433"/>
      <c r="CW169" s="433"/>
      <c r="CX169" s="433"/>
      <c r="CY169" s="433"/>
      <c r="CZ169" s="399" t="str">
        <f t="shared" si="36"/>
        <v/>
      </c>
      <c r="DA169" s="399" t="str">
        <f t="shared" si="37"/>
        <v/>
      </c>
      <c r="DB169" s="399" t="str">
        <f t="shared" si="38"/>
        <v/>
      </c>
      <c r="DC169" s="399" t="str">
        <f t="shared" si="39"/>
        <v/>
      </c>
      <c r="DD169" s="399" t="str">
        <f t="shared" si="42"/>
        <v/>
      </c>
      <c r="DE169" s="399" t="str">
        <f t="shared" si="40"/>
        <v/>
      </c>
      <c r="DG169" s="434"/>
      <c r="DH169" s="434"/>
      <c r="DJ169" s="399"/>
    </row>
    <row r="170" spans="8:114" x14ac:dyDescent="0.25">
      <c r="H170" s="416" t="str">
        <f ca="1">IF(IMPORT!C183="","",IMPORT!C183)</f>
        <v/>
      </c>
      <c r="I170" s="416" t="str">
        <f ca="1">IF(IMPORT!D183="","",IMPORT!D183)</f>
        <v/>
      </c>
      <c r="J170" s="416" t="str">
        <f ca="1">IF(IMPORT!E183="","",IMPORT!E183)</f>
        <v/>
      </c>
      <c r="K170" s="416" t="str">
        <f ca="1">IF(IMPORT!F183="","",IMPORT!F183)</f>
        <v/>
      </c>
      <c r="L170" s="416" t="str">
        <f ca="1">IF(IMPORT!G183="","",IMPORT!G183)</f>
        <v/>
      </c>
      <c r="M170" s="416" t="str">
        <f>IF(IMPORT!H183="","",IMPORT!H183)</f>
        <v/>
      </c>
      <c r="N170" s="399" t="str">
        <f t="shared" si="31"/>
        <v/>
      </c>
      <c r="P170" s="406" t="str">
        <f t="shared" si="32"/>
        <v/>
      </c>
      <c r="Q170" s="406" t="str">
        <f t="array" ref="Q170">IFERROR(INDEX($N$1:$N$203,SMALL(IF($N$1:$N$203&lt;&gt;"",ROW($N$1:$N$203)),ROW(168:168))),"")</f>
        <v/>
      </c>
      <c r="R170" s="399" t="str">
        <f t="shared" si="29"/>
        <v/>
      </c>
      <c r="S170" s="399" t="str">
        <f t="shared" si="33"/>
        <v/>
      </c>
      <c r="T170" s="399" t="str">
        <f t="shared" si="34"/>
        <v/>
      </c>
      <c r="U170" s="419" t="str">
        <f t="shared" si="41"/>
        <v/>
      </c>
      <c r="V170" s="433" t="b">
        <v>0</v>
      </c>
      <c r="W170" s="464"/>
      <c r="X170" s="433"/>
      <c r="Y170" s="433" t="s">
        <v>92</v>
      </c>
      <c r="Z170" s="433"/>
      <c r="AA170" s="433"/>
      <c r="AB170" s="433"/>
      <c r="AC170" s="433" t="s">
        <v>1401</v>
      </c>
      <c r="AD170" s="433"/>
      <c r="AE170" s="433" t="s">
        <v>111</v>
      </c>
      <c r="AF170" s="433" t="s">
        <v>299</v>
      </c>
      <c r="AG170" s="433"/>
      <c r="AH170" s="433"/>
      <c r="AI170" s="433"/>
      <c r="AJ170" s="433"/>
      <c r="AK170" s="433"/>
      <c r="AL170" s="433"/>
      <c r="AM170" s="433"/>
      <c r="AN170" s="433"/>
      <c r="AO170" s="433"/>
      <c r="AP170" s="433"/>
      <c r="AQ170" s="433"/>
      <c r="AR170" s="433"/>
      <c r="AS170" s="433" t="b">
        <v>0</v>
      </c>
      <c r="AT170" s="433"/>
      <c r="AU170" s="433"/>
      <c r="AV170" s="433"/>
      <c r="AW170" s="433"/>
      <c r="AX170" s="433"/>
      <c r="AY170" s="433"/>
      <c r="AZ170" s="433"/>
      <c r="BA170" s="433"/>
      <c r="BB170" s="433"/>
      <c r="BC170" s="433"/>
      <c r="BD170" s="433"/>
      <c r="BE170" s="433"/>
      <c r="BF170" s="433"/>
      <c r="BG170" s="433"/>
      <c r="BH170" s="433"/>
      <c r="BI170" s="433"/>
      <c r="BJ170" s="433"/>
      <c r="BK170" s="433"/>
      <c r="BL170" s="433"/>
      <c r="BM170" s="433"/>
      <c r="BN170" s="433"/>
      <c r="BO170" s="433"/>
      <c r="BP170" s="433"/>
      <c r="BQ170" s="433"/>
      <c r="BR170" s="433"/>
      <c r="BS170" s="433"/>
      <c r="BT170" s="433"/>
      <c r="BU170" s="399" t="str">
        <f t="shared" si="35"/>
        <v/>
      </c>
      <c r="BV170" s="433"/>
      <c r="BW170" s="433"/>
      <c r="BX170" s="433"/>
      <c r="BY170" s="433"/>
      <c r="BZ170" s="433"/>
      <c r="CA170" s="433"/>
      <c r="CB170" s="433"/>
      <c r="CC170" s="433"/>
      <c r="CD170" s="433"/>
      <c r="CE170" s="433"/>
      <c r="CF170" s="433"/>
      <c r="CG170" s="433"/>
      <c r="CH170" s="433"/>
      <c r="CI170" s="433"/>
      <c r="CJ170" s="433"/>
      <c r="CK170" s="433"/>
      <c r="CL170" s="433"/>
      <c r="CM170" s="433"/>
      <c r="CN170" s="433"/>
      <c r="CO170" s="433"/>
      <c r="CP170" s="433"/>
      <c r="CQ170" s="433"/>
      <c r="CR170" s="433"/>
      <c r="CS170" s="433"/>
      <c r="CT170" s="433"/>
      <c r="CU170" s="433"/>
      <c r="CV170" s="433"/>
      <c r="CW170" s="433"/>
      <c r="CX170" s="433"/>
      <c r="CY170" s="433"/>
      <c r="CZ170" s="399" t="str">
        <f t="shared" si="36"/>
        <v/>
      </c>
      <c r="DA170" s="399" t="str">
        <f t="shared" si="37"/>
        <v/>
      </c>
      <c r="DB170" s="399" t="str">
        <f t="shared" si="38"/>
        <v/>
      </c>
      <c r="DC170" s="399" t="str">
        <f t="shared" si="39"/>
        <v/>
      </c>
      <c r="DD170" s="399" t="str">
        <f t="shared" si="42"/>
        <v/>
      </c>
      <c r="DE170" s="399" t="str">
        <f t="shared" si="40"/>
        <v/>
      </c>
      <c r="DG170" s="434"/>
      <c r="DH170" s="434"/>
      <c r="DJ170" s="399"/>
    </row>
    <row r="171" spans="8:114" x14ac:dyDescent="0.25">
      <c r="H171" s="416" t="str">
        <f ca="1">IF(IMPORT!C184="","",IMPORT!C184)</f>
        <v/>
      </c>
      <c r="I171" s="416" t="str">
        <f ca="1">IF(IMPORT!D184="","",IMPORT!D184)</f>
        <v/>
      </c>
      <c r="J171" s="416" t="str">
        <f ca="1">IF(IMPORT!E184="","",IMPORT!E184)</f>
        <v/>
      </c>
      <c r="K171" s="416" t="str">
        <f ca="1">IF(IMPORT!F184="","",IMPORT!F184)</f>
        <v/>
      </c>
      <c r="L171" s="416" t="str">
        <f ca="1">IF(IMPORT!G184="","",IMPORT!G184)</f>
        <v/>
      </c>
      <c r="M171" s="416" t="str">
        <f>IF(IMPORT!H184="","",IMPORT!H184)</f>
        <v/>
      </c>
      <c r="N171" s="399" t="str">
        <f t="shared" si="31"/>
        <v/>
      </c>
      <c r="P171" s="406" t="str">
        <f t="shared" si="32"/>
        <v/>
      </c>
      <c r="Q171" s="406" t="str">
        <f t="array" ref="Q171">IFERROR(INDEX($N$1:$N$203,SMALL(IF($N$1:$N$203&lt;&gt;"",ROW($N$1:$N$203)),ROW(169:169))),"")</f>
        <v/>
      </c>
      <c r="R171" s="399" t="str">
        <f t="shared" si="29"/>
        <v/>
      </c>
      <c r="S171" s="399" t="str">
        <f t="shared" si="33"/>
        <v/>
      </c>
      <c r="T171" s="399" t="str">
        <f t="shared" si="34"/>
        <v/>
      </c>
      <c r="U171" s="419" t="str">
        <f t="shared" si="41"/>
        <v/>
      </c>
      <c r="V171" s="433" t="b">
        <v>0</v>
      </c>
      <c r="W171" s="464"/>
      <c r="X171" s="433"/>
      <c r="Y171" s="433" t="s">
        <v>92</v>
      </c>
      <c r="Z171" s="433"/>
      <c r="AA171" s="433"/>
      <c r="AB171" s="433"/>
      <c r="AC171" s="433" t="s">
        <v>1401</v>
      </c>
      <c r="AD171" s="433"/>
      <c r="AE171" s="433" t="s">
        <v>111</v>
      </c>
      <c r="AF171" s="433" t="s">
        <v>299</v>
      </c>
      <c r="AG171" s="433"/>
      <c r="AH171" s="433"/>
      <c r="AI171" s="433"/>
      <c r="AJ171" s="433"/>
      <c r="AK171" s="433"/>
      <c r="AL171" s="433"/>
      <c r="AM171" s="433"/>
      <c r="AN171" s="433"/>
      <c r="AO171" s="433"/>
      <c r="AP171" s="433"/>
      <c r="AQ171" s="433"/>
      <c r="AR171" s="433"/>
      <c r="AS171" s="433" t="b">
        <v>0</v>
      </c>
      <c r="AT171" s="433"/>
      <c r="AU171" s="433"/>
      <c r="AV171" s="433"/>
      <c r="AW171" s="433"/>
      <c r="AX171" s="433"/>
      <c r="AY171" s="433"/>
      <c r="AZ171" s="433"/>
      <c r="BA171" s="433"/>
      <c r="BB171" s="433"/>
      <c r="BC171" s="433"/>
      <c r="BD171" s="433"/>
      <c r="BE171" s="433"/>
      <c r="BF171" s="433"/>
      <c r="BG171" s="433"/>
      <c r="BH171" s="433"/>
      <c r="BI171" s="433"/>
      <c r="BJ171" s="433"/>
      <c r="BK171" s="433"/>
      <c r="BL171" s="433"/>
      <c r="BM171" s="433"/>
      <c r="BN171" s="433"/>
      <c r="BO171" s="433"/>
      <c r="BP171" s="433"/>
      <c r="BQ171" s="433"/>
      <c r="BR171" s="433"/>
      <c r="BS171" s="433"/>
      <c r="BT171" s="433"/>
      <c r="BU171" s="399" t="str">
        <f t="shared" si="35"/>
        <v/>
      </c>
      <c r="BV171" s="433"/>
      <c r="BW171" s="433"/>
      <c r="BX171" s="433"/>
      <c r="BY171" s="433"/>
      <c r="BZ171" s="433"/>
      <c r="CA171" s="433"/>
      <c r="CB171" s="433"/>
      <c r="CC171" s="433"/>
      <c r="CD171" s="433"/>
      <c r="CE171" s="433"/>
      <c r="CF171" s="433"/>
      <c r="CG171" s="433"/>
      <c r="CH171" s="433"/>
      <c r="CI171" s="433"/>
      <c r="CJ171" s="433"/>
      <c r="CK171" s="433"/>
      <c r="CL171" s="433"/>
      <c r="CM171" s="433"/>
      <c r="CN171" s="433"/>
      <c r="CO171" s="433"/>
      <c r="CP171" s="433"/>
      <c r="CQ171" s="433"/>
      <c r="CR171" s="433"/>
      <c r="CS171" s="433"/>
      <c r="CT171" s="433"/>
      <c r="CU171" s="433"/>
      <c r="CV171" s="433"/>
      <c r="CW171" s="433"/>
      <c r="CX171" s="433"/>
      <c r="CY171" s="433"/>
      <c r="CZ171" s="399" t="str">
        <f t="shared" si="36"/>
        <v/>
      </c>
      <c r="DA171" s="399" t="str">
        <f t="shared" si="37"/>
        <v/>
      </c>
      <c r="DB171" s="399" t="str">
        <f t="shared" si="38"/>
        <v/>
      </c>
      <c r="DC171" s="399" t="str">
        <f t="shared" si="39"/>
        <v/>
      </c>
      <c r="DD171" s="399" t="str">
        <f t="shared" si="42"/>
        <v/>
      </c>
      <c r="DE171" s="399" t="str">
        <f t="shared" si="40"/>
        <v/>
      </c>
      <c r="DG171" s="434"/>
      <c r="DH171" s="434"/>
      <c r="DJ171" s="399"/>
    </row>
    <row r="172" spans="8:114" x14ac:dyDescent="0.25">
      <c r="H172" s="416" t="str">
        <f ca="1">IF(IMPORT!C185="","",IMPORT!C185)</f>
        <v/>
      </c>
      <c r="I172" s="416" t="str">
        <f ca="1">IF(IMPORT!D185="","",IMPORT!D185)</f>
        <v/>
      </c>
      <c r="J172" s="416" t="str">
        <f ca="1">IF(IMPORT!E185="","",IMPORT!E185)</f>
        <v/>
      </c>
      <c r="K172" s="416" t="str">
        <f ca="1">IF(IMPORT!F185="","",IMPORT!F185)</f>
        <v/>
      </c>
      <c r="L172" s="416" t="str">
        <f ca="1">IF(IMPORT!G185="","",IMPORT!G185)</f>
        <v/>
      </c>
      <c r="M172" s="416" t="str">
        <f>IF(IMPORT!H185="","",IMPORT!H185)</f>
        <v/>
      </c>
      <c r="N172" s="399" t="str">
        <f t="shared" si="31"/>
        <v/>
      </c>
      <c r="P172" s="406" t="str">
        <f t="shared" si="32"/>
        <v/>
      </c>
      <c r="Q172" s="406" t="str">
        <f t="array" ref="Q172">IFERROR(INDEX($N$1:$N$203,SMALL(IF($N$1:$N$203&lt;&gt;"",ROW($N$1:$N$203)),ROW(170:170))),"")</f>
        <v/>
      </c>
      <c r="R172" s="399" t="str">
        <f t="shared" si="29"/>
        <v/>
      </c>
      <c r="S172" s="399" t="str">
        <f t="shared" si="33"/>
        <v/>
      </c>
      <c r="T172" s="399" t="str">
        <f t="shared" si="34"/>
        <v/>
      </c>
      <c r="U172" s="419" t="str">
        <f t="shared" si="41"/>
        <v/>
      </c>
      <c r="V172" s="433" t="b">
        <v>0</v>
      </c>
      <c r="W172" s="464"/>
      <c r="X172" s="433"/>
      <c r="Y172" s="433" t="s">
        <v>92</v>
      </c>
      <c r="Z172" s="433"/>
      <c r="AA172" s="433"/>
      <c r="AB172" s="433"/>
      <c r="AC172" s="433" t="s">
        <v>1401</v>
      </c>
      <c r="AD172" s="433"/>
      <c r="AE172" s="433" t="s">
        <v>111</v>
      </c>
      <c r="AF172" s="433" t="s">
        <v>299</v>
      </c>
      <c r="AG172" s="433"/>
      <c r="AH172" s="433"/>
      <c r="AI172" s="433"/>
      <c r="AJ172" s="433"/>
      <c r="AK172" s="433"/>
      <c r="AL172" s="433"/>
      <c r="AM172" s="433"/>
      <c r="AN172" s="433"/>
      <c r="AO172" s="433"/>
      <c r="AP172" s="433"/>
      <c r="AQ172" s="433"/>
      <c r="AR172" s="433"/>
      <c r="AS172" s="433" t="b">
        <v>0</v>
      </c>
      <c r="AT172" s="433"/>
      <c r="AU172" s="433"/>
      <c r="AV172" s="433"/>
      <c r="AW172" s="433"/>
      <c r="AX172" s="433"/>
      <c r="AY172" s="433"/>
      <c r="AZ172" s="433"/>
      <c r="BA172" s="433"/>
      <c r="BB172" s="433"/>
      <c r="BC172" s="433"/>
      <c r="BD172" s="433"/>
      <c r="BE172" s="433"/>
      <c r="BF172" s="433"/>
      <c r="BG172" s="433"/>
      <c r="BH172" s="433"/>
      <c r="BI172" s="433"/>
      <c r="BJ172" s="433"/>
      <c r="BK172" s="433"/>
      <c r="BL172" s="433"/>
      <c r="BM172" s="433"/>
      <c r="BN172" s="433"/>
      <c r="BO172" s="433"/>
      <c r="BP172" s="433"/>
      <c r="BQ172" s="433"/>
      <c r="BR172" s="433"/>
      <c r="BS172" s="433"/>
      <c r="BT172" s="433"/>
      <c r="BU172" s="399" t="str">
        <f t="shared" si="35"/>
        <v/>
      </c>
      <c r="BV172" s="433"/>
      <c r="BW172" s="433"/>
      <c r="BX172" s="433"/>
      <c r="BY172" s="433"/>
      <c r="BZ172" s="433"/>
      <c r="CA172" s="433"/>
      <c r="CB172" s="433"/>
      <c r="CC172" s="433"/>
      <c r="CD172" s="433"/>
      <c r="CE172" s="433"/>
      <c r="CF172" s="433"/>
      <c r="CG172" s="433"/>
      <c r="CH172" s="433"/>
      <c r="CI172" s="433"/>
      <c r="CJ172" s="433"/>
      <c r="CK172" s="433"/>
      <c r="CL172" s="433"/>
      <c r="CM172" s="433"/>
      <c r="CN172" s="433"/>
      <c r="CO172" s="433"/>
      <c r="CP172" s="433"/>
      <c r="CQ172" s="433"/>
      <c r="CR172" s="433"/>
      <c r="CS172" s="433"/>
      <c r="CT172" s="433"/>
      <c r="CU172" s="433"/>
      <c r="CV172" s="433"/>
      <c r="CW172" s="433"/>
      <c r="CX172" s="433"/>
      <c r="CY172" s="433"/>
      <c r="CZ172" s="399" t="str">
        <f t="shared" si="36"/>
        <v/>
      </c>
      <c r="DA172" s="399" t="str">
        <f t="shared" si="37"/>
        <v/>
      </c>
      <c r="DB172" s="399" t="str">
        <f t="shared" si="38"/>
        <v/>
      </c>
      <c r="DC172" s="399" t="str">
        <f t="shared" si="39"/>
        <v/>
      </c>
      <c r="DD172" s="399" t="str">
        <f t="shared" si="42"/>
        <v/>
      </c>
      <c r="DE172" s="399" t="str">
        <f t="shared" si="40"/>
        <v/>
      </c>
      <c r="DG172" s="434"/>
      <c r="DH172" s="434"/>
      <c r="DJ172" s="399"/>
    </row>
    <row r="173" spans="8:114" x14ac:dyDescent="0.25">
      <c r="H173" s="416" t="str">
        <f ca="1">IF(IMPORT!C186="","",IMPORT!C186)</f>
        <v/>
      </c>
      <c r="I173" s="416" t="str">
        <f ca="1">IF(IMPORT!D186="","",IMPORT!D186)</f>
        <v/>
      </c>
      <c r="J173" s="416" t="str">
        <f ca="1">IF(IMPORT!E186="","",IMPORT!E186)</f>
        <v/>
      </c>
      <c r="K173" s="416" t="str">
        <f ca="1">IF(IMPORT!F186="","",IMPORT!F186)</f>
        <v/>
      </c>
      <c r="L173" s="416" t="str">
        <f ca="1">IF(IMPORT!G186="","",IMPORT!G186)</f>
        <v/>
      </c>
      <c r="M173" s="416" t="str">
        <f>IF(IMPORT!H186="","",IMPORT!H186)</f>
        <v/>
      </c>
      <c r="N173" s="399" t="str">
        <f t="shared" si="31"/>
        <v/>
      </c>
      <c r="P173" s="406" t="str">
        <f t="shared" si="32"/>
        <v/>
      </c>
      <c r="Q173" s="406" t="str">
        <f t="array" ref="Q173">IFERROR(INDEX($N$1:$N$203,SMALL(IF($N$1:$N$203&lt;&gt;"",ROW($N$1:$N$203)),ROW(171:171))),"")</f>
        <v/>
      </c>
      <c r="R173" s="399" t="str">
        <f t="shared" si="29"/>
        <v/>
      </c>
      <c r="S173" s="399" t="str">
        <f t="shared" si="33"/>
        <v/>
      </c>
      <c r="T173" s="399" t="str">
        <f t="shared" si="34"/>
        <v/>
      </c>
      <c r="U173" s="419" t="str">
        <f t="shared" si="41"/>
        <v/>
      </c>
      <c r="V173" s="433" t="b">
        <v>0</v>
      </c>
      <c r="W173" s="464"/>
      <c r="X173" s="433"/>
      <c r="Y173" s="433" t="s">
        <v>92</v>
      </c>
      <c r="Z173" s="433"/>
      <c r="AA173" s="433"/>
      <c r="AB173" s="433"/>
      <c r="AC173" s="433" t="s">
        <v>1401</v>
      </c>
      <c r="AD173" s="433"/>
      <c r="AE173" s="433" t="s">
        <v>111</v>
      </c>
      <c r="AF173" s="433" t="s">
        <v>299</v>
      </c>
      <c r="AG173" s="433"/>
      <c r="AH173" s="433"/>
      <c r="AI173" s="433"/>
      <c r="AJ173" s="433"/>
      <c r="AK173" s="433"/>
      <c r="AL173" s="433"/>
      <c r="AM173" s="433"/>
      <c r="AN173" s="433"/>
      <c r="AO173" s="433"/>
      <c r="AP173" s="433"/>
      <c r="AQ173" s="433"/>
      <c r="AR173" s="433"/>
      <c r="AS173" s="433" t="b">
        <v>0</v>
      </c>
      <c r="AT173" s="433"/>
      <c r="AU173" s="433"/>
      <c r="AV173" s="433"/>
      <c r="AW173" s="433"/>
      <c r="AX173" s="433"/>
      <c r="AY173" s="433"/>
      <c r="AZ173" s="433"/>
      <c r="BA173" s="433"/>
      <c r="BB173" s="433"/>
      <c r="BC173" s="433"/>
      <c r="BD173" s="433"/>
      <c r="BE173" s="433"/>
      <c r="BF173" s="433"/>
      <c r="BG173" s="433"/>
      <c r="BH173" s="433"/>
      <c r="BI173" s="433"/>
      <c r="BJ173" s="433"/>
      <c r="BK173" s="433"/>
      <c r="BL173" s="433"/>
      <c r="BM173" s="433"/>
      <c r="BN173" s="433"/>
      <c r="BO173" s="433"/>
      <c r="BP173" s="433"/>
      <c r="BQ173" s="433"/>
      <c r="BR173" s="433"/>
      <c r="BS173" s="433"/>
      <c r="BT173" s="433"/>
      <c r="BU173" s="399" t="str">
        <f t="shared" si="35"/>
        <v/>
      </c>
      <c r="BV173" s="433"/>
      <c r="BW173" s="433"/>
      <c r="BX173" s="433"/>
      <c r="BY173" s="433"/>
      <c r="BZ173" s="433"/>
      <c r="CA173" s="433"/>
      <c r="CB173" s="433"/>
      <c r="CC173" s="433"/>
      <c r="CD173" s="433"/>
      <c r="CE173" s="433"/>
      <c r="CF173" s="433"/>
      <c r="CG173" s="433"/>
      <c r="CH173" s="433"/>
      <c r="CI173" s="433"/>
      <c r="CJ173" s="433"/>
      <c r="CK173" s="433"/>
      <c r="CL173" s="433"/>
      <c r="CM173" s="433"/>
      <c r="CN173" s="433"/>
      <c r="CO173" s="433"/>
      <c r="CP173" s="433"/>
      <c r="CQ173" s="433"/>
      <c r="CR173" s="433"/>
      <c r="CS173" s="433"/>
      <c r="CT173" s="433"/>
      <c r="CU173" s="433"/>
      <c r="CV173" s="433"/>
      <c r="CW173" s="433"/>
      <c r="CX173" s="433"/>
      <c r="CY173" s="433"/>
      <c r="CZ173" s="399" t="str">
        <f t="shared" si="36"/>
        <v/>
      </c>
      <c r="DA173" s="399" t="str">
        <f t="shared" si="37"/>
        <v/>
      </c>
      <c r="DB173" s="399" t="str">
        <f t="shared" si="38"/>
        <v/>
      </c>
      <c r="DC173" s="399" t="str">
        <f t="shared" si="39"/>
        <v/>
      </c>
      <c r="DD173" s="399" t="str">
        <f t="shared" si="42"/>
        <v/>
      </c>
      <c r="DE173" s="399" t="str">
        <f t="shared" si="40"/>
        <v/>
      </c>
      <c r="DG173" s="434"/>
      <c r="DH173" s="434"/>
      <c r="DJ173" s="399"/>
    </row>
    <row r="174" spans="8:114" x14ac:dyDescent="0.25">
      <c r="H174" s="416" t="str">
        <f ca="1">IF(IMPORT!C187="","",IMPORT!C187)</f>
        <v/>
      </c>
      <c r="I174" s="416" t="str">
        <f ca="1">IF(IMPORT!D187="","",IMPORT!D187)</f>
        <v/>
      </c>
      <c r="J174" s="416" t="str">
        <f ca="1">IF(IMPORT!E187="","",IMPORT!E187)</f>
        <v/>
      </c>
      <c r="K174" s="416" t="str">
        <f ca="1">IF(IMPORT!F187="","",IMPORT!F187)</f>
        <v/>
      </c>
      <c r="L174" s="416" t="str">
        <f ca="1">IF(IMPORT!G187="","",IMPORT!G187)</f>
        <v/>
      </c>
      <c r="M174" s="416" t="str">
        <f>IF(IMPORT!H187="","",IMPORT!H187)</f>
        <v/>
      </c>
      <c r="N174" s="399" t="str">
        <f t="shared" si="31"/>
        <v/>
      </c>
      <c r="P174" s="406" t="str">
        <f t="shared" si="32"/>
        <v/>
      </c>
      <c r="Q174" s="406" t="str">
        <f t="array" ref="Q174">IFERROR(INDEX($N$1:$N$203,SMALL(IF($N$1:$N$203&lt;&gt;"",ROW($N$1:$N$203)),ROW(172:172))),"")</f>
        <v/>
      </c>
      <c r="R174" s="399" t="str">
        <f t="shared" si="29"/>
        <v/>
      </c>
      <c r="S174" s="399" t="str">
        <f t="shared" si="33"/>
        <v/>
      </c>
      <c r="T174" s="399" t="str">
        <f t="shared" si="34"/>
        <v/>
      </c>
      <c r="U174" s="419" t="str">
        <f t="shared" si="41"/>
        <v/>
      </c>
      <c r="V174" s="433" t="b">
        <v>0</v>
      </c>
      <c r="W174" s="464"/>
      <c r="X174" s="433"/>
      <c r="Y174" s="433" t="s">
        <v>92</v>
      </c>
      <c r="Z174" s="433"/>
      <c r="AA174" s="433"/>
      <c r="AB174" s="433"/>
      <c r="AC174" s="433" t="s">
        <v>1401</v>
      </c>
      <c r="AD174" s="433"/>
      <c r="AE174" s="433" t="s">
        <v>111</v>
      </c>
      <c r="AF174" s="433" t="s">
        <v>299</v>
      </c>
      <c r="AG174" s="433"/>
      <c r="AH174" s="433"/>
      <c r="AI174" s="433"/>
      <c r="AJ174" s="433"/>
      <c r="AK174" s="433"/>
      <c r="AL174" s="433"/>
      <c r="AM174" s="433"/>
      <c r="AN174" s="433"/>
      <c r="AO174" s="433"/>
      <c r="AP174" s="433"/>
      <c r="AQ174" s="433"/>
      <c r="AR174" s="433"/>
      <c r="AS174" s="433" t="b">
        <v>0</v>
      </c>
      <c r="AT174" s="433"/>
      <c r="AU174" s="433"/>
      <c r="AV174" s="433"/>
      <c r="AW174" s="433"/>
      <c r="AX174" s="433"/>
      <c r="AY174" s="433"/>
      <c r="AZ174" s="433"/>
      <c r="BA174" s="433"/>
      <c r="BB174" s="433"/>
      <c r="BC174" s="433"/>
      <c r="BD174" s="433"/>
      <c r="BE174" s="433"/>
      <c r="BF174" s="433"/>
      <c r="BG174" s="433"/>
      <c r="BH174" s="433"/>
      <c r="BI174" s="433"/>
      <c r="BJ174" s="433"/>
      <c r="BK174" s="433"/>
      <c r="BL174" s="433"/>
      <c r="BM174" s="433"/>
      <c r="BN174" s="433"/>
      <c r="BO174" s="433"/>
      <c r="BP174" s="433"/>
      <c r="BQ174" s="433"/>
      <c r="BR174" s="433"/>
      <c r="BS174" s="433"/>
      <c r="BT174" s="433"/>
      <c r="BU174" s="399" t="str">
        <f t="shared" si="35"/>
        <v/>
      </c>
      <c r="BV174" s="433"/>
      <c r="BW174" s="433"/>
      <c r="BX174" s="433"/>
      <c r="BY174" s="433"/>
      <c r="BZ174" s="433"/>
      <c r="CA174" s="433"/>
      <c r="CB174" s="433"/>
      <c r="CC174" s="433"/>
      <c r="CD174" s="433"/>
      <c r="CE174" s="433"/>
      <c r="CF174" s="433"/>
      <c r="CG174" s="433"/>
      <c r="CH174" s="433"/>
      <c r="CI174" s="433"/>
      <c r="CJ174" s="433"/>
      <c r="CK174" s="433"/>
      <c r="CL174" s="433"/>
      <c r="CM174" s="433"/>
      <c r="CN174" s="433"/>
      <c r="CO174" s="433"/>
      <c r="CP174" s="433"/>
      <c r="CQ174" s="433"/>
      <c r="CR174" s="433"/>
      <c r="CS174" s="433"/>
      <c r="CT174" s="433"/>
      <c r="CU174" s="433"/>
      <c r="CV174" s="433"/>
      <c r="CW174" s="433"/>
      <c r="CX174" s="433"/>
      <c r="CY174" s="433"/>
      <c r="CZ174" s="399" t="str">
        <f t="shared" si="36"/>
        <v/>
      </c>
      <c r="DA174" s="399" t="str">
        <f t="shared" si="37"/>
        <v/>
      </c>
      <c r="DB174" s="399" t="str">
        <f t="shared" si="38"/>
        <v/>
      </c>
      <c r="DC174" s="399" t="str">
        <f t="shared" si="39"/>
        <v/>
      </c>
      <c r="DD174" s="399" t="str">
        <f t="shared" si="42"/>
        <v/>
      </c>
      <c r="DE174" s="399" t="str">
        <f t="shared" si="40"/>
        <v/>
      </c>
      <c r="DG174" s="434"/>
      <c r="DH174" s="434"/>
      <c r="DJ174" s="399"/>
    </row>
    <row r="175" spans="8:114" x14ac:dyDescent="0.25">
      <c r="H175" s="416" t="str">
        <f ca="1">IF(IMPORT!C188="","",IMPORT!C188)</f>
        <v/>
      </c>
      <c r="I175" s="416" t="str">
        <f ca="1">IF(IMPORT!D188="","",IMPORT!D188)</f>
        <v/>
      </c>
      <c r="J175" s="416" t="str">
        <f ca="1">IF(IMPORT!E188="","",IMPORT!E188)</f>
        <v/>
      </c>
      <c r="K175" s="416" t="str">
        <f ca="1">IF(IMPORT!F188="","",IMPORT!F188)</f>
        <v/>
      </c>
      <c r="L175" s="416" t="str">
        <f ca="1">IF(IMPORT!G188="","",IMPORT!G188)</f>
        <v/>
      </c>
      <c r="M175" s="416" t="str">
        <f>IF(IMPORT!H188="","",IMPORT!H188)</f>
        <v/>
      </c>
      <c r="N175" s="399" t="str">
        <f t="shared" si="31"/>
        <v/>
      </c>
      <c r="P175" s="406" t="str">
        <f t="shared" si="32"/>
        <v/>
      </c>
      <c r="Q175" s="406" t="str">
        <f t="array" ref="Q175">IFERROR(INDEX($N$1:$N$203,SMALL(IF($N$1:$N$203&lt;&gt;"",ROW($N$1:$N$203)),ROW(173:173))),"")</f>
        <v/>
      </c>
      <c r="R175" s="399" t="str">
        <f t="shared" si="29"/>
        <v/>
      </c>
      <c r="S175" s="399" t="str">
        <f t="shared" si="33"/>
        <v/>
      </c>
      <c r="T175" s="399" t="str">
        <f t="shared" si="34"/>
        <v/>
      </c>
      <c r="U175" s="419" t="str">
        <f t="shared" si="41"/>
        <v/>
      </c>
      <c r="V175" s="433" t="b">
        <v>0</v>
      </c>
      <c r="W175" s="464"/>
      <c r="X175" s="433"/>
      <c r="Y175" s="433" t="s">
        <v>92</v>
      </c>
      <c r="Z175" s="433"/>
      <c r="AA175" s="433"/>
      <c r="AB175" s="433"/>
      <c r="AC175" s="433" t="s">
        <v>1401</v>
      </c>
      <c r="AD175" s="433"/>
      <c r="AE175" s="433" t="s">
        <v>111</v>
      </c>
      <c r="AF175" s="433" t="s">
        <v>299</v>
      </c>
      <c r="AG175" s="433"/>
      <c r="AH175" s="433"/>
      <c r="AI175" s="433"/>
      <c r="AJ175" s="433"/>
      <c r="AK175" s="433"/>
      <c r="AL175" s="433"/>
      <c r="AM175" s="433"/>
      <c r="AN175" s="433"/>
      <c r="AO175" s="433"/>
      <c r="AP175" s="433"/>
      <c r="AQ175" s="433"/>
      <c r="AR175" s="433"/>
      <c r="AS175" s="433" t="b">
        <v>0</v>
      </c>
      <c r="AT175" s="433"/>
      <c r="AU175" s="433"/>
      <c r="AV175" s="433"/>
      <c r="AW175" s="433"/>
      <c r="AX175" s="433"/>
      <c r="AY175" s="433"/>
      <c r="AZ175" s="433"/>
      <c r="BA175" s="433"/>
      <c r="BB175" s="433"/>
      <c r="BC175" s="433"/>
      <c r="BD175" s="433"/>
      <c r="BE175" s="433"/>
      <c r="BF175" s="433"/>
      <c r="BG175" s="433"/>
      <c r="BH175" s="433"/>
      <c r="BI175" s="433"/>
      <c r="BJ175" s="433"/>
      <c r="BK175" s="433"/>
      <c r="BL175" s="433"/>
      <c r="BM175" s="433"/>
      <c r="BN175" s="433"/>
      <c r="BO175" s="433"/>
      <c r="BP175" s="433"/>
      <c r="BQ175" s="433"/>
      <c r="BR175" s="433"/>
      <c r="BS175" s="433"/>
      <c r="BT175" s="433"/>
      <c r="BU175" s="399" t="str">
        <f t="shared" si="35"/>
        <v/>
      </c>
      <c r="BV175" s="433"/>
      <c r="BW175" s="433"/>
      <c r="BX175" s="433"/>
      <c r="BY175" s="433"/>
      <c r="BZ175" s="433"/>
      <c r="CA175" s="433"/>
      <c r="CB175" s="433"/>
      <c r="CC175" s="433"/>
      <c r="CD175" s="433"/>
      <c r="CE175" s="433"/>
      <c r="CF175" s="433"/>
      <c r="CG175" s="433"/>
      <c r="CH175" s="433"/>
      <c r="CI175" s="433"/>
      <c r="CJ175" s="433"/>
      <c r="CK175" s="433"/>
      <c r="CL175" s="433"/>
      <c r="CM175" s="433"/>
      <c r="CN175" s="433"/>
      <c r="CO175" s="433"/>
      <c r="CP175" s="433"/>
      <c r="CQ175" s="433"/>
      <c r="CR175" s="433"/>
      <c r="CS175" s="433"/>
      <c r="CT175" s="433"/>
      <c r="CU175" s="433"/>
      <c r="CV175" s="433"/>
      <c r="CW175" s="433"/>
      <c r="CX175" s="433"/>
      <c r="CY175" s="433"/>
      <c r="CZ175" s="399" t="str">
        <f t="shared" si="36"/>
        <v/>
      </c>
      <c r="DA175" s="399" t="str">
        <f t="shared" si="37"/>
        <v/>
      </c>
      <c r="DB175" s="399" t="str">
        <f t="shared" si="38"/>
        <v/>
      </c>
      <c r="DC175" s="399" t="str">
        <f t="shared" si="39"/>
        <v/>
      </c>
      <c r="DD175" s="399" t="str">
        <f t="shared" si="42"/>
        <v/>
      </c>
      <c r="DE175" s="399" t="str">
        <f t="shared" si="40"/>
        <v/>
      </c>
      <c r="DG175" s="434"/>
      <c r="DH175" s="434"/>
      <c r="DJ175" s="399"/>
    </row>
    <row r="176" spans="8:114" x14ac:dyDescent="0.25">
      <c r="H176" s="416" t="str">
        <f ca="1">IF(IMPORT!C189="","",IMPORT!C189)</f>
        <v/>
      </c>
      <c r="I176" s="416" t="str">
        <f ca="1">IF(IMPORT!D189="","",IMPORT!D189)</f>
        <v/>
      </c>
      <c r="J176" s="416" t="str">
        <f ca="1">IF(IMPORT!E189="","",IMPORT!E189)</f>
        <v/>
      </c>
      <c r="K176" s="416" t="str">
        <f ca="1">IF(IMPORT!F189="","",IMPORT!F189)</f>
        <v/>
      </c>
      <c r="L176" s="416" t="str">
        <f ca="1">IF(IMPORT!G189="","",IMPORT!G189)</f>
        <v/>
      </c>
      <c r="M176" s="416" t="str">
        <f>IF(IMPORT!H189="","",IMPORT!H189)</f>
        <v/>
      </c>
      <c r="N176" s="399" t="str">
        <f t="shared" si="31"/>
        <v/>
      </c>
      <c r="P176" s="406" t="str">
        <f t="shared" si="32"/>
        <v/>
      </c>
      <c r="Q176" s="406" t="str">
        <f t="array" ref="Q176">IFERROR(INDEX($N$1:$N$203,SMALL(IF($N$1:$N$203&lt;&gt;"",ROW($N$1:$N$203)),ROW(174:174))),"")</f>
        <v/>
      </c>
      <c r="R176" s="399" t="str">
        <f t="shared" si="29"/>
        <v/>
      </c>
      <c r="S176" s="399" t="str">
        <f t="shared" si="33"/>
        <v/>
      </c>
      <c r="T176" s="399" t="str">
        <f t="shared" si="34"/>
        <v/>
      </c>
      <c r="U176" s="419" t="str">
        <f t="shared" si="41"/>
        <v/>
      </c>
      <c r="V176" s="433" t="b">
        <v>0</v>
      </c>
      <c r="W176" s="464"/>
      <c r="X176" s="433"/>
      <c r="Y176" s="433" t="s">
        <v>92</v>
      </c>
      <c r="Z176" s="433"/>
      <c r="AA176" s="433"/>
      <c r="AB176" s="433"/>
      <c r="AC176" s="433" t="s">
        <v>1401</v>
      </c>
      <c r="AD176" s="433"/>
      <c r="AE176" s="433" t="s">
        <v>111</v>
      </c>
      <c r="AF176" s="433" t="s">
        <v>299</v>
      </c>
      <c r="AG176" s="433"/>
      <c r="AH176" s="433"/>
      <c r="AI176" s="433"/>
      <c r="AJ176" s="433"/>
      <c r="AK176" s="433"/>
      <c r="AL176" s="433"/>
      <c r="AM176" s="433"/>
      <c r="AN176" s="433"/>
      <c r="AO176" s="433"/>
      <c r="AP176" s="433"/>
      <c r="AQ176" s="433"/>
      <c r="AR176" s="433"/>
      <c r="AS176" s="433" t="b">
        <v>0</v>
      </c>
      <c r="AT176" s="433"/>
      <c r="AU176" s="433"/>
      <c r="AV176" s="433"/>
      <c r="AW176" s="433"/>
      <c r="AX176" s="433"/>
      <c r="AY176" s="433"/>
      <c r="AZ176" s="433"/>
      <c r="BA176" s="433"/>
      <c r="BB176" s="433"/>
      <c r="BC176" s="433"/>
      <c r="BD176" s="433"/>
      <c r="BE176" s="433"/>
      <c r="BF176" s="433"/>
      <c r="BG176" s="433"/>
      <c r="BH176" s="433"/>
      <c r="BI176" s="433"/>
      <c r="BJ176" s="433"/>
      <c r="BK176" s="433"/>
      <c r="BL176" s="433"/>
      <c r="BM176" s="433"/>
      <c r="BN176" s="433"/>
      <c r="BO176" s="433"/>
      <c r="BP176" s="433"/>
      <c r="BQ176" s="433"/>
      <c r="BR176" s="433"/>
      <c r="BS176" s="433"/>
      <c r="BT176" s="433"/>
      <c r="BU176" s="399" t="str">
        <f t="shared" si="35"/>
        <v/>
      </c>
      <c r="BV176" s="433"/>
      <c r="BW176" s="433"/>
      <c r="BX176" s="433"/>
      <c r="BY176" s="433"/>
      <c r="BZ176" s="433"/>
      <c r="CA176" s="433"/>
      <c r="CB176" s="433"/>
      <c r="CC176" s="433"/>
      <c r="CD176" s="433"/>
      <c r="CE176" s="433"/>
      <c r="CF176" s="433"/>
      <c r="CG176" s="433"/>
      <c r="CH176" s="433"/>
      <c r="CI176" s="433"/>
      <c r="CJ176" s="433"/>
      <c r="CK176" s="433"/>
      <c r="CL176" s="433"/>
      <c r="CM176" s="433"/>
      <c r="CN176" s="433"/>
      <c r="CO176" s="433"/>
      <c r="CP176" s="433"/>
      <c r="CQ176" s="433"/>
      <c r="CR176" s="433"/>
      <c r="CS176" s="433"/>
      <c r="CT176" s="433"/>
      <c r="CU176" s="433"/>
      <c r="CV176" s="433"/>
      <c r="CW176" s="433"/>
      <c r="CX176" s="433"/>
      <c r="CY176" s="433"/>
      <c r="CZ176" s="399" t="str">
        <f t="shared" si="36"/>
        <v/>
      </c>
      <c r="DA176" s="399" t="str">
        <f t="shared" si="37"/>
        <v/>
      </c>
      <c r="DB176" s="399" t="str">
        <f t="shared" si="38"/>
        <v/>
      </c>
      <c r="DC176" s="399" t="str">
        <f t="shared" si="39"/>
        <v/>
      </c>
      <c r="DD176" s="399" t="str">
        <f t="shared" si="42"/>
        <v/>
      </c>
      <c r="DE176" s="399" t="str">
        <f t="shared" si="40"/>
        <v/>
      </c>
      <c r="DG176" s="434"/>
      <c r="DH176" s="434"/>
      <c r="DJ176" s="399"/>
    </row>
    <row r="177" spans="8:114" x14ac:dyDescent="0.25">
      <c r="H177" s="416" t="str">
        <f ca="1">IF(IMPORT!C190="","",IMPORT!C190)</f>
        <v/>
      </c>
      <c r="I177" s="416" t="str">
        <f ca="1">IF(IMPORT!D190="","",IMPORT!D190)</f>
        <v/>
      </c>
      <c r="J177" s="416" t="str">
        <f ca="1">IF(IMPORT!E190="","",IMPORT!E190)</f>
        <v/>
      </c>
      <c r="K177" s="416" t="str">
        <f ca="1">IF(IMPORT!F190="","",IMPORT!F190)</f>
        <v/>
      </c>
      <c r="L177" s="416" t="str">
        <f ca="1">IF(IMPORT!G190="","",IMPORT!G190)</f>
        <v/>
      </c>
      <c r="M177" s="416" t="str">
        <f>IF(IMPORT!H190="","",IMPORT!H190)</f>
        <v/>
      </c>
      <c r="N177" s="399" t="str">
        <f t="shared" si="31"/>
        <v/>
      </c>
      <c r="P177" s="406" t="str">
        <f t="shared" si="32"/>
        <v/>
      </c>
      <c r="Q177" s="406" t="str">
        <f t="array" ref="Q177">IFERROR(INDEX($N$1:$N$203,SMALL(IF($N$1:$N$203&lt;&gt;"",ROW($N$1:$N$203)),ROW(175:175))),"")</f>
        <v/>
      </c>
      <c r="R177" s="399" t="str">
        <f t="shared" si="29"/>
        <v/>
      </c>
      <c r="S177" s="399" t="str">
        <f t="shared" si="33"/>
        <v/>
      </c>
      <c r="T177" s="399" t="str">
        <f t="shared" si="34"/>
        <v/>
      </c>
      <c r="U177" s="419" t="str">
        <f t="shared" si="41"/>
        <v/>
      </c>
      <c r="V177" s="433" t="b">
        <v>0</v>
      </c>
      <c r="W177" s="464"/>
      <c r="X177" s="433"/>
      <c r="Y177" s="433" t="s">
        <v>92</v>
      </c>
      <c r="Z177" s="433"/>
      <c r="AA177" s="433"/>
      <c r="AB177" s="433"/>
      <c r="AC177" s="433" t="s">
        <v>1401</v>
      </c>
      <c r="AD177" s="433"/>
      <c r="AE177" s="433" t="s">
        <v>111</v>
      </c>
      <c r="AF177" s="433" t="s">
        <v>299</v>
      </c>
      <c r="AG177" s="433"/>
      <c r="AH177" s="433"/>
      <c r="AI177" s="433"/>
      <c r="AJ177" s="433"/>
      <c r="AK177" s="433"/>
      <c r="AL177" s="433"/>
      <c r="AM177" s="433"/>
      <c r="AN177" s="433"/>
      <c r="AO177" s="433"/>
      <c r="AP177" s="433"/>
      <c r="AQ177" s="433"/>
      <c r="AR177" s="433"/>
      <c r="AS177" s="433" t="b">
        <v>0</v>
      </c>
      <c r="AT177" s="433"/>
      <c r="AU177" s="433"/>
      <c r="AV177" s="433"/>
      <c r="AW177" s="433"/>
      <c r="AX177" s="433"/>
      <c r="AY177" s="433"/>
      <c r="AZ177" s="433"/>
      <c r="BA177" s="433"/>
      <c r="BB177" s="433"/>
      <c r="BC177" s="433"/>
      <c r="BD177" s="433"/>
      <c r="BE177" s="433"/>
      <c r="BF177" s="433"/>
      <c r="BG177" s="433"/>
      <c r="BH177" s="433"/>
      <c r="BI177" s="433"/>
      <c r="BJ177" s="433"/>
      <c r="BK177" s="433"/>
      <c r="BL177" s="433"/>
      <c r="BM177" s="433"/>
      <c r="BN177" s="433"/>
      <c r="BO177" s="433"/>
      <c r="BP177" s="433"/>
      <c r="BQ177" s="433"/>
      <c r="BR177" s="433"/>
      <c r="BS177" s="433"/>
      <c r="BT177" s="433"/>
      <c r="BU177" s="399" t="str">
        <f t="shared" si="35"/>
        <v/>
      </c>
      <c r="BV177" s="433"/>
      <c r="BW177" s="433"/>
      <c r="BX177" s="433"/>
      <c r="BY177" s="433"/>
      <c r="BZ177" s="433"/>
      <c r="CA177" s="433"/>
      <c r="CB177" s="433"/>
      <c r="CC177" s="433"/>
      <c r="CD177" s="433"/>
      <c r="CE177" s="433"/>
      <c r="CF177" s="433"/>
      <c r="CG177" s="433"/>
      <c r="CH177" s="433"/>
      <c r="CI177" s="433"/>
      <c r="CJ177" s="433"/>
      <c r="CK177" s="433"/>
      <c r="CL177" s="433"/>
      <c r="CM177" s="433"/>
      <c r="CN177" s="433"/>
      <c r="CO177" s="433"/>
      <c r="CP177" s="433"/>
      <c r="CQ177" s="433"/>
      <c r="CR177" s="433"/>
      <c r="CS177" s="433"/>
      <c r="CT177" s="433"/>
      <c r="CU177" s="433"/>
      <c r="CV177" s="433"/>
      <c r="CW177" s="433"/>
      <c r="CX177" s="433"/>
      <c r="CY177" s="433"/>
      <c r="CZ177" s="399" t="str">
        <f t="shared" si="36"/>
        <v/>
      </c>
      <c r="DA177" s="399" t="str">
        <f t="shared" si="37"/>
        <v/>
      </c>
      <c r="DB177" s="399" t="str">
        <f t="shared" si="38"/>
        <v/>
      </c>
      <c r="DC177" s="399" t="str">
        <f t="shared" si="39"/>
        <v/>
      </c>
      <c r="DD177" s="399" t="str">
        <f t="shared" si="42"/>
        <v/>
      </c>
      <c r="DE177" s="399" t="str">
        <f t="shared" si="40"/>
        <v/>
      </c>
      <c r="DG177" s="434"/>
      <c r="DH177" s="434"/>
      <c r="DJ177" s="399"/>
    </row>
    <row r="178" spans="8:114" x14ac:dyDescent="0.25">
      <c r="H178" s="416" t="str">
        <f ca="1">IF(IMPORT!C191="","",IMPORT!C191)</f>
        <v/>
      </c>
      <c r="I178" s="416" t="str">
        <f ca="1">IF(IMPORT!D191="","",IMPORT!D191)</f>
        <v/>
      </c>
      <c r="J178" s="416" t="str">
        <f ca="1">IF(IMPORT!E191="","",IMPORT!E191)</f>
        <v/>
      </c>
      <c r="K178" s="416" t="str">
        <f ca="1">IF(IMPORT!F191="","",IMPORT!F191)</f>
        <v/>
      </c>
      <c r="L178" s="416" t="str">
        <f ca="1">IF(IMPORT!G191="","",IMPORT!G191)</f>
        <v/>
      </c>
      <c r="M178" s="416" t="str">
        <f>IF(IMPORT!H191="","",IMPORT!H191)</f>
        <v/>
      </c>
      <c r="N178" s="399" t="str">
        <f t="shared" si="31"/>
        <v/>
      </c>
      <c r="P178" s="406" t="str">
        <f t="shared" si="32"/>
        <v/>
      </c>
      <c r="Q178" s="406" t="str">
        <f t="array" ref="Q178">IFERROR(INDEX($N$1:$N$203,SMALL(IF($N$1:$N$203&lt;&gt;"",ROW($N$1:$N$203)),ROW(176:176))),"")</f>
        <v/>
      </c>
      <c r="R178" s="399" t="str">
        <f t="shared" si="29"/>
        <v/>
      </c>
      <c r="S178" s="399" t="str">
        <f t="shared" si="33"/>
        <v/>
      </c>
      <c r="T178" s="399" t="str">
        <f t="shared" si="34"/>
        <v/>
      </c>
      <c r="U178" s="419" t="str">
        <f t="shared" si="41"/>
        <v/>
      </c>
      <c r="V178" s="433" t="b">
        <v>0</v>
      </c>
      <c r="W178" s="464"/>
      <c r="X178" s="433"/>
      <c r="Y178" s="433" t="s">
        <v>92</v>
      </c>
      <c r="Z178" s="433"/>
      <c r="AA178" s="433"/>
      <c r="AB178" s="433"/>
      <c r="AC178" s="433" t="s">
        <v>1401</v>
      </c>
      <c r="AD178" s="433"/>
      <c r="AE178" s="433" t="s">
        <v>111</v>
      </c>
      <c r="AF178" s="433" t="s">
        <v>299</v>
      </c>
      <c r="AG178" s="433"/>
      <c r="AH178" s="433"/>
      <c r="AI178" s="433"/>
      <c r="AJ178" s="433"/>
      <c r="AK178" s="433"/>
      <c r="AL178" s="433"/>
      <c r="AM178" s="433"/>
      <c r="AN178" s="433"/>
      <c r="AO178" s="433"/>
      <c r="AP178" s="433"/>
      <c r="AQ178" s="433"/>
      <c r="AR178" s="433"/>
      <c r="AS178" s="433" t="b">
        <v>0</v>
      </c>
      <c r="AT178" s="433"/>
      <c r="AU178" s="433"/>
      <c r="AV178" s="433"/>
      <c r="AW178" s="433"/>
      <c r="AX178" s="433"/>
      <c r="AY178" s="433"/>
      <c r="AZ178" s="433"/>
      <c r="BA178" s="433"/>
      <c r="BB178" s="433"/>
      <c r="BC178" s="433"/>
      <c r="BD178" s="433"/>
      <c r="BE178" s="433"/>
      <c r="BF178" s="433"/>
      <c r="BG178" s="433"/>
      <c r="BH178" s="433"/>
      <c r="BI178" s="433"/>
      <c r="BJ178" s="433"/>
      <c r="BK178" s="433"/>
      <c r="BL178" s="433"/>
      <c r="BM178" s="433"/>
      <c r="BN178" s="433"/>
      <c r="BO178" s="433"/>
      <c r="BP178" s="433"/>
      <c r="BQ178" s="433"/>
      <c r="BR178" s="433"/>
      <c r="BS178" s="433"/>
      <c r="BT178" s="433"/>
      <c r="BU178" s="399" t="str">
        <f t="shared" si="35"/>
        <v/>
      </c>
      <c r="BV178" s="433"/>
      <c r="BW178" s="433"/>
      <c r="BX178" s="433"/>
      <c r="BY178" s="433"/>
      <c r="BZ178" s="433"/>
      <c r="CA178" s="433"/>
      <c r="CB178" s="433"/>
      <c r="CC178" s="433"/>
      <c r="CD178" s="433"/>
      <c r="CE178" s="433"/>
      <c r="CF178" s="433"/>
      <c r="CG178" s="433"/>
      <c r="CH178" s="433"/>
      <c r="CI178" s="433"/>
      <c r="CJ178" s="433"/>
      <c r="CK178" s="433"/>
      <c r="CL178" s="433"/>
      <c r="CM178" s="433"/>
      <c r="CN178" s="433"/>
      <c r="CO178" s="433"/>
      <c r="CP178" s="433"/>
      <c r="CQ178" s="433"/>
      <c r="CR178" s="433"/>
      <c r="CS178" s="433"/>
      <c r="CT178" s="433"/>
      <c r="CU178" s="433"/>
      <c r="CV178" s="433"/>
      <c r="CW178" s="433"/>
      <c r="CX178" s="433"/>
      <c r="CY178" s="433"/>
      <c r="CZ178" s="399" t="str">
        <f t="shared" si="36"/>
        <v/>
      </c>
      <c r="DA178" s="399" t="str">
        <f t="shared" si="37"/>
        <v/>
      </c>
      <c r="DB178" s="399" t="str">
        <f t="shared" si="38"/>
        <v/>
      </c>
      <c r="DC178" s="399" t="str">
        <f t="shared" si="39"/>
        <v/>
      </c>
      <c r="DD178" s="399" t="str">
        <f t="shared" si="42"/>
        <v/>
      </c>
      <c r="DE178" s="399" t="str">
        <f t="shared" si="40"/>
        <v/>
      </c>
      <c r="DG178" s="434"/>
      <c r="DH178" s="434"/>
      <c r="DJ178" s="399"/>
    </row>
    <row r="179" spans="8:114" x14ac:dyDescent="0.25">
      <c r="H179" s="416" t="str">
        <f ca="1">IF(IMPORT!C192="","",IMPORT!C192)</f>
        <v/>
      </c>
      <c r="I179" s="416" t="str">
        <f ca="1">IF(IMPORT!D192="","",IMPORT!D192)</f>
        <v/>
      </c>
      <c r="J179" s="416" t="str">
        <f ca="1">IF(IMPORT!E192="","",IMPORT!E192)</f>
        <v/>
      </c>
      <c r="K179" s="416" t="str">
        <f ca="1">IF(IMPORT!F192="","",IMPORT!F192)</f>
        <v/>
      </c>
      <c r="L179" s="416" t="str">
        <f ca="1">IF(IMPORT!G192="","",IMPORT!G192)</f>
        <v/>
      </c>
      <c r="M179" s="416" t="str">
        <f>IF(IMPORT!H192="","",IMPORT!H192)</f>
        <v/>
      </c>
      <c r="N179" s="399" t="str">
        <f t="shared" si="31"/>
        <v/>
      </c>
      <c r="P179" s="406" t="str">
        <f t="shared" si="32"/>
        <v/>
      </c>
      <c r="Q179" s="406" t="str">
        <f t="array" ref="Q179">IFERROR(INDEX($N$1:$N$203,SMALL(IF($N$1:$N$203&lt;&gt;"",ROW($N$1:$N$203)),ROW(177:177))),"")</f>
        <v/>
      </c>
      <c r="R179" s="399" t="str">
        <f t="shared" si="29"/>
        <v/>
      </c>
      <c r="S179" s="399" t="str">
        <f t="shared" si="33"/>
        <v/>
      </c>
      <c r="T179" s="399" t="str">
        <f t="shared" si="34"/>
        <v/>
      </c>
      <c r="U179" s="419" t="str">
        <f t="shared" si="41"/>
        <v/>
      </c>
      <c r="V179" s="433" t="b">
        <v>0</v>
      </c>
      <c r="W179" s="464"/>
      <c r="X179" s="433"/>
      <c r="Y179" s="433" t="s">
        <v>92</v>
      </c>
      <c r="Z179" s="433"/>
      <c r="AA179" s="433"/>
      <c r="AB179" s="433"/>
      <c r="AC179" s="433" t="s">
        <v>1401</v>
      </c>
      <c r="AD179" s="433"/>
      <c r="AE179" s="433" t="s">
        <v>111</v>
      </c>
      <c r="AF179" s="433" t="s">
        <v>299</v>
      </c>
      <c r="AG179" s="433"/>
      <c r="AH179" s="433"/>
      <c r="AI179" s="433"/>
      <c r="AJ179" s="433"/>
      <c r="AK179" s="433"/>
      <c r="AL179" s="433"/>
      <c r="AM179" s="433"/>
      <c r="AN179" s="433"/>
      <c r="AO179" s="433"/>
      <c r="AP179" s="433"/>
      <c r="AQ179" s="433"/>
      <c r="AR179" s="433"/>
      <c r="AS179" s="433" t="b">
        <v>0</v>
      </c>
      <c r="AT179" s="433"/>
      <c r="AU179" s="433"/>
      <c r="AV179" s="433"/>
      <c r="AW179" s="433"/>
      <c r="AX179" s="433"/>
      <c r="AY179" s="433"/>
      <c r="AZ179" s="433"/>
      <c r="BA179" s="433"/>
      <c r="BB179" s="433"/>
      <c r="BC179" s="433"/>
      <c r="BD179" s="433"/>
      <c r="BE179" s="433"/>
      <c r="BF179" s="433"/>
      <c r="BG179" s="433"/>
      <c r="BH179" s="433"/>
      <c r="BI179" s="433"/>
      <c r="BJ179" s="433"/>
      <c r="BK179" s="433"/>
      <c r="BL179" s="433"/>
      <c r="BM179" s="433"/>
      <c r="BN179" s="433"/>
      <c r="BO179" s="433"/>
      <c r="BP179" s="433"/>
      <c r="BQ179" s="433"/>
      <c r="BR179" s="433"/>
      <c r="BS179" s="433"/>
      <c r="BT179" s="433"/>
      <c r="BU179" s="399" t="str">
        <f t="shared" si="35"/>
        <v/>
      </c>
      <c r="BV179" s="433"/>
      <c r="BW179" s="433"/>
      <c r="BX179" s="433"/>
      <c r="BY179" s="433"/>
      <c r="BZ179" s="433"/>
      <c r="CA179" s="433"/>
      <c r="CB179" s="433"/>
      <c r="CC179" s="433"/>
      <c r="CD179" s="433"/>
      <c r="CE179" s="433"/>
      <c r="CF179" s="433"/>
      <c r="CG179" s="433"/>
      <c r="CH179" s="433"/>
      <c r="CI179" s="433"/>
      <c r="CJ179" s="433"/>
      <c r="CK179" s="433"/>
      <c r="CL179" s="433"/>
      <c r="CM179" s="433"/>
      <c r="CN179" s="433"/>
      <c r="CO179" s="433"/>
      <c r="CP179" s="433"/>
      <c r="CQ179" s="433"/>
      <c r="CR179" s="433"/>
      <c r="CS179" s="433"/>
      <c r="CT179" s="433"/>
      <c r="CU179" s="433"/>
      <c r="CV179" s="433"/>
      <c r="CW179" s="433"/>
      <c r="CX179" s="433"/>
      <c r="CY179" s="433"/>
      <c r="CZ179" s="399" t="str">
        <f t="shared" si="36"/>
        <v/>
      </c>
      <c r="DA179" s="399" t="str">
        <f t="shared" si="37"/>
        <v/>
      </c>
      <c r="DB179" s="399" t="str">
        <f t="shared" si="38"/>
        <v/>
      </c>
      <c r="DC179" s="399" t="str">
        <f t="shared" si="39"/>
        <v/>
      </c>
      <c r="DD179" s="399" t="str">
        <f t="shared" si="42"/>
        <v/>
      </c>
      <c r="DE179" s="399" t="str">
        <f t="shared" si="40"/>
        <v/>
      </c>
      <c r="DG179" s="434"/>
      <c r="DH179" s="434"/>
      <c r="DJ179" s="399"/>
    </row>
    <row r="180" spans="8:114" x14ac:dyDescent="0.25">
      <c r="H180" s="416" t="str">
        <f ca="1">IF(IMPORT!C193="","",IMPORT!C193)</f>
        <v/>
      </c>
      <c r="I180" s="416" t="str">
        <f ca="1">IF(IMPORT!D193="","",IMPORT!D193)</f>
        <v/>
      </c>
      <c r="J180" s="416" t="str">
        <f ca="1">IF(IMPORT!E193="","",IMPORT!E193)</f>
        <v/>
      </c>
      <c r="K180" s="416" t="str">
        <f ca="1">IF(IMPORT!F193="","",IMPORT!F193)</f>
        <v/>
      </c>
      <c r="L180" s="416" t="str">
        <f ca="1">IF(IMPORT!G193="","",IMPORT!G193)</f>
        <v/>
      </c>
      <c r="M180" s="416" t="str">
        <f>IF(IMPORT!H193="","",IMPORT!H193)</f>
        <v/>
      </c>
      <c r="N180" s="399" t="str">
        <f t="shared" si="31"/>
        <v/>
      </c>
      <c r="P180" s="406" t="str">
        <f t="shared" si="32"/>
        <v/>
      </c>
      <c r="Q180" s="406" t="str">
        <f t="array" ref="Q180">IFERROR(INDEX($N$1:$N$203,SMALL(IF($N$1:$N$203&lt;&gt;"",ROW($N$1:$N$203)),ROW(178:178))),"")</f>
        <v/>
      </c>
      <c r="R180" s="399" t="str">
        <f t="shared" si="29"/>
        <v/>
      </c>
      <c r="S180" s="399" t="str">
        <f t="shared" si="33"/>
        <v/>
      </c>
      <c r="T180" s="399" t="str">
        <f t="shared" si="34"/>
        <v/>
      </c>
      <c r="U180" s="419" t="str">
        <f t="shared" si="41"/>
        <v/>
      </c>
      <c r="V180" s="433" t="b">
        <v>0</v>
      </c>
      <c r="W180" s="464"/>
      <c r="X180" s="433"/>
      <c r="Y180" s="433" t="s">
        <v>92</v>
      </c>
      <c r="Z180" s="433"/>
      <c r="AA180" s="433"/>
      <c r="AB180" s="433"/>
      <c r="AC180" s="433" t="s">
        <v>1401</v>
      </c>
      <c r="AD180" s="433"/>
      <c r="AE180" s="433" t="s">
        <v>111</v>
      </c>
      <c r="AF180" s="433" t="s">
        <v>299</v>
      </c>
      <c r="AG180" s="433"/>
      <c r="AH180" s="433"/>
      <c r="AI180" s="433"/>
      <c r="AJ180" s="433"/>
      <c r="AK180" s="433"/>
      <c r="AL180" s="433"/>
      <c r="AM180" s="433"/>
      <c r="AN180" s="433"/>
      <c r="AO180" s="433"/>
      <c r="AP180" s="433"/>
      <c r="AQ180" s="433"/>
      <c r="AR180" s="433"/>
      <c r="AS180" s="433" t="b">
        <v>0</v>
      </c>
      <c r="AT180" s="433"/>
      <c r="AU180" s="433"/>
      <c r="AV180" s="433"/>
      <c r="AW180" s="433"/>
      <c r="AX180" s="433"/>
      <c r="AY180" s="433"/>
      <c r="AZ180" s="433"/>
      <c r="BA180" s="433"/>
      <c r="BB180" s="433"/>
      <c r="BC180" s="433"/>
      <c r="BD180" s="433"/>
      <c r="BE180" s="433"/>
      <c r="BF180" s="433"/>
      <c r="BG180" s="433"/>
      <c r="BH180" s="433"/>
      <c r="BI180" s="433"/>
      <c r="BJ180" s="433"/>
      <c r="BK180" s="433"/>
      <c r="BL180" s="433"/>
      <c r="BM180" s="433"/>
      <c r="BN180" s="433"/>
      <c r="BO180" s="433"/>
      <c r="BP180" s="433"/>
      <c r="BQ180" s="433"/>
      <c r="BR180" s="433"/>
      <c r="BS180" s="433"/>
      <c r="BT180" s="433"/>
      <c r="BU180" s="399" t="str">
        <f t="shared" si="35"/>
        <v/>
      </c>
      <c r="BV180" s="433"/>
      <c r="BW180" s="433"/>
      <c r="BX180" s="433"/>
      <c r="BY180" s="433"/>
      <c r="BZ180" s="433"/>
      <c r="CA180" s="433"/>
      <c r="CB180" s="433"/>
      <c r="CC180" s="433"/>
      <c r="CD180" s="433"/>
      <c r="CE180" s="433"/>
      <c r="CF180" s="433"/>
      <c r="CG180" s="433"/>
      <c r="CH180" s="433"/>
      <c r="CI180" s="433"/>
      <c r="CJ180" s="433"/>
      <c r="CK180" s="433"/>
      <c r="CL180" s="433"/>
      <c r="CM180" s="433"/>
      <c r="CN180" s="433"/>
      <c r="CO180" s="433"/>
      <c r="CP180" s="433"/>
      <c r="CQ180" s="433"/>
      <c r="CR180" s="433"/>
      <c r="CS180" s="433"/>
      <c r="CT180" s="433"/>
      <c r="CU180" s="433"/>
      <c r="CV180" s="433"/>
      <c r="CW180" s="433"/>
      <c r="CX180" s="433"/>
      <c r="CY180" s="433"/>
      <c r="CZ180" s="399" t="str">
        <f t="shared" si="36"/>
        <v/>
      </c>
      <c r="DA180" s="399" t="str">
        <f t="shared" si="37"/>
        <v/>
      </c>
      <c r="DB180" s="399" t="str">
        <f t="shared" si="38"/>
        <v/>
      </c>
      <c r="DC180" s="399" t="str">
        <f t="shared" si="39"/>
        <v/>
      </c>
      <c r="DD180" s="399" t="str">
        <f t="shared" si="42"/>
        <v/>
      </c>
      <c r="DE180" s="399" t="str">
        <f t="shared" si="40"/>
        <v/>
      </c>
      <c r="DG180" s="434"/>
      <c r="DH180" s="434"/>
      <c r="DJ180" s="399"/>
    </row>
    <row r="181" spans="8:114" x14ac:dyDescent="0.25">
      <c r="H181" s="416" t="str">
        <f ca="1">IF(IMPORT!C194="","",IMPORT!C194)</f>
        <v/>
      </c>
      <c r="I181" s="416" t="str">
        <f ca="1">IF(IMPORT!D194="","",IMPORT!D194)</f>
        <v/>
      </c>
      <c r="J181" s="416" t="str">
        <f ca="1">IF(IMPORT!E194="","",IMPORT!E194)</f>
        <v/>
      </c>
      <c r="K181" s="416" t="str">
        <f ca="1">IF(IMPORT!F194="","",IMPORT!F194)</f>
        <v/>
      </c>
      <c r="L181" s="416" t="str">
        <f ca="1">IF(IMPORT!G194="","",IMPORT!G194)</f>
        <v/>
      </c>
      <c r="M181" s="416" t="str">
        <f>IF(IMPORT!H194="","",IMPORT!H194)</f>
        <v/>
      </c>
      <c r="N181" s="399" t="str">
        <f t="shared" si="31"/>
        <v/>
      </c>
      <c r="P181" s="406" t="str">
        <f t="shared" si="32"/>
        <v/>
      </c>
      <c r="Q181" s="406" t="str">
        <f t="array" ref="Q181">IFERROR(INDEX($N$1:$N$203,SMALL(IF($N$1:$N$203&lt;&gt;"",ROW($N$1:$N$203)),ROW(179:179))),"")</f>
        <v/>
      </c>
      <c r="R181" s="399" t="str">
        <f t="shared" si="29"/>
        <v/>
      </c>
      <c r="S181" s="399" t="str">
        <f t="shared" si="33"/>
        <v/>
      </c>
      <c r="T181" s="399" t="str">
        <f t="shared" si="34"/>
        <v/>
      </c>
      <c r="U181" s="419" t="str">
        <f t="shared" si="41"/>
        <v/>
      </c>
      <c r="V181" s="433" t="b">
        <v>0</v>
      </c>
      <c r="W181" s="464"/>
      <c r="X181" s="433"/>
      <c r="Y181" s="433" t="s">
        <v>92</v>
      </c>
      <c r="Z181" s="433"/>
      <c r="AA181" s="433"/>
      <c r="AB181" s="433"/>
      <c r="AC181" s="433" t="s">
        <v>1401</v>
      </c>
      <c r="AD181" s="433"/>
      <c r="AE181" s="433" t="s">
        <v>111</v>
      </c>
      <c r="AF181" s="433" t="s">
        <v>299</v>
      </c>
      <c r="AG181" s="433"/>
      <c r="AH181" s="433"/>
      <c r="AI181" s="433"/>
      <c r="AJ181" s="433"/>
      <c r="AK181" s="433"/>
      <c r="AL181" s="433"/>
      <c r="AM181" s="433"/>
      <c r="AN181" s="433"/>
      <c r="AO181" s="433"/>
      <c r="AP181" s="433"/>
      <c r="AQ181" s="433"/>
      <c r="AR181" s="433"/>
      <c r="AS181" s="433" t="b">
        <v>0</v>
      </c>
      <c r="AT181" s="433"/>
      <c r="AU181" s="433"/>
      <c r="AV181" s="433"/>
      <c r="AW181" s="433"/>
      <c r="AX181" s="433"/>
      <c r="AY181" s="433"/>
      <c r="AZ181" s="433"/>
      <c r="BA181" s="433"/>
      <c r="BB181" s="433"/>
      <c r="BC181" s="433"/>
      <c r="BD181" s="433"/>
      <c r="BE181" s="433"/>
      <c r="BF181" s="433"/>
      <c r="BG181" s="433"/>
      <c r="BH181" s="433"/>
      <c r="BI181" s="433"/>
      <c r="BJ181" s="433"/>
      <c r="BK181" s="433"/>
      <c r="BL181" s="433"/>
      <c r="BM181" s="433"/>
      <c r="BN181" s="433"/>
      <c r="BO181" s="433"/>
      <c r="BP181" s="433"/>
      <c r="BQ181" s="433"/>
      <c r="BR181" s="433"/>
      <c r="BS181" s="433"/>
      <c r="BT181" s="433"/>
      <c r="BU181" s="399" t="str">
        <f t="shared" si="35"/>
        <v/>
      </c>
      <c r="BV181" s="433"/>
      <c r="BW181" s="433"/>
      <c r="BX181" s="433"/>
      <c r="BY181" s="433"/>
      <c r="BZ181" s="433"/>
      <c r="CA181" s="433"/>
      <c r="CB181" s="433"/>
      <c r="CC181" s="433"/>
      <c r="CD181" s="433"/>
      <c r="CE181" s="433"/>
      <c r="CF181" s="433"/>
      <c r="CG181" s="433"/>
      <c r="CH181" s="433"/>
      <c r="CI181" s="433"/>
      <c r="CJ181" s="433"/>
      <c r="CK181" s="433"/>
      <c r="CL181" s="433"/>
      <c r="CM181" s="433"/>
      <c r="CN181" s="433"/>
      <c r="CO181" s="433"/>
      <c r="CP181" s="433"/>
      <c r="CQ181" s="433"/>
      <c r="CR181" s="433"/>
      <c r="CS181" s="433"/>
      <c r="CT181" s="433"/>
      <c r="CU181" s="433"/>
      <c r="CV181" s="433"/>
      <c r="CW181" s="433"/>
      <c r="CX181" s="433"/>
      <c r="CY181" s="433"/>
      <c r="CZ181" s="399" t="str">
        <f t="shared" si="36"/>
        <v/>
      </c>
      <c r="DA181" s="399" t="str">
        <f t="shared" si="37"/>
        <v/>
      </c>
      <c r="DB181" s="399" t="str">
        <f t="shared" si="38"/>
        <v/>
      </c>
      <c r="DC181" s="399" t="str">
        <f t="shared" si="39"/>
        <v/>
      </c>
      <c r="DD181" s="399" t="str">
        <f t="shared" si="42"/>
        <v/>
      </c>
      <c r="DE181" s="399" t="str">
        <f t="shared" si="40"/>
        <v/>
      </c>
      <c r="DG181" s="434"/>
      <c r="DH181" s="434"/>
      <c r="DJ181" s="399"/>
    </row>
    <row r="182" spans="8:114" x14ac:dyDescent="0.25">
      <c r="H182" s="416" t="str">
        <f ca="1">IF(IMPORT!C195="","",IMPORT!C195)</f>
        <v/>
      </c>
      <c r="I182" s="416" t="str">
        <f ca="1">IF(IMPORT!D195="","",IMPORT!D195)</f>
        <v/>
      </c>
      <c r="J182" s="416" t="str">
        <f ca="1">IF(IMPORT!E195="","",IMPORT!E195)</f>
        <v/>
      </c>
      <c r="K182" s="416" t="str">
        <f ca="1">IF(IMPORT!F195="","",IMPORT!F195)</f>
        <v/>
      </c>
      <c r="L182" s="416" t="str">
        <f ca="1">IF(IMPORT!G195="","",IMPORT!G195)</f>
        <v/>
      </c>
      <c r="M182" s="416" t="str">
        <f>IF(IMPORT!H195="","",IMPORT!H195)</f>
        <v/>
      </c>
      <c r="N182" s="399" t="str">
        <f t="shared" si="31"/>
        <v/>
      </c>
      <c r="P182" s="406" t="str">
        <f t="shared" si="32"/>
        <v/>
      </c>
      <c r="Q182" s="406" t="str">
        <f t="array" ref="Q182">IFERROR(INDEX($N$1:$N$203,SMALL(IF($N$1:$N$203&lt;&gt;"",ROW($N$1:$N$203)),ROW(180:180))),"")</f>
        <v/>
      </c>
      <c r="R182" s="399" t="str">
        <f t="shared" si="29"/>
        <v/>
      </c>
      <c r="S182" s="399" t="str">
        <f t="shared" si="33"/>
        <v/>
      </c>
      <c r="T182" s="399" t="str">
        <f t="shared" si="34"/>
        <v/>
      </c>
      <c r="U182" s="419" t="str">
        <f t="shared" si="41"/>
        <v/>
      </c>
      <c r="V182" s="433" t="b">
        <v>0</v>
      </c>
      <c r="W182" s="464"/>
      <c r="X182" s="433"/>
      <c r="Y182" s="433" t="s">
        <v>92</v>
      </c>
      <c r="Z182" s="433"/>
      <c r="AA182" s="433"/>
      <c r="AB182" s="433"/>
      <c r="AC182" s="433" t="s">
        <v>1401</v>
      </c>
      <c r="AD182" s="433"/>
      <c r="AE182" s="433" t="s">
        <v>111</v>
      </c>
      <c r="AF182" s="433" t="s">
        <v>299</v>
      </c>
      <c r="AG182" s="433"/>
      <c r="AH182" s="433"/>
      <c r="AI182" s="433"/>
      <c r="AJ182" s="433"/>
      <c r="AK182" s="433"/>
      <c r="AL182" s="433"/>
      <c r="AM182" s="433"/>
      <c r="AN182" s="433"/>
      <c r="AO182" s="433"/>
      <c r="AP182" s="433"/>
      <c r="AQ182" s="433"/>
      <c r="AR182" s="433"/>
      <c r="AS182" s="433" t="b">
        <v>0</v>
      </c>
      <c r="AT182" s="433"/>
      <c r="AU182" s="433"/>
      <c r="AV182" s="433"/>
      <c r="AW182" s="433"/>
      <c r="AX182" s="433"/>
      <c r="AY182" s="433"/>
      <c r="AZ182" s="433"/>
      <c r="BA182" s="433"/>
      <c r="BB182" s="433"/>
      <c r="BC182" s="433"/>
      <c r="BD182" s="433"/>
      <c r="BE182" s="433"/>
      <c r="BF182" s="433"/>
      <c r="BG182" s="433"/>
      <c r="BH182" s="433"/>
      <c r="BI182" s="433"/>
      <c r="BJ182" s="433"/>
      <c r="BK182" s="433"/>
      <c r="BL182" s="433"/>
      <c r="BM182" s="433"/>
      <c r="BN182" s="433"/>
      <c r="BO182" s="433"/>
      <c r="BP182" s="433"/>
      <c r="BQ182" s="433"/>
      <c r="BR182" s="433"/>
      <c r="BS182" s="433"/>
      <c r="BT182" s="433"/>
      <c r="BU182" s="399" t="str">
        <f t="shared" si="35"/>
        <v/>
      </c>
      <c r="BV182" s="433"/>
      <c r="BW182" s="433"/>
      <c r="BX182" s="433"/>
      <c r="BY182" s="433"/>
      <c r="BZ182" s="433"/>
      <c r="CA182" s="433"/>
      <c r="CB182" s="433"/>
      <c r="CC182" s="433"/>
      <c r="CD182" s="433"/>
      <c r="CE182" s="433"/>
      <c r="CF182" s="433"/>
      <c r="CG182" s="433"/>
      <c r="CH182" s="433"/>
      <c r="CI182" s="433"/>
      <c r="CJ182" s="433"/>
      <c r="CK182" s="433"/>
      <c r="CL182" s="433"/>
      <c r="CM182" s="433"/>
      <c r="CN182" s="433"/>
      <c r="CO182" s="433"/>
      <c r="CP182" s="433"/>
      <c r="CQ182" s="433"/>
      <c r="CR182" s="433"/>
      <c r="CS182" s="433"/>
      <c r="CT182" s="433"/>
      <c r="CU182" s="433"/>
      <c r="CV182" s="433"/>
      <c r="CW182" s="433"/>
      <c r="CX182" s="433"/>
      <c r="CY182" s="433"/>
      <c r="CZ182" s="399" t="str">
        <f t="shared" si="36"/>
        <v/>
      </c>
      <c r="DA182" s="399" t="str">
        <f t="shared" si="37"/>
        <v/>
      </c>
      <c r="DB182" s="399" t="str">
        <f t="shared" si="38"/>
        <v/>
      </c>
      <c r="DC182" s="399" t="str">
        <f t="shared" si="39"/>
        <v/>
      </c>
      <c r="DD182" s="399" t="str">
        <f t="shared" si="42"/>
        <v/>
      </c>
      <c r="DE182" s="399" t="str">
        <f t="shared" si="40"/>
        <v/>
      </c>
      <c r="DG182" s="434"/>
      <c r="DH182" s="434"/>
      <c r="DJ182" s="399"/>
    </row>
    <row r="183" spans="8:114" x14ac:dyDescent="0.25">
      <c r="H183" s="416" t="str">
        <f ca="1">IF(IMPORT!C196="","",IMPORT!C196)</f>
        <v/>
      </c>
      <c r="I183" s="416" t="str">
        <f ca="1">IF(IMPORT!D196="","",IMPORT!D196)</f>
        <v/>
      </c>
      <c r="J183" s="416" t="str">
        <f ca="1">IF(IMPORT!E196="","",IMPORT!E196)</f>
        <v/>
      </c>
      <c r="K183" s="416" t="str">
        <f ca="1">IF(IMPORT!F196="","",IMPORT!F196)</f>
        <v/>
      </c>
      <c r="L183" s="416" t="str">
        <f ca="1">IF(IMPORT!G196="","",IMPORT!G196)</f>
        <v/>
      </c>
      <c r="M183" s="416" t="str">
        <f>IF(IMPORT!H196="","",IMPORT!H196)</f>
        <v/>
      </c>
      <c r="N183" s="399" t="str">
        <f t="shared" si="31"/>
        <v/>
      </c>
      <c r="P183" s="406" t="str">
        <f t="shared" si="32"/>
        <v/>
      </c>
      <c r="Q183" s="406" t="str">
        <f t="array" ref="Q183">IFERROR(INDEX($N$1:$N$203,SMALL(IF($N$1:$N$203&lt;&gt;"",ROW($N$1:$N$203)),ROW(181:181))),"")</f>
        <v/>
      </c>
      <c r="R183" s="399" t="str">
        <f t="shared" si="29"/>
        <v/>
      </c>
      <c r="S183" s="399" t="str">
        <f t="shared" si="33"/>
        <v/>
      </c>
      <c r="T183" s="399" t="str">
        <f t="shared" si="34"/>
        <v/>
      </c>
      <c r="U183" s="419" t="str">
        <f t="shared" si="41"/>
        <v/>
      </c>
      <c r="V183" s="433" t="b">
        <v>0</v>
      </c>
      <c r="W183" s="464"/>
      <c r="X183" s="433"/>
      <c r="Y183" s="433" t="s">
        <v>92</v>
      </c>
      <c r="Z183" s="433"/>
      <c r="AA183" s="433"/>
      <c r="AB183" s="433"/>
      <c r="AC183" s="433" t="s">
        <v>1401</v>
      </c>
      <c r="AD183" s="433"/>
      <c r="AE183" s="433" t="s">
        <v>111</v>
      </c>
      <c r="AF183" s="433" t="s">
        <v>299</v>
      </c>
      <c r="AG183" s="433"/>
      <c r="AH183" s="433"/>
      <c r="AI183" s="433"/>
      <c r="AJ183" s="433"/>
      <c r="AK183" s="433"/>
      <c r="AL183" s="433"/>
      <c r="AM183" s="433"/>
      <c r="AN183" s="433"/>
      <c r="AO183" s="433"/>
      <c r="AP183" s="433"/>
      <c r="AQ183" s="433"/>
      <c r="AR183" s="433"/>
      <c r="AS183" s="433" t="b">
        <v>0</v>
      </c>
      <c r="AT183" s="433"/>
      <c r="AU183" s="433"/>
      <c r="AV183" s="433"/>
      <c r="AW183" s="433"/>
      <c r="AX183" s="433"/>
      <c r="AY183" s="433"/>
      <c r="AZ183" s="433"/>
      <c r="BA183" s="433"/>
      <c r="BB183" s="433"/>
      <c r="BC183" s="433"/>
      <c r="BD183" s="433"/>
      <c r="BE183" s="433"/>
      <c r="BF183" s="433"/>
      <c r="BG183" s="433"/>
      <c r="BH183" s="433"/>
      <c r="BI183" s="433"/>
      <c r="BJ183" s="433"/>
      <c r="BK183" s="433"/>
      <c r="BL183" s="433"/>
      <c r="BM183" s="433"/>
      <c r="BN183" s="433"/>
      <c r="BO183" s="433"/>
      <c r="BP183" s="433"/>
      <c r="BQ183" s="433"/>
      <c r="BR183" s="433"/>
      <c r="BS183" s="433"/>
      <c r="BT183" s="433"/>
      <c r="BU183" s="399" t="str">
        <f t="shared" si="35"/>
        <v/>
      </c>
      <c r="BV183" s="433"/>
      <c r="BW183" s="433"/>
      <c r="BX183" s="433"/>
      <c r="BY183" s="433"/>
      <c r="BZ183" s="433"/>
      <c r="CA183" s="433"/>
      <c r="CB183" s="433"/>
      <c r="CC183" s="433"/>
      <c r="CD183" s="433"/>
      <c r="CE183" s="433"/>
      <c r="CF183" s="433"/>
      <c r="CG183" s="433"/>
      <c r="CH183" s="433"/>
      <c r="CI183" s="433"/>
      <c r="CJ183" s="433"/>
      <c r="CK183" s="433"/>
      <c r="CL183" s="433"/>
      <c r="CM183" s="433"/>
      <c r="CN183" s="433"/>
      <c r="CO183" s="433"/>
      <c r="CP183" s="433"/>
      <c r="CQ183" s="433"/>
      <c r="CR183" s="433"/>
      <c r="CS183" s="433"/>
      <c r="CT183" s="433"/>
      <c r="CU183" s="433"/>
      <c r="CV183" s="433"/>
      <c r="CW183" s="433"/>
      <c r="CX183" s="433"/>
      <c r="CY183" s="433"/>
      <c r="CZ183" s="399" t="str">
        <f t="shared" si="36"/>
        <v/>
      </c>
      <c r="DA183" s="399" t="str">
        <f t="shared" si="37"/>
        <v/>
      </c>
      <c r="DB183" s="399" t="str">
        <f t="shared" si="38"/>
        <v/>
      </c>
      <c r="DC183" s="399" t="str">
        <f t="shared" si="39"/>
        <v/>
      </c>
      <c r="DD183" s="399" t="str">
        <f t="shared" si="42"/>
        <v/>
      </c>
      <c r="DE183" s="399" t="str">
        <f t="shared" si="40"/>
        <v/>
      </c>
      <c r="DG183" s="434"/>
      <c r="DH183" s="434"/>
      <c r="DJ183" s="399"/>
    </row>
    <row r="184" spans="8:114" x14ac:dyDescent="0.25">
      <c r="H184" s="416" t="str">
        <f ca="1">IF(IMPORT!C197="","",IMPORT!C197)</f>
        <v/>
      </c>
      <c r="I184" s="416" t="str">
        <f ca="1">IF(IMPORT!D197="","",IMPORT!D197)</f>
        <v/>
      </c>
      <c r="J184" s="416" t="str">
        <f ca="1">IF(IMPORT!E197="","",IMPORT!E197)</f>
        <v/>
      </c>
      <c r="K184" s="416" t="str">
        <f ca="1">IF(IMPORT!F197="","",IMPORT!F197)</f>
        <v/>
      </c>
      <c r="L184" s="416" t="str">
        <f ca="1">IF(IMPORT!G197="","",IMPORT!G197)</f>
        <v/>
      </c>
      <c r="M184" s="416" t="str">
        <f>IF(IMPORT!H197="","",IMPORT!H197)</f>
        <v/>
      </c>
      <c r="N184" s="399" t="str">
        <f t="shared" si="31"/>
        <v/>
      </c>
      <c r="P184" s="406" t="str">
        <f t="shared" si="32"/>
        <v/>
      </c>
      <c r="Q184" s="406" t="str">
        <f t="array" ref="Q184">IFERROR(INDEX($N$1:$N$203,SMALL(IF($N$1:$N$203&lt;&gt;"",ROW($N$1:$N$203)),ROW(182:182))),"")</f>
        <v/>
      </c>
      <c r="R184" s="399" t="str">
        <f t="shared" si="29"/>
        <v/>
      </c>
      <c r="S184" s="399" t="str">
        <f t="shared" si="33"/>
        <v/>
      </c>
      <c r="T184" s="399" t="str">
        <f t="shared" si="34"/>
        <v/>
      </c>
      <c r="U184" s="419" t="str">
        <f t="shared" si="41"/>
        <v/>
      </c>
      <c r="V184" s="433" t="b">
        <v>0</v>
      </c>
      <c r="W184" s="464"/>
      <c r="X184" s="433"/>
      <c r="Y184" s="433" t="s">
        <v>92</v>
      </c>
      <c r="Z184" s="433"/>
      <c r="AA184" s="433"/>
      <c r="AB184" s="433"/>
      <c r="AC184" s="433" t="s">
        <v>1401</v>
      </c>
      <c r="AD184" s="433"/>
      <c r="AE184" s="433" t="s">
        <v>111</v>
      </c>
      <c r="AF184" s="433" t="s">
        <v>299</v>
      </c>
      <c r="AG184" s="433"/>
      <c r="AH184" s="433"/>
      <c r="AI184" s="433"/>
      <c r="AJ184" s="433"/>
      <c r="AK184" s="433"/>
      <c r="AL184" s="433"/>
      <c r="AM184" s="433"/>
      <c r="AN184" s="433"/>
      <c r="AO184" s="433"/>
      <c r="AP184" s="433"/>
      <c r="AQ184" s="433"/>
      <c r="AR184" s="433"/>
      <c r="AS184" s="433" t="b">
        <v>0</v>
      </c>
      <c r="AT184" s="433"/>
      <c r="AU184" s="433"/>
      <c r="AV184" s="433"/>
      <c r="AW184" s="433"/>
      <c r="AX184" s="433"/>
      <c r="AY184" s="433"/>
      <c r="AZ184" s="433"/>
      <c r="BA184" s="433"/>
      <c r="BB184" s="433"/>
      <c r="BC184" s="433"/>
      <c r="BD184" s="433"/>
      <c r="BE184" s="433"/>
      <c r="BF184" s="433"/>
      <c r="BG184" s="433"/>
      <c r="BH184" s="433"/>
      <c r="BI184" s="433"/>
      <c r="BJ184" s="433"/>
      <c r="BK184" s="433"/>
      <c r="BL184" s="433"/>
      <c r="BM184" s="433"/>
      <c r="BN184" s="433"/>
      <c r="BO184" s="433"/>
      <c r="BP184" s="433"/>
      <c r="BQ184" s="433"/>
      <c r="BR184" s="433"/>
      <c r="BS184" s="433"/>
      <c r="BT184" s="433"/>
      <c r="BU184" s="399" t="str">
        <f t="shared" si="35"/>
        <v/>
      </c>
      <c r="BV184" s="433"/>
      <c r="BW184" s="433"/>
      <c r="BX184" s="433"/>
      <c r="BY184" s="433"/>
      <c r="BZ184" s="433"/>
      <c r="CA184" s="433"/>
      <c r="CB184" s="433"/>
      <c r="CC184" s="433"/>
      <c r="CD184" s="433"/>
      <c r="CE184" s="433"/>
      <c r="CF184" s="433"/>
      <c r="CG184" s="433"/>
      <c r="CH184" s="433"/>
      <c r="CI184" s="433"/>
      <c r="CJ184" s="433"/>
      <c r="CK184" s="433"/>
      <c r="CL184" s="433"/>
      <c r="CM184" s="433"/>
      <c r="CN184" s="433"/>
      <c r="CO184" s="433"/>
      <c r="CP184" s="433"/>
      <c r="CQ184" s="433"/>
      <c r="CR184" s="433"/>
      <c r="CS184" s="433"/>
      <c r="CT184" s="433"/>
      <c r="CU184" s="433"/>
      <c r="CV184" s="433"/>
      <c r="CW184" s="433"/>
      <c r="CX184" s="433"/>
      <c r="CY184" s="433"/>
      <c r="CZ184" s="399" t="str">
        <f t="shared" si="36"/>
        <v/>
      </c>
      <c r="DA184" s="399" t="str">
        <f t="shared" si="37"/>
        <v/>
      </c>
      <c r="DB184" s="399" t="str">
        <f t="shared" si="38"/>
        <v/>
      </c>
      <c r="DC184" s="399" t="str">
        <f t="shared" si="39"/>
        <v/>
      </c>
      <c r="DD184" s="399" t="str">
        <f t="shared" si="42"/>
        <v/>
      </c>
      <c r="DE184" s="399" t="str">
        <f t="shared" si="40"/>
        <v/>
      </c>
      <c r="DG184" s="434"/>
      <c r="DH184" s="434"/>
      <c r="DJ184" s="399"/>
    </row>
    <row r="185" spans="8:114" x14ac:dyDescent="0.25">
      <c r="H185" s="416" t="str">
        <f ca="1">IF(IMPORT!C198="","",IMPORT!C198)</f>
        <v/>
      </c>
      <c r="I185" s="416" t="str">
        <f ca="1">IF(IMPORT!D198="","",IMPORT!D198)</f>
        <v/>
      </c>
      <c r="J185" s="416" t="str">
        <f ca="1">IF(IMPORT!E198="","",IMPORT!E198)</f>
        <v/>
      </c>
      <c r="K185" s="416" t="str">
        <f ca="1">IF(IMPORT!F198="","",IMPORT!F198)</f>
        <v/>
      </c>
      <c r="L185" s="416" t="str">
        <f ca="1">IF(IMPORT!G198="","",IMPORT!G198)</f>
        <v/>
      </c>
      <c r="M185" s="416" t="str">
        <f>IF(IMPORT!H198="","",IMPORT!H198)</f>
        <v/>
      </c>
      <c r="N185" s="399" t="str">
        <f t="shared" si="31"/>
        <v/>
      </c>
      <c r="P185" s="406" t="str">
        <f t="shared" si="32"/>
        <v/>
      </c>
      <c r="Q185" s="406" t="str">
        <f t="array" ref="Q185">IFERROR(INDEX($N$1:$N$203,SMALL(IF($N$1:$N$203&lt;&gt;"",ROW($N$1:$N$203)),ROW(183:183))),"")</f>
        <v/>
      </c>
      <c r="R185" s="399" t="str">
        <f t="shared" si="29"/>
        <v/>
      </c>
      <c r="S185" s="399" t="str">
        <f t="shared" si="33"/>
        <v/>
      </c>
      <c r="T185" s="399" t="str">
        <f t="shared" si="34"/>
        <v/>
      </c>
      <c r="U185" s="419" t="str">
        <f t="shared" si="41"/>
        <v/>
      </c>
      <c r="V185" s="433" t="b">
        <v>0</v>
      </c>
      <c r="W185" s="464"/>
      <c r="X185" s="433"/>
      <c r="Y185" s="433" t="s">
        <v>92</v>
      </c>
      <c r="Z185" s="433"/>
      <c r="AA185" s="433"/>
      <c r="AB185" s="433"/>
      <c r="AC185" s="433" t="s">
        <v>1401</v>
      </c>
      <c r="AD185" s="433"/>
      <c r="AE185" s="433" t="s">
        <v>111</v>
      </c>
      <c r="AF185" s="433" t="s">
        <v>299</v>
      </c>
      <c r="AG185" s="433"/>
      <c r="AH185" s="433"/>
      <c r="AI185" s="433"/>
      <c r="AJ185" s="433"/>
      <c r="AK185" s="433"/>
      <c r="AL185" s="433"/>
      <c r="AM185" s="433"/>
      <c r="AN185" s="433"/>
      <c r="AO185" s="433"/>
      <c r="AP185" s="433"/>
      <c r="AQ185" s="433"/>
      <c r="AR185" s="433"/>
      <c r="AS185" s="433" t="b">
        <v>0</v>
      </c>
      <c r="AT185" s="433"/>
      <c r="AU185" s="433"/>
      <c r="AV185" s="433"/>
      <c r="AW185" s="433"/>
      <c r="AX185" s="433"/>
      <c r="AY185" s="433"/>
      <c r="AZ185" s="433"/>
      <c r="BA185" s="433"/>
      <c r="BB185" s="433"/>
      <c r="BC185" s="433"/>
      <c r="BD185" s="433"/>
      <c r="BE185" s="433"/>
      <c r="BF185" s="433"/>
      <c r="BG185" s="433"/>
      <c r="BH185" s="433"/>
      <c r="BI185" s="433"/>
      <c r="BJ185" s="433"/>
      <c r="BK185" s="433"/>
      <c r="BL185" s="433"/>
      <c r="BM185" s="433"/>
      <c r="BN185" s="433"/>
      <c r="BO185" s="433"/>
      <c r="BP185" s="433"/>
      <c r="BQ185" s="433"/>
      <c r="BR185" s="433"/>
      <c r="BS185" s="433"/>
      <c r="BT185" s="433"/>
      <c r="BU185" s="399" t="str">
        <f t="shared" si="35"/>
        <v/>
      </c>
      <c r="BV185" s="433"/>
      <c r="BW185" s="433"/>
      <c r="BX185" s="433"/>
      <c r="BY185" s="433"/>
      <c r="BZ185" s="433"/>
      <c r="CA185" s="433"/>
      <c r="CB185" s="433"/>
      <c r="CC185" s="433"/>
      <c r="CD185" s="433"/>
      <c r="CE185" s="433"/>
      <c r="CF185" s="433"/>
      <c r="CG185" s="433"/>
      <c r="CH185" s="433"/>
      <c r="CI185" s="433"/>
      <c r="CJ185" s="433"/>
      <c r="CK185" s="433"/>
      <c r="CL185" s="433"/>
      <c r="CM185" s="433"/>
      <c r="CN185" s="433"/>
      <c r="CO185" s="433"/>
      <c r="CP185" s="433"/>
      <c r="CQ185" s="433"/>
      <c r="CR185" s="433"/>
      <c r="CS185" s="433"/>
      <c r="CT185" s="433"/>
      <c r="CU185" s="433"/>
      <c r="CV185" s="433"/>
      <c r="CW185" s="433"/>
      <c r="CX185" s="433"/>
      <c r="CY185" s="433"/>
      <c r="CZ185" s="399" t="str">
        <f t="shared" si="36"/>
        <v/>
      </c>
      <c r="DA185" s="399" t="str">
        <f t="shared" si="37"/>
        <v/>
      </c>
      <c r="DB185" s="399" t="str">
        <f t="shared" si="38"/>
        <v/>
      </c>
      <c r="DC185" s="399" t="str">
        <f t="shared" si="39"/>
        <v/>
      </c>
      <c r="DD185" s="399" t="str">
        <f t="shared" si="42"/>
        <v/>
      </c>
      <c r="DE185" s="399" t="str">
        <f t="shared" si="40"/>
        <v/>
      </c>
      <c r="DG185" s="434"/>
      <c r="DH185" s="434"/>
      <c r="DJ185" s="399"/>
    </row>
    <row r="186" spans="8:114" x14ac:dyDescent="0.25">
      <c r="H186" s="416" t="str">
        <f ca="1">IF(IMPORT!C199="","",IMPORT!C199)</f>
        <v/>
      </c>
      <c r="I186" s="416" t="str">
        <f ca="1">IF(IMPORT!D199="","",IMPORT!D199)</f>
        <v/>
      </c>
      <c r="J186" s="416" t="str">
        <f ca="1">IF(IMPORT!E199="","",IMPORT!E199)</f>
        <v/>
      </c>
      <c r="K186" s="416" t="str">
        <f ca="1">IF(IMPORT!F199="","",IMPORT!F199)</f>
        <v/>
      </c>
      <c r="L186" s="416" t="str">
        <f ca="1">IF(IMPORT!G199="","",IMPORT!G199)</f>
        <v/>
      </c>
      <c r="M186" s="416" t="str">
        <f>IF(IMPORT!H199="","",IMPORT!H199)</f>
        <v/>
      </c>
      <c r="N186" s="399" t="str">
        <f t="shared" si="31"/>
        <v/>
      </c>
      <c r="P186" s="406" t="str">
        <f t="shared" si="32"/>
        <v/>
      </c>
      <c r="Q186" s="406" t="str">
        <f t="array" ref="Q186">IFERROR(INDEX($N$1:$N$203,SMALL(IF($N$1:$N$203&lt;&gt;"",ROW($N$1:$N$203)),ROW(184:184))),"")</f>
        <v/>
      </c>
      <c r="R186" s="399" t="str">
        <f t="shared" si="29"/>
        <v/>
      </c>
      <c r="S186" s="399" t="str">
        <f t="shared" si="33"/>
        <v/>
      </c>
      <c r="T186" s="399" t="str">
        <f t="shared" si="34"/>
        <v/>
      </c>
      <c r="U186" s="419" t="str">
        <f t="shared" si="41"/>
        <v/>
      </c>
      <c r="V186" s="433" t="b">
        <v>0</v>
      </c>
      <c r="W186" s="464"/>
      <c r="X186" s="433"/>
      <c r="Y186" s="433" t="s">
        <v>92</v>
      </c>
      <c r="Z186" s="433"/>
      <c r="AA186" s="433"/>
      <c r="AB186" s="433"/>
      <c r="AC186" s="433" t="s">
        <v>1401</v>
      </c>
      <c r="AD186" s="433"/>
      <c r="AE186" s="433" t="s">
        <v>111</v>
      </c>
      <c r="AF186" s="433" t="s">
        <v>299</v>
      </c>
      <c r="AG186" s="433"/>
      <c r="AH186" s="433"/>
      <c r="AI186" s="433"/>
      <c r="AJ186" s="433"/>
      <c r="AK186" s="433"/>
      <c r="AL186" s="433"/>
      <c r="AM186" s="433"/>
      <c r="AN186" s="433"/>
      <c r="AO186" s="433"/>
      <c r="AP186" s="433"/>
      <c r="AQ186" s="433"/>
      <c r="AR186" s="433"/>
      <c r="AS186" s="433" t="b">
        <v>0</v>
      </c>
      <c r="AT186" s="433"/>
      <c r="AU186" s="433"/>
      <c r="AV186" s="433"/>
      <c r="AW186" s="433"/>
      <c r="AX186" s="433"/>
      <c r="AY186" s="433"/>
      <c r="AZ186" s="433"/>
      <c r="BA186" s="433"/>
      <c r="BB186" s="433"/>
      <c r="BC186" s="433"/>
      <c r="BD186" s="433"/>
      <c r="BE186" s="433"/>
      <c r="BF186" s="433"/>
      <c r="BG186" s="433"/>
      <c r="BH186" s="433"/>
      <c r="BI186" s="433"/>
      <c r="BJ186" s="433"/>
      <c r="BK186" s="433"/>
      <c r="BL186" s="433"/>
      <c r="BM186" s="433"/>
      <c r="BN186" s="433"/>
      <c r="BO186" s="433"/>
      <c r="BP186" s="433"/>
      <c r="BQ186" s="433"/>
      <c r="BR186" s="433"/>
      <c r="BS186" s="433"/>
      <c r="BT186" s="433"/>
      <c r="BU186" s="399" t="str">
        <f t="shared" si="35"/>
        <v/>
      </c>
      <c r="BV186" s="433"/>
      <c r="BW186" s="433"/>
      <c r="BX186" s="433"/>
      <c r="BY186" s="433"/>
      <c r="BZ186" s="433"/>
      <c r="CA186" s="433"/>
      <c r="CB186" s="433"/>
      <c r="CC186" s="433"/>
      <c r="CD186" s="433"/>
      <c r="CE186" s="433"/>
      <c r="CF186" s="433"/>
      <c r="CG186" s="433"/>
      <c r="CH186" s="433"/>
      <c r="CI186" s="433"/>
      <c r="CJ186" s="433"/>
      <c r="CK186" s="433"/>
      <c r="CL186" s="433"/>
      <c r="CM186" s="433"/>
      <c r="CN186" s="433"/>
      <c r="CO186" s="433"/>
      <c r="CP186" s="433"/>
      <c r="CQ186" s="433"/>
      <c r="CR186" s="433"/>
      <c r="CS186" s="433"/>
      <c r="CT186" s="433"/>
      <c r="CU186" s="433"/>
      <c r="CV186" s="433"/>
      <c r="CW186" s="433"/>
      <c r="CX186" s="433"/>
      <c r="CY186" s="433"/>
      <c r="CZ186" s="399" t="str">
        <f t="shared" si="36"/>
        <v/>
      </c>
      <c r="DA186" s="399" t="str">
        <f t="shared" si="37"/>
        <v/>
      </c>
      <c r="DB186" s="399" t="str">
        <f t="shared" si="38"/>
        <v/>
      </c>
      <c r="DC186" s="399" t="str">
        <f t="shared" si="39"/>
        <v/>
      </c>
      <c r="DD186" s="399" t="str">
        <f t="shared" si="42"/>
        <v/>
      </c>
      <c r="DE186" s="399" t="str">
        <f t="shared" si="40"/>
        <v/>
      </c>
      <c r="DG186" s="434"/>
      <c r="DH186" s="434"/>
      <c r="DJ186" s="399"/>
    </row>
    <row r="187" spans="8:114" x14ac:dyDescent="0.25">
      <c r="H187" s="416" t="str">
        <f ca="1">IF(IMPORT!C200="","",IMPORT!C200)</f>
        <v/>
      </c>
      <c r="I187" s="416" t="str">
        <f ca="1">IF(IMPORT!D200="","",IMPORT!D200)</f>
        <v/>
      </c>
      <c r="J187" s="416" t="str">
        <f ca="1">IF(IMPORT!E200="","",IMPORT!E200)</f>
        <v/>
      </c>
      <c r="K187" s="416" t="str">
        <f ca="1">IF(IMPORT!F200="","",IMPORT!F200)</f>
        <v/>
      </c>
      <c r="L187" s="416" t="str">
        <f ca="1">IF(IMPORT!G200="","",IMPORT!G200)</f>
        <v/>
      </c>
      <c r="M187" s="416" t="str">
        <f>IF(IMPORT!H200="","",IMPORT!H200)</f>
        <v/>
      </c>
      <c r="N187" s="399" t="str">
        <f t="shared" si="31"/>
        <v/>
      </c>
      <c r="P187" s="406" t="str">
        <f t="shared" si="32"/>
        <v/>
      </c>
      <c r="Q187" s="406" t="str">
        <f t="array" ref="Q187">IFERROR(INDEX($N$1:$N$203,SMALL(IF($N$1:$N$203&lt;&gt;"",ROW($N$1:$N$203)),ROW(185:185))),"")</f>
        <v/>
      </c>
      <c r="R187" s="399" t="str">
        <f t="shared" si="29"/>
        <v/>
      </c>
      <c r="S187" s="399" t="str">
        <f t="shared" si="33"/>
        <v/>
      </c>
      <c r="T187" s="399" t="str">
        <f t="shared" si="34"/>
        <v/>
      </c>
      <c r="U187" s="419" t="str">
        <f t="shared" si="41"/>
        <v/>
      </c>
      <c r="V187" s="433" t="b">
        <v>0</v>
      </c>
      <c r="W187" s="464"/>
      <c r="X187" s="433"/>
      <c r="Y187" s="433" t="s">
        <v>92</v>
      </c>
      <c r="Z187" s="433"/>
      <c r="AA187" s="433"/>
      <c r="AB187" s="433"/>
      <c r="AC187" s="433" t="s">
        <v>1401</v>
      </c>
      <c r="AD187" s="433"/>
      <c r="AE187" s="433" t="s">
        <v>111</v>
      </c>
      <c r="AF187" s="433" t="s">
        <v>299</v>
      </c>
      <c r="AG187" s="433"/>
      <c r="AH187" s="433"/>
      <c r="AI187" s="433"/>
      <c r="AJ187" s="433"/>
      <c r="AK187" s="433"/>
      <c r="AL187" s="433"/>
      <c r="AM187" s="433"/>
      <c r="AN187" s="433"/>
      <c r="AO187" s="433"/>
      <c r="AP187" s="433"/>
      <c r="AQ187" s="433"/>
      <c r="AR187" s="433"/>
      <c r="AS187" s="433" t="b">
        <v>0</v>
      </c>
      <c r="AT187" s="433"/>
      <c r="AU187" s="433"/>
      <c r="AV187" s="433"/>
      <c r="AW187" s="433"/>
      <c r="AX187" s="433"/>
      <c r="AY187" s="433"/>
      <c r="AZ187" s="433"/>
      <c r="BA187" s="433"/>
      <c r="BB187" s="433"/>
      <c r="BC187" s="433"/>
      <c r="BD187" s="433"/>
      <c r="BE187" s="433"/>
      <c r="BF187" s="433"/>
      <c r="BG187" s="433"/>
      <c r="BH187" s="433"/>
      <c r="BI187" s="433"/>
      <c r="BJ187" s="433"/>
      <c r="BK187" s="433"/>
      <c r="BL187" s="433"/>
      <c r="BM187" s="433"/>
      <c r="BN187" s="433"/>
      <c r="BO187" s="433"/>
      <c r="BP187" s="433"/>
      <c r="BQ187" s="433"/>
      <c r="BR187" s="433"/>
      <c r="BS187" s="433"/>
      <c r="BT187" s="433"/>
      <c r="BU187" s="399" t="str">
        <f t="shared" si="35"/>
        <v/>
      </c>
      <c r="BV187" s="433"/>
      <c r="BW187" s="433"/>
      <c r="BX187" s="433"/>
      <c r="BY187" s="433"/>
      <c r="BZ187" s="433"/>
      <c r="CA187" s="433"/>
      <c r="CB187" s="433"/>
      <c r="CC187" s="433"/>
      <c r="CD187" s="433"/>
      <c r="CE187" s="433"/>
      <c r="CF187" s="433"/>
      <c r="CG187" s="433"/>
      <c r="CH187" s="433"/>
      <c r="CI187" s="433"/>
      <c r="CJ187" s="433"/>
      <c r="CK187" s="433"/>
      <c r="CL187" s="433"/>
      <c r="CM187" s="433"/>
      <c r="CN187" s="433"/>
      <c r="CO187" s="433"/>
      <c r="CP187" s="433"/>
      <c r="CQ187" s="433"/>
      <c r="CR187" s="433"/>
      <c r="CS187" s="433"/>
      <c r="CT187" s="433"/>
      <c r="CU187" s="433"/>
      <c r="CV187" s="433"/>
      <c r="CW187" s="433"/>
      <c r="CX187" s="433"/>
      <c r="CY187" s="433"/>
      <c r="CZ187" s="399" t="str">
        <f t="shared" si="36"/>
        <v/>
      </c>
      <c r="DA187" s="399" t="str">
        <f t="shared" si="37"/>
        <v/>
      </c>
      <c r="DB187" s="399" t="str">
        <f t="shared" si="38"/>
        <v/>
      </c>
      <c r="DC187" s="399" t="str">
        <f t="shared" si="39"/>
        <v/>
      </c>
      <c r="DD187" s="399" t="str">
        <f t="shared" si="42"/>
        <v/>
      </c>
      <c r="DE187" s="399" t="str">
        <f t="shared" si="40"/>
        <v/>
      </c>
      <c r="DG187" s="434"/>
      <c r="DH187" s="434"/>
      <c r="DJ187" s="399"/>
    </row>
    <row r="188" spans="8:114" x14ac:dyDescent="0.25">
      <c r="H188" s="416" t="str">
        <f ca="1">IF(IMPORT!C201="","",IMPORT!C201)</f>
        <v/>
      </c>
      <c r="I188" s="416" t="str">
        <f ca="1">IF(IMPORT!D201="","",IMPORT!D201)</f>
        <v/>
      </c>
      <c r="J188" s="416" t="str">
        <f ca="1">IF(IMPORT!E201="","",IMPORT!E201)</f>
        <v/>
      </c>
      <c r="K188" s="416" t="str">
        <f ca="1">IF(IMPORT!F201="","",IMPORT!F201)</f>
        <v/>
      </c>
      <c r="L188" s="416" t="str">
        <f ca="1">IF(IMPORT!G201="","",IMPORT!G201)</f>
        <v/>
      </c>
      <c r="M188" s="416" t="str">
        <f>IF(IMPORT!H201="","",IMPORT!H201)</f>
        <v/>
      </c>
      <c r="N188" s="399" t="str">
        <f t="shared" si="31"/>
        <v/>
      </c>
      <c r="P188" s="406" t="str">
        <f t="shared" si="32"/>
        <v/>
      </c>
      <c r="Q188" s="406" t="str">
        <f t="array" ref="Q188">IFERROR(INDEX($N$1:$N$203,SMALL(IF($N$1:$N$203&lt;&gt;"",ROW($N$1:$N$203)),ROW(186:186))),"")</f>
        <v/>
      </c>
      <c r="R188" s="399" t="str">
        <f t="shared" si="29"/>
        <v/>
      </c>
      <c r="S188" s="399" t="str">
        <f t="shared" si="33"/>
        <v/>
      </c>
      <c r="T188" s="399" t="str">
        <f t="shared" si="34"/>
        <v/>
      </c>
      <c r="U188" s="419" t="str">
        <f t="shared" si="41"/>
        <v/>
      </c>
      <c r="V188" s="433" t="b">
        <v>0</v>
      </c>
      <c r="W188" s="464"/>
      <c r="X188" s="433"/>
      <c r="Y188" s="433" t="s">
        <v>92</v>
      </c>
      <c r="Z188" s="433"/>
      <c r="AA188" s="433"/>
      <c r="AB188" s="433"/>
      <c r="AC188" s="433" t="s">
        <v>1401</v>
      </c>
      <c r="AD188" s="433"/>
      <c r="AE188" s="433" t="s">
        <v>111</v>
      </c>
      <c r="AF188" s="433" t="s">
        <v>299</v>
      </c>
      <c r="AG188" s="433"/>
      <c r="AH188" s="433"/>
      <c r="AI188" s="433"/>
      <c r="AJ188" s="433"/>
      <c r="AK188" s="433"/>
      <c r="AL188" s="433"/>
      <c r="AM188" s="433"/>
      <c r="AN188" s="433"/>
      <c r="AO188" s="433"/>
      <c r="AP188" s="433"/>
      <c r="AQ188" s="433"/>
      <c r="AR188" s="433"/>
      <c r="AS188" s="433" t="b">
        <v>0</v>
      </c>
      <c r="AT188" s="433"/>
      <c r="AU188" s="433"/>
      <c r="AV188" s="433"/>
      <c r="AW188" s="433"/>
      <c r="AX188" s="433"/>
      <c r="AY188" s="433"/>
      <c r="AZ188" s="433"/>
      <c r="BA188" s="433"/>
      <c r="BB188" s="433"/>
      <c r="BC188" s="433"/>
      <c r="BD188" s="433"/>
      <c r="BE188" s="433"/>
      <c r="BF188" s="433"/>
      <c r="BG188" s="433"/>
      <c r="BH188" s="433"/>
      <c r="BI188" s="433"/>
      <c r="BJ188" s="433"/>
      <c r="BK188" s="433"/>
      <c r="BL188" s="433"/>
      <c r="BM188" s="433"/>
      <c r="BN188" s="433"/>
      <c r="BO188" s="433"/>
      <c r="BP188" s="433"/>
      <c r="BQ188" s="433"/>
      <c r="BR188" s="433"/>
      <c r="BS188" s="433"/>
      <c r="BT188" s="433"/>
      <c r="BU188" s="399" t="str">
        <f t="shared" si="35"/>
        <v/>
      </c>
      <c r="BV188" s="433"/>
      <c r="BW188" s="433"/>
      <c r="BX188" s="433"/>
      <c r="BY188" s="433"/>
      <c r="BZ188" s="433"/>
      <c r="CA188" s="433"/>
      <c r="CB188" s="433"/>
      <c r="CC188" s="433"/>
      <c r="CD188" s="433"/>
      <c r="CE188" s="433"/>
      <c r="CF188" s="433"/>
      <c r="CG188" s="433"/>
      <c r="CH188" s="433"/>
      <c r="CI188" s="433"/>
      <c r="CJ188" s="433"/>
      <c r="CK188" s="433"/>
      <c r="CL188" s="433"/>
      <c r="CM188" s="433"/>
      <c r="CN188" s="433"/>
      <c r="CO188" s="433"/>
      <c r="CP188" s="433"/>
      <c r="CQ188" s="433"/>
      <c r="CR188" s="433"/>
      <c r="CS188" s="433"/>
      <c r="CT188" s="433"/>
      <c r="CU188" s="433"/>
      <c r="CV188" s="433"/>
      <c r="CW188" s="433"/>
      <c r="CX188" s="433"/>
      <c r="CY188" s="433"/>
      <c r="CZ188" s="399" t="str">
        <f t="shared" si="36"/>
        <v/>
      </c>
      <c r="DA188" s="399" t="str">
        <f t="shared" si="37"/>
        <v/>
      </c>
      <c r="DB188" s="399" t="str">
        <f t="shared" si="38"/>
        <v/>
      </c>
      <c r="DC188" s="399" t="str">
        <f t="shared" si="39"/>
        <v/>
      </c>
      <c r="DD188" s="399" t="str">
        <f t="shared" si="42"/>
        <v/>
      </c>
      <c r="DE188" s="399" t="str">
        <f t="shared" si="40"/>
        <v/>
      </c>
      <c r="DG188" s="434"/>
      <c r="DH188" s="434"/>
      <c r="DJ188" s="399"/>
    </row>
    <row r="189" spans="8:114" x14ac:dyDescent="0.25">
      <c r="H189" s="416" t="str">
        <f ca="1">IF(IMPORT!C202="","",IMPORT!C202)</f>
        <v/>
      </c>
      <c r="I189" s="416" t="str">
        <f ca="1">IF(IMPORT!D202="","",IMPORT!D202)</f>
        <v/>
      </c>
      <c r="J189" s="416" t="str">
        <f ca="1">IF(IMPORT!E202="","",IMPORT!E202)</f>
        <v/>
      </c>
      <c r="K189" s="416" t="str">
        <f ca="1">IF(IMPORT!F202="","",IMPORT!F202)</f>
        <v/>
      </c>
      <c r="L189" s="416" t="str">
        <f ca="1">IF(IMPORT!G202="","",IMPORT!G202)</f>
        <v/>
      </c>
      <c r="M189" s="416" t="str">
        <f>IF(IMPORT!H202="","",IMPORT!H202)</f>
        <v/>
      </c>
      <c r="N189" s="399" t="str">
        <f t="shared" si="31"/>
        <v/>
      </c>
      <c r="P189" s="406" t="str">
        <f t="shared" si="32"/>
        <v/>
      </c>
      <c r="Q189" s="406" t="str">
        <f t="array" ref="Q189">IFERROR(INDEX($N$1:$N$203,SMALL(IF($N$1:$N$203&lt;&gt;"",ROW($N$1:$N$203)),ROW(187:187))),"")</f>
        <v/>
      </c>
      <c r="R189" s="399" t="str">
        <f t="shared" si="29"/>
        <v/>
      </c>
      <c r="S189" s="399" t="str">
        <f t="shared" si="33"/>
        <v/>
      </c>
      <c r="T189" s="399" t="str">
        <f t="shared" si="34"/>
        <v/>
      </c>
      <c r="U189" s="419" t="str">
        <f t="shared" si="41"/>
        <v/>
      </c>
      <c r="V189" s="433" t="b">
        <v>0</v>
      </c>
      <c r="W189" s="464"/>
      <c r="X189" s="433"/>
      <c r="Y189" s="433" t="s">
        <v>92</v>
      </c>
      <c r="Z189" s="433"/>
      <c r="AA189" s="433"/>
      <c r="AB189" s="433"/>
      <c r="AC189" s="433" t="s">
        <v>1401</v>
      </c>
      <c r="AD189" s="433"/>
      <c r="AE189" s="433" t="s">
        <v>111</v>
      </c>
      <c r="AF189" s="433" t="s">
        <v>299</v>
      </c>
      <c r="AG189" s="433"/>
      <c r="AH189" s="433"/>
      <c r="AI189" s="433"/>
      <c r="AJ189" s="433"/>
      <c r="AK189" s="433"/>
      <c r="AL189" s="433"/>
      <c r="AM189" s="433"/>
      <c r="AN189" s="433"/>
      <c r="AO189" s="433"/>
      <c r="AP189" s="433"/>
      <c r="AQ189" s="433"/>
      <c r="AR189" s="433"/>
      <c r="AS189" s="433" t="b">
        <v>0</v>
      </c>
      <c r="AT189" s="433"/>
      <c r="AU189" s="433"/>
      <c r="AV189" s="433"/>
      <c r="AW189" s="433"/>
      <c r="AX189" s="433"/>
      <c r="AY189" s="433"/>
      <c r="AZ189" s="433"/>
      <c r="BA189" s="433"/>
      <c r="BB189" s="433"/>
      <c r="BC189" s="433"/>
      <c r="BD189" s="433"/>
      <c r="BE189" s="433"/>
      <c r="BF189" s="433"/>
      <c r="BG189" s="433"/>
      <c r="BH189" s="433"/>
      <c r="BI189" s="433"/>
      <c r="BJ189" s="433"/>
      <c r="BK189" s="433"/>
      <c r="BL189" s="433"/>
      <c r="BM189" s="433"/>
      <c r="BN189" s="433"/>
      <c r="BO189" s="433"/>
      <c r="BP189" s="433"/>
      <c r="BQ189" s="433"/>
      <c r="BR189" s="433"/>
      <c r="BS189" s="433"/>
      <c r="BT189" s="433"/>
      <c r="BU189" s="399" t="str">
        <f t="shared" si="35"/>
        <v/>
      </c>
      <c r="BV189" s="433"/>
      <c r="BW189" s="433"/>
      <c r="BX189" s="433"/>
      <c r="BY189" s="433"/>
      <c r="BZ189" s="433"/>
      <c r="CA189" s="433"/>
      <c r="CB189" s="433"/>
      <c r="CC189" s="433"/>
      <c r="CD189" s="433"/>
      <c r="CE189" s="433"/>
      <c r="CF189" s="433"/>
      <c r="CG189" s="433"/>
      <c r="CH189" s="433"/>
      <c r="CI189" s="433"/>
      <c r="CJ189" s="433"/>
      <c r="CK189" s="433"/>
      <c r="CL189" s="433"/>
      <c r="CM189" s="433"/>
      <c r="CN189" s="433"/>
      <c r="CO189" s="433"/>
      <c r="CP189" s="433"/>
      <c r="CQ189" s="433"/>
      <c r="CR189" s="433"/>
      <c r="CS189" s="433"/>
      <c r="CT189" s="433"/>
      <c r="CU189" s="433"/>
      <c r="CV189" s="433"/>
      <c r="CW189" s="433"/>
      <c r="CX189" s="433"/>
      <c r="CY189" s="433"/>
      <c r="CZ189" s="399" t="str">
        <f t="shared" si="36"/>
        <v/>
      </c>
      <c r="DA189" s="399" t="str">
        <f t="shared" si="37"/>
        <v/>
      </c>
      <c r="DB189" s="399" t="str">
        <f t="shared" si="38"/>
        <v/>
      </c>
      <c r="DC189" s="399" t="str">
        <f t="shared" si="39"/>
        <v/>
      </c>
      <c r="DD189" s="399" t="str">
        <f t="shared" si="42"/>
        <v/>
      </c>
      <c r="DE189" s="399" t="str">
        <f t="shared" si="40"/>
        <v/>
      </c>
      <c r="DG189" s="434"/>
      <c r="DH189" s="434"/>
      <c r="DJ189" s="399"/>
    </row>
    <row r="190" spans="8:114" x14ac:dyDescent="0.25">
      <c r="H190" s="416" t="str">
        <f ca="1">IF(IMPORT!C203="","",IMPORT!C203)</f>
        <v/>
      </c>
      <c r="I190" s="416" t="str">
        <f ca="1">IF(IMPORT!D203="","",IMPORT!D203)</f>
        <v/>
      </c>
      <c r="J190" s="416" t="str">
        <f ca="1">IF(IMPORT!E203="","",IMPORT!E203)</f>
        <v/>
      </c>
      <c r="K190" s="416" t="str">
        <f ca="1">IF(IMPORT!F203="","",IMPORT!F203)</f>
        <v/>
      </c>
      <c r="L190" s="416" t="str">
        <f ca="1">IF(IMPORT!G203="","",IMPORT!G203)</f>
        <v/>
      </c>
      <c r="M190" s="416" t="str">
        <f>IF(IMPORT!H203="","",IMPORT!H203)</f>
        <v/>
      </c>
      <c r="N190" s="399" t="str">
        <f t="shared" si="31"/>
        <v/>
      </c>
      <c r="P190" s="406" t="str">
        <f t="shared" si="32"/>
        <v/>
      </c>
      <c r="Q190" s="406" t="str">
        <f t="array" ref="Q190">IFERROR(INDEX($N$1:$N$203,SMALL(IF($N$1:$N$203&lt;&gt;"",ROW($N$1:$N$203)),ROW(188:188))),"")</f>
        <v/>
      </c>
      <c r="R190" s="399" t="str">
        <f t="shared" si="29"/>
        <v/>
      </c>
      <c r="S190" s="399" t="str">
        <f t="shared" si="33"/>
        <v/>
      </c>
      <c r="T190" s="399" t="str">
        <f t="shared" si="34"/>
        <v/>
      </c>
      <c r="U190" s="419" t="str">
        <f t="shared" si="41"/>
        <v/>
      </c>
      <c r="V190" s="433" t="b">
        <v>0</v>
      </c>
      <c r="W190" s="464"/>
      <c r="X190" s="433"/>
      <c r="Y190" s="433" t="s">
        <v>92</v>
      </c>
      <c r="Z190" s="433"/>
      <c r="AA190" s="433"/>
      <c r="AB190" s="433"/>
      <c r="AC190" s="433" t="s">
        <v>1401</v>
      </c>
      <c r="AD190" s="433"/>
      <c r="AE190" s="433" t="s">
        <v>111</v>
      </c>
      <c r="AF190" s="433" t="s">
        <v>299</v>
      </c>
      <c r="AG190" s="433"/>
      <c r="AH190" s="433"/>
      <c r="AI190" s="433"/>
      <c r="AJ190" s="433"/>
      <c r="AK190" s="433"/>
      <c r="AL190" s="433"/>
      <c r="AM190" s="433"/>
      <c r="AN190" s="433"/>
      <c r="AO190" s="433"/>
      <c r="AP190" s="433"/>
      <c r="AQ190" s="433"/>
      <c r="AR190" s="433"/>
      <c r="AS190" s="433" t="b">
        <v>0</v>
      </c>
      <c r="AT190" s="433"/>
      <c r="AU190" s="433"/>
      <c r="AV190" s="433"/>
      <c r="AW190" s="433"/>
      <c r="AX190" s="433"/>
      <c r="AY190" s="433"/>
      <c r="AZ190" s="433"/>
      <c r="BA190" s="433"/>
      <c r="BB190" s="433"/>
      <c r="BC190" s="433"/>
      <c r="BD190" s="433"/>
      <c r="BE190" s="433"/>
      <c r="BF190" s="433"/>
      <c r="BG190" s="433"/>
      <c r="BH190" s="433"/>
      <c r="BI190" s="433"/>
      <c r="BJ190" s="433"/>
      <c r="BK190" s="433"/>
      <c r="BL190" s="433"/>
      <c r="BM190" s="433"/>
      <c r="BN190" s="433"/>
      <c r="BO190" s="433"/>
      <c r="BP190" s="433"/>
      <c r="BQ190" s="433"/>
      <c r="BR190" s="433"/>
      <c r="BS190" s="433"/>
      <c r="BT190" s="433"/>
      <c r="BU190" s="399" t="str">
        <f t="shared" si="35"/>
        <v/>
      </c>
      <c r="BV190" s="433"/>
      <c r="BW190" s="433"/>
      <c r="BX190" s="433"/>
      <c r="BY190" s="433"/>
      <c r="BZ190" s="433"/>
      <c r="CA190" s="433"/>
      <c r="CB190" s="433"/>
      <c r="CC190" s="433"/>
      <c r="CD190" s="433"/>
      <c r="CE190" s="433"/>
      <c r="CF190" s="433"/>
      <c r="CG190" s="433"/>
      <c r="CH190" s="433"/>
      <c r="CI190" s="433"/>
      <c r="CJ190" s="433"/>
      <c r="CK190" s="433"/>
      <c r="CL190" s="433"/>
      <c r="CM190" s="433"/>
      <c r="CN190" s="433"/>
      <c r="CO190" s="433"/>
      <c r="CP190" s="433"/>
      <c r="CQ190" s="433"/>
      <c r="CR190" s="433"/>
      <c r="CS190" s="433"/>
      <c r="CT190" s="433"/>
      <c r="CU190" s="433"/>
      <c r="CV190" s="433"/>
      <c r="CW190" s="433"/>
      <c r="CX190" s="433"/>
      <c r="CY190" s="433"/>
      <c r="CZ190" s="399" t="str">
        <f t="shared" si="36"/>
        <v/>
      </c>
      <c r="DA190" s="399" t="str">
        <f t="shared" si="37"/>
        <v/>
      </c>
      <c r="DB190" s="399" t="str">
        <f t="shared" si="38"/>
        <v/>
      </c>
      <c r="DC190" s="399" t="str">
        <f t="shared" si="39"/>
        <v/>
      </c>
      <c r="DD190" s="399" t="str">
        <f t="shared" si="42"/>
        <v/>
      </c>
      <c r="DE190" s="399" t="str">
        <f t="shared" si="40"/>
        <v/>
      </c>
      <c r="DG190" s="434"/>
      <c r="DH190" s="434"/>
      <c r="DJ190" s="399"/>
    </row>
    <row r="191" spans="8:114" x14ac:dyDescent="0.25">
      <c r="H191" s="416" t="str">
        <f ca="1">IF(IMPORT!C204="","",IMPORT!C204)</f>
        <v/>
      </c>
      <c r="I191" s="416" t="str">
        <f ca="1">IF(IMPORT!D204="","",IMPORT!D204)</f>
        <v/>
      </c>
      <c r="J191" s="416" t="str">
        <f ca="1">IF(IMPORT!E204="","",IMPORT!E204)</f>
        <v/>
      </c>
      <c r="K191" s="416" t="str">
        <f ca="1">IF(IMPORT!F204="","",IMPORT!F204)</f>
        <v/>
      </c>
      <c r="L191" s="416" t="str">
        <f ca="1">IF(IMPORT!G204="","",IMPORT!G204)</f>
        <v/>
      </c>
      <c r="M191" s="416" t="str">
        <f>IF(IMPORT!H204="","",IMPORT!H204)</f>
        <v/>
      </c>
      <c r="N191" s="399" t="str">
        <f t="shared" si="31"/>
        <v/>
      </c>
      <c r="P191" s="406" t="str">
        <f t="shared" si="32"/>
        <v/>
      </c>
      <c r="Q191" s="406" t="str">
        <f t="array" ref="Q191">IFERROR(INDEX($N$1:$N$203,SMALL(IF($N$1:$N$203&lt;&gt;"",ROW($N$1:$N$203)),ROW(189:189))),"")</f>
        <v/>
      </c>
      <c r="R191" s="399" t="str">
        <f t="shared" si="29"/>
        <v/>
      </c>
      <c r="S191" s="399" t="str">
        <f t="shared" si="33"/>
        <v/>
      </c>
      <c r="T191" s="399" t="str">
        <f t="shared" si="34"/>
        <v/>
      </c>
      <c r="U191" s="419" t="str">
        <f t="shared" si="41"/>
        <v/>
      </c>
      <c r="V191" s="433" t="b">
        <v>0</v>
      </c>
      <c r="W191" s="464"/>
      <c r="X191" s="433"/>
      <c r="Y191" s="433" t="s">
        <v>92</v>
      </c>
      <c r="Z191" s="433"/>
      <c r="AA191" s="433"/>
      <c r="AB191" s="433"/>
      <c r="AC191" s="433" t="s">
        <v>1401</v>
      </c>
      <c r="AD191" s="433"/>
      <c r="AE191" s="433" t="s">
        <v>111</v>
      </c>
      <c r="AF191" s="433" t="s">
        <v>299</v>
      </c>
      <c r="AG191" s="433"/>
      <c r="AH191" s="433"/>
      <c r="AI191" s="433"/>
      <c r="AJ191" s="433"/>
      <c r="AK191" s="433"/>
      <c r="AL191" s="433"/>
      <c r="AM191" s="433"/>
      <c r="AN191" s="433"/>
      <c r="AO191" s="433"/>
      <c r="AP191" s="433"/>
      <c r="AQ191" s="433"/>
      <c r="AR191" s="433"/>
      <c r="AS191" s="433" t="b">
        <v>0</v>
      </c>
      <c r="AT191" s="433"/>
      <c r="AU191" s="433"/>
      <c r="AV191" s="433"/>
      <c r="AW191" s="433"/>
      <c r="AX191" s="433"/>
      <c r="AY191" s="433"/>
      <c r="AZ191" s="433"/>
      <c r="BA191" s="433"/>
      <c r="BB191" s="433"/>
      <c r="BC191" s="433"/>
      <c r="BD191" s="433"/>
      <c r="BE191" s="433"/>
      <c r="BF191" s="433"/>
      <c r="BG191" s="433"/>
      <c r="BH191" s="433"/>
      <c r="BI191" s="433"/>
      <c r="BJ191" s="433"/>
      <c r="BK191" s="433"/>
      <c r="BL191" s="433"/>
      <c r="BM191" s="433"/>
      <c r="BN191" s="433"/>
      <c r="BO191" s="433"/>
      <c r="BP191" s="433"/>
      <c r="BQ191" s="433"/>
      <c r="BR191" s="433"/>
      <c r="BS191" s="433"/>
      <c r="BT191" s="433"/>
      <c r="BU191" s="399" t="str">
        <f t="shared" si="35"/>
        <v/>
      </c>
      <c r="BV191" s="433"/>
      <c r="BW191" s="433"/>
      <c r="BX191" s="433"/>
      <c r="BY191" s="433"/>
      <c r="BZ191" s="433"/>
      <c r="CA191" s="433"/>
      <c r="CB191" s="433"/>
      <c r="CC191" s="433"/>
      <c r="CD191" s="433"/>
      <c r="CE191" s="433"/>
      <c r="CF191" s="433"/>
      <c r="CG191" s="433"/>
      <c r="CH191" s="433"/>
      <c r="CI191" s="433"/>
      <c r="CJ191" s="433"/>
      <c r="CK191" s="433"/>
      <c r="CL191" s="433"/>
      <c r="CM191" s="433"/>
      <c r="CN191" s="433"/>
      <c r="CO191" s="433"/>
      <c r="CP191" s="433"/>
      <c r="CQ191" s="433"/>
      <c r="CR191" s="433"/>
      <c r="CS191" s="433"/>
      <c r="CT191" s="433"/>
      <c r="CU191" s="433"/>
      <c r="CV191" s="433"/>
      <c r="CW191" s="433"/>
      <c r="CX191" s="433"/>
      <c r="CY191" s="433"/>
      <c r="CZ191" s="399" t="str">
        <f t="shared" si="36"/>
        <v/>
      </c>
      <c r="DA191" s="399" t="str">
        <f t="shared" si="37"/>
        <v/>
      </c>
      <c r="DB191" s="399" t="str">
        <f t="shared" si="38"/>
        <v/>
      </c>
      <c r="DC191" s="399" t="str">
        <f t="shared" si="39"/>
        <v/>
      </c>
      <c r="DD191" s="399" t="str">
        <f t="shared" si="42"/>
        <v/>
      </c>
      <c r="DE191" s="399" t="str">
        <f t="shared" si="40"/>
        <v/>
      </c>
      <c r="DG191" s="434"/>
      <c r="DH191" s="434"/>
      <c r="DJ191" s="399"/>
    </row>
    <row r="192" spans="8:114" x14ac:dyDescent="0.25">
      <c r="H192" s="416" t="str">
        <f ca="1">IF(IMPORT!C205="","",IMPORT!C205)</f>
        <v/>
      </c>
      <c r="I192" s="416" t="str">
        <f ca="1">IF(IMPORT!D205="","",IMPORT!D205)</f>
        <v/>
      </c>
      <c r="J192" s="416" t="str">
        <f ca="1">IF(IMPORT!E205="","",IMPORT!E205)</f>
        <v/>
      </c>
      <c r="K192" s="416" t="str">
        <f ca="1">IF(IMPORT!F205="","",IMPORT!F205)</f>
        <v/>
      </c>
      <c r="L192" s="416" t="str">
        <f ca="1">IF(IMPORT!G205="","",IMPORT!G205)</f>
        <v/>
      </c>
      <c r="M192" s="416" t="str">
        <f>IF(IMPORT!H205="","",IMPORT!H205)</f>
        <v/>
      </c>
      <c r="N192" s="399" t="str">
        <f t="shared" si="31"/>
        <v/>
      </c>
      <c r="P192" s="406" t="str">
        <f t="shared" si="32"/>
        <v/>
      </c>
      <c r="Q192" s="406" t="str">
        <f t="array" ref="Q192">IFERROR(INDEX($N$1:$N$203,SMALL(IF($N$1:$N$203&lt;&gt;"",ROW($N$1:$N$203)),ROW(190:190))),"")</f>
        <v/>
      </c>
      <c r="R192" s="399" t="str">
        <f t="shared" si="29"/>
        <v/>
      </c>
      <c r="S192" s="399" t="str">
        <f t="shared" si="33"/>
        <v/>
      </c>
      <c r="T192" s="399" t="str">
        <f t="shared" si="34"/>
        <v/>
      </c>
      <c r="U192" s="419" t="str">
        <f t="shared" si="41"/>
        <v/>
      </c>
      <c r="V192" s="433" t="b">
        <v>0</v>
      </c>
      <c r="W192" s="464"/>
      <c r="X192" s="433"/>
      <c r="Y192" s="433" t="s">
        <v>92</v>
      </c>
      <c r="Z192" s="433"/>
      <c r="AA192" s="433"/>
      <c r="AB192" s="433"/>
      <c r="AC192" s="433" t="s">
        <v>1401</v>
      </c>
      <c r="AD192" s="433"/>
      <c r="AE192" s="433" t="s">
        <v>111</v>
      </c>
      <c r="AF192" s="433" t="s">
        <v>299</v>
      </c>
      <c r="AG192" s="433"/>
      <c r="AH192" s="433"/>
      <c r="AI192" s="433"/>
      <c r="AJ192" s="433"/>
      <c r="AK192" s="433"/>
      <c r="AL192" s="433"/>
      <c r="AM192" s="433"/>
      <c r="AN192" s="433"/>
      <c r="AO192" s="433"/>
      <c r="AP192" s="433"/>
      <c r="AQ192" s="433"/>
      <c r="AR192" s="433"/>
      <c r="AS192" s="433" t="b">
        <v>0</v>
      </c>
      <c r="AT192" s="433"/>
      <c r="AU192" s="433"/>
      <c r="AV192" s="433"/>
      <c r="AW192" s="433"/>
      <c r="AX192" s="433"/>
      <c r="AY192" s="433"/>
      <c r="AZ192" s="433"/>
      <c r="BA192" s="433"/>
      <c r="BB192" s="433"/>
      <c r="BC192" s="433"/>
      <c r="BD192" s="433"/>
      <c r="BE192" s="433"/>
      <c r="BF192" s="433"/>
      <c r="BG192" s="433"/>
      <c r="BH192" s="433"/>
      <c r="BI192" s="433"/>
      <c r="BJ192" s="433"/>
      <c r="BK192" s="433"/>
      <c r="BL192" s="433"/>
      <c r="BM192" s="433"/>
      <c r="BN192" s="433"/>
      <c r="BO192" s="433"/>
      <c r="BP192" s="433"/>
      <c r="BQ192" s="433"/>
      <c r="BR192" s="433"/>
      <c r="BS192" s="433"/>
      <c r="BT192" s="433"/>
      <c r="BU192" s="399" t="str">
        <f t="shared" si="35"/>
        <v/>
      </c>
      <c r="BV192" s="433"/>
      <c r="BW192" s="433"/>
      <c r="BX192" s="433"/>
      <c r="BY192" s="433"/>
      <c r="BZ192" s="433"/>
      <c r="CA192" s="433"/>
      <c r="CB192" s="433"/>
      <c r="CC192" s="433"/>
      <c r="CD192" s="433"/>
      <c r="CE192" s="433"/>
      <c r="CF192" s="433"/>
      <c r="CG192" s="433"/>
      <c r="CH192" s="433"/>
      <c r="CI192" s="433"/>
      <c r="CJ192" s="433"/>
      <c r="CK192" s="433"/>
      <c r="CL192" s="433"/>
      <c r="CM192" s="433"/>
      <c r="CN192" s="433"/>
      <c r="CO192" s="433"/>
      <c r="CP192" s="433"/>
      <c r="CQ192" s="433"/>
      <c r="CR192" s="433"/>
      <c r="CS192" s="433"/>
      <c r="CT192" s="433"/>
      <c r="CU192" s="433"/>
      <c r="CV192" s="433"/>
      <c r="CW192" s="433"/>
      <c r="CX192" s="433"/>
      <c r="CY192" s="433"/>
      <c r="CZ192" s="399" t="str">
        <f t="shared" si="36"/>
        <v/>
      </c>
      <c r="DA192" s="399" t="str">
        <f t="shared" si="37"/>
        <v/>
      </c>
      <c r="DB192" s="399" t="str">
        <f t="shared" si="38"/>
        <v/>
      </c>
      <c r="DC192" s="399" t="str">
        <f t="shared" si="39"/>
        <v/>
      </c>
      <c r="DD192" s="399" t="str">
        <f t="shared" si="42"/>
        <v/>
      </c>
      <c r="DE192" s="399" t="str">
        <f t="shared" si="40"/>
        <v/>
      </c>
      <c r="DG192" s="434"/>
      <c r="DH192" s="434"/>
      <c r="DJ192" s="399"/>
    </row>
    <row r="193" spans="8:114" x14ac:dyDescent="0.25">
      <c r="H193" s="416" t="str">
        <f ca="1">IF(IMPORT!C206="","",IMPORT!C206)</f>
        <v/>
      </c>
      <c r="I193" s="416" t="str">
        <f ca="1">IF(IMPORT!D206="","",IMPORT!D206)</f>
        <v/>
      </c>
      <c r="J193" s="416" t="str">
        <f ca="1">IF(IMPORT!E206="","",IMPORT!E206)</f>
        <v/>
      </c>
      <c r="K193" s="416" t="str">
        <f ca="1">IF(IMPORT!F206="","",IMPORT!F206)</f>
        <v/>
      </c>
      <c r="L193" s="416" t="str">
        <f ca="1">IF(IMPORT!G206="","",IMPORT!G206)</f>
        <v/>
      </c>
      <c r="M193" s="416" t="str">
        <f>IF(IMPORT!H206="","",IMPORT!H206)</f>
        <v/>
      </c>
      <c r="N193" s="399" t="str">
        <f t="shared" si="31"/>
        <v/>
      </c>
      <c r="P193" s="406" t="str">
        <f t="shared" si="32"/>
        <v/>
      </c>
      <c r="Q193" s="406" t="str">
        <f t="array" ref="Q193">IFERROR(INDEX($N$1:$N$203,SMALL(IF($N$1:$N$203&lt;&gt;"",ROW($N$1:$N$203)),ROW(191:191))),"")</f>
        <v/>
      </c>
      <c r="R193" s="399" t="str">
        <f t="shared" si="29"/>
        <v/>
      </c>
      <c r="S193" s="399" t="str">
        <f t="shared" si="33"/>
        <v/>
      </c>
      <c r="T193" s="399" t="str">
        <f t="shared" si="34"/>
        <v/>
      </c>
      <c r="U193" s="419" t="str">
        <f t="shared" si="41"/>
        <v/>
      </c>
      <c r="V193" s="433" t="b">
        <v>0</v>
      </c>
      <c r="W193" s="464"/>
      <c r="X193" s="433"/>
      <c r="Y193" s="433" t="s">
        <v>92</v>
      </c>
      <c r="Z193" s="433"/>
      <c r="AA193" s="433"/>
      <c r="AB193" s="433"/>
      <c r="AC193" s="433" t="s">
        <v>1401</v>
      </c>
      <c r="AD193" s="433"/>
      <c r="AE193" s="433" t="s">
        <v>111</v>
      </c>
      <c r="AF193" s="433" t="s">
        <v>299</v>
      </c>
      <c r="AG193" s="433"/>
      <c r="AH193" s="433"/>
      <c r="AI193" s="433"/>
      <c r="AJ193" s="433"/>
      <c r="AK193" s="433"/>
      <c r="AL193" s="433"/>
      <c r="AM193" s="433"/>
      <c r="AN193" s="433"/>
      <c r="AO193" s="433"/>
      <c r="AP193" s="433"/>
      <c r="AQ193" s="433"/>
      <c r="AR193" s="433"/>
      <c r="AS193" s="433" t="b">
        <v>0</v>
      </c>
      <c r="AT193" s="433"/>
      <c r="AU193" s="433"/>
      <c r="AV193" s="433"/>
      <c r="AW193" s="433"/>
      <c r="AX193" s="433"/>
      <c r="AY193" s="433"/>
      <c r="AZ193" s="433"/>
      <c r="BA193" s="433"/>
      <c r="BB193" s="433"/>
      <c r="BC193" s="433"/>
      <c r="BD193" s="433"/>
      <c r="BE193" s="433"/>
      <c r="BF193" s="433"/>
      <c r="BG193" s="433"/>
      <c r="BH193" s="433"/>
      <c r="BI193" s="433"/>
      <c r="BJ193" s="433"/>
      <c r="BK193" s="433"/>
      <c r="BL193" s="433"/>
      <c r="BM193" s="433"/>
      <c r="BN193" s="433"/>
      <c r="BO193" s="433"/>
      <c r="BP193" s="433"/>
      <c r="BQ193" s="433"/>
      <c r="BR193" s="433"/>
      <c r="BS193" s="433"/>
      <c r="BT193" s="433"/>
      <c r="BU193" s="399" t="str">
        <f t="shared" si="35"/>
        <v/>
      </c>
      <c r="BV193" s="433"/>
      <c r="BW193" s="433"/>
      <c r="BX193" s="433"/>
      <c r="BY193" s="433"/>
      <c r="BZ193" s="433"/>
      <c r="CA193" s="433"/>
      <c r="CB193" s="433"/>
      <c r="CC193" s="433"/>
      <c r="CD193" s="433"/>
      <c r="CE193" s="433"/>
      <c r="CF193" s="433"/>
      <c r="CG193" s="433"/>
      <c r="CH193" s="433"/>
      <c r="CI193" s="433"/>
      <c r="CJ193" s="433"/>
      <c r="CK193" s="433"/>
      <c r="CL193" s="433"/>
      <c r="CM193" s="433"/>
      <c r="CN193" s="433"/>
      <c r="CO193" s="433"/>
      <c r="CP193" s="433"/>
      <c r="CQ193" s="433"/>
      <c r="CR193" s="433"/>
      <c r="CS193" s="433"/>
      <c r="CT193" s="433"/>
      <c r="CU193" s="433"/>
      <c r="CV193" s="433"/>
      <c r="CW193" s="433"/>
      <c r="CX193" s="433"/>
      <c r="CY193" s="433"/>
      <c r="CZ193" s="399" t="str">
        <f t="shared" si="36"/>
        <v/>
      </c>
      <c r="DA193" s="399" t="str">
        <f t="shared" si="37"/>
        <v/>
      </c>
      <c r="DB193" s="399" t="str">
        <f t="shared" si="38"/>
        <v/>
      </c>
      <c r="DC193" s="399" t="str">
        <f t="shared" si="39"/>
        <v/>
      </c>
      <c r="DD193" s="399" t="str">
        <f t="shared" si="42"/>
        <v/>
      </c>
      <c r="DE193" s="399" t="str">
        <f t="shared" si="40"/>
        <v/>
      </c>
      <c r="DG193" s="434"/>
      <c r="DH193" s="434"/>
      <c r="DJ193" s="399"/>
    </row>
    <row r="194" spans="8:114" x14ac:dyDescent="0.25">
      <c r="H194" s="416" t="str">
        <f ca="1">IF(IMPORT!C207="","",IMPORT!C207)</f>
        <v/>
      </c>
      <c r="I194" s="416" t="str">
        <f ca="1">IF(IMPORT!D207="","",IMPORT!D207)</f>
        <v/>
      </c>
      <c r="J194" s="416" t="str">
        <f ca="1">IF(IMPORT!E207="","",IMPORT!E207)</f>
        <v/>
      </c>
      <c r="K194" s="416" t="str">
        <f ca="1">IF(IMPORT!F207="","",IMPORT!F207)</f>
        <v/>
      </c>
      <c r="L194" s="416" t="str">
        <f ca="1">IF(IMPORT!G207="","",IMPORT!G207)</f>
        <v/>
      </c>
      <c r="M194" s="416" t="str">
        <f>IF(IMPORT!H207="","",IMPORT!H207)</f>
        <v/>
      </c>
      <c r="N194" s="399" t="str">
        <f t="shared" si="31"/>
        <v/>
      </c>
      <c r="P194" s="406" t="str">
        <f t="shared" si="32"/>
        <v/>
      </c>
      <c r="Q194" s="406" t="str">
        <f t="array" ref="Q194">IFERROR(INDEX($N$1:$N$203,SMALL(IF($N$1:$N$203&lt;&gt;"",ROW($N$1:$N$203)),ROW(192:192))),"")</f>
        <v/>
      </c>
      <c r="R194" s="399" t="str">
        <f t="shared" si="29"/>
        <v/>
      </c>
      <c r="S194" s="399" t="str">
        <f t="shared" si="33"/>
        <v/>
      </c>
      <c r="T194" s="399" t="str">
        <f t="shared" si="34"/>
        <v/>
      </c>
      <c r="U194" s="419" t="str">
        <f t="shared" si="41"/>
        <v/>
      </c>
      <c r="V194" s="433" t="b">
        <v>0</v>
      </c>
      <c r="W194" s="464"/>
      <c r="X194" s="433"/>
      <c r="Y194" s="433" t="s">
        <v>92</v>
      </c>
      <c r="Z194" s="433"/>
      <c r="AA194" s="433"/>
      <c r="AB194" s="433"/>
      <c r="AC194" s="433" t="s">
        <v>1401</v>
      </c>
      <c r="AD194" s="433"/>
      <c r="AE194" s="433" t="s">
        <v>111</v>
      </c>
      <c r="AF194" s="433" t="s">
        <v>299</v>
      </c>
      <c r="AG194" s="433"/>
      <c r="AH194" s="433"/>
      <c r="AI194" s="433"/>
      <c r="AJ194" s="433"/>
      <c r="AK194" s="433"/>
      <c r="AL194" s="433"/>
      <c r="AM194" s="433"/>
      <c r="AN194" s="433"/>
      <c r="AO194" s="433"/>
      <c r="AP194" s="433"/>
      <c r="AQ194" s="433"/>
      <c r="AR194" s="433"/>
      <c r="AS194" s="433" t="b">
        <v>0</v>
      </c>
      <c r="AT194" s="433"/>
      <c r="AU194" s="433"/>
      <c r="AV194" s="433"/>
      <c r="AW194" s="433"/>
      <c r="AX194" s="433"/>
      <c r="AY194" s="433"/>
      <c r="AZ194" s="433"/>
      <c r="BA194" s="433"/>
      <c r="BB194" s="433"/>
      <c r="BC194" s="433"/>
      <c r="BD194" s="433"/>
      <c r="BE194" s="433"/>
      <c r="BF194" s="433"/>
      <c r="BG194" s="433"/>
      <c r="BH194" s="433"/>
      <c r="BI194" s="433"/>
      <c r="BJ194" s="433"/>
      <c r="BK194" s="433"/>
      <c r="BL194" s="433"/>
      <c r="BM194" s="433"/>
      <c r="BN194" s="433"/>
      <c r="BO194" s="433"/>
      <c r="BP194" s="433"/>
      <c r="BQ194" s="433"/>
      <c r="BR194" s="433"/>
      <c r="BS194" s="433"/>
      <c r="BT194" s="433"/>
      <c r="BU194" s="399" t="str">
        <f t="shared" si="35"/>
        <v/>
      </c>
      <c r="BV194" s="433"/>
      <c r="BW194" s="433"/>
      <c r="BX194" s="433"/>
      <c r="BY194" s="433"/>
      <c r="BZ194" s="433"/>
      <c r="CA194" s="433"/>
      <c r="CB194" s="433"/>
      <c r="CC194" s="433"/>
      <c r="CD194" s="433"/>
      <c r="CE194" s="433"/>
      <c r="CF194" s="433"/>
      <c r="CG194" s="433"/>
      <c r="CH194" s="433"/>
      <c r="CI194" s="433"/>
      <c r="CJ194" s="433"/>
      <c r="CK194" s="433"/>
      <c r="CL194" s="433"/>
      <c r="CM194" s="433"/>
      <c r="CN194" s="433"/>
      <c r="CO194" s="433"/>
      <c r="CP194" s="433"/>
      <c r="CQ194" s="433"/>
      <c r="CR194" s="433"/>
      <c r="CS194" s="433"/>
      <c r="CT194" s="433"/>
      <c r="CU194" s="433"/>
      <c r="CV194" s="433"/>
      <c r="CW194" s="433"/>
      <c r="CX194" s="433"/>
      <c r="CY194" s="433"/>
      <c r="CZ194" s="399" t="str">
        <f t="shared" si="36"/>
        <v/>
      </c>
      <c r="DA194" s="399" t="str">
        <f t="shared" si="37"/>
        <v/>
      </c>
      <c r="DB194" s="399" t="str">
        <f t="shared" si="38"/>
        <v/>
      </c>
      <c r="DC194" s="399" t="str">
        <f t="shared" si="39"/>
        <v/>
      </c>
      <c r="DD194" s="399" t="str">
        <f t="shared" si="42"/>
        <v/>
      </c>
      <c r="DE194" s="399" t="str">
        <f t="shared" si="40"/>
        <v/>
      </c>
      <c r="DG194" s="434"/>
      <c r="DH194" s="434"/>
      <c r="DJ194" s="399"/>
    </row>
    <row r="195" spans="8:114" x14ac:dyDescent="0.25">
      <c r="H195" s="416" t="str">
        <f ca="1">IF(IMPORT!C208="","",IMPORT!C208)</f>
        <v/>
      </c>
      <c r="I195" s="416" t="str">
        <f ca="1">IF(IMPORT!D208="","",IMPORT!D208)</f>
        <v/>
      </c>
      <c r="J195" s="416" t="str">
        <f ca="1">IF(IMPORT!E208="","",IMPORT!E208)</f>
        <v/>
      </c>
      <c r="K195" s="416" t="str">
        <f ca="1">IF(IMPORT!F208="","",IMPORT!F208)</f>
        <v/>
      </c>
      <c r="L195" s="416" t="str">
        <f ca="1">IF(IMPORT!G208="","",IMPORT!G208)</f>
        <v/>
      </c>
      <c r="M195" s="416" t="str">
        <f>IF(IMPORT!H208="","",IMPORT!H208)</f>
        <v/>
      </c>
      <c r="N195" s="399" t="str">
        <f t="shared" si="31"/>
        <v/>
      </c>
      <c r="P195" s="406" t="str">
        <f t="shared" si="32"/>
        <v/>
      </c>
      <c r="Q195" s="406" t="str">
        <f t="array" ref="Q195">IFERROR(INDEX($N$1:$N$203,SMALL(IF($N$1:$N$203&lt;&gt;"",ROW($N$1:$N$203)),ROW(193:193))),"")</f>
        <v/>
      </c>
      <c r="R195" s="399" t="str">
        <f t="shared" si="29"/>
        <v/>
      </c>
      <c r="S195" s="399" t="str">
        <f t="shared" si="33"/>
        <v/>
      </c>
      <c r="T195" s="399" t="str">
        <f t="shared" si="34"/>
        <v/>
      </c>
      <c r="U195" s="419" t="str">
        <f t="shared" si="41"/>
        <v/>
      </c>
      <c r="V195" s="433" t="b">
        <v>0</v>
      </c>
      <c r="W195" s="464"/>
      <c r="X195" s="433"/>
      <c r="Y195" s="433" t="s">
        <v>92</v>
      </c>
      <c r="Z195" s="433"/>
      <c r="AA195" s="433"/>
      <c r="AB195" s="433"/>
      <c r="AC195" s="433" t="s">
        <v>1401</v>
      </c>
      <c r="AD195" s="433"/>
      <c r="AE195" s="433" t="s">
        <v>111</v>
      </c>
      <c r="AF195" s="433" t="s">
        <v>299</v>
      </c>
      <c r="AG195" s="433"/>
      <c r="AH195" s="433"/>
      <c r="AI195" s="433"/>
      <c r="AJ195" s="433"/>
      <c r="AK195" s="433"/>
      <c r="AL195" s="433"/>
      <c r="AM195" s="433"/>
      <c r="AN195" s="433"/>
      <c r="AO195" s="433"/>
      <c r="AP195" s="433"/>
      <c r="AQ195" s="433"/>
      <c r="AR195" s="433"/>
      <c r="AS195" s="433" t="b">
        <v>0</v>
      </c>
      <c r="AT195" s="433"/>
      <c r="AU195" s="433"/>
      <c r="AV195" s="433"/>
      <c r="AW195" s="433"/>
      <c r="AX195" s="433"/>
      <c r="AY195" s="433"/>
      <c r="AZ195" s="433"/>
      <c r="BA195" s="433"/>
      <c r="BB195" s="433"/>
      <c r="BC195" s="433"/>
      <c r="BD195" s="433"/>
      <c r="BE195" s="433"/>
      <c r="BF195" s="433"/>
      <c r="BG195" s="433"/>
      <c r="BH195" s="433"/>
      <c r="BI195" s="433"/>
      <c r="BJ195" s="433"/>
      <c r="BK195" s="433"/>
      <c r="BL195" s="433"/>
      <c r="BM195" s="433"/>
      <c r="BN195" s="433"/>
      <c r="BO195" s="433"/>
      <c r="BP195" s="433"/>
      <c r="BQ195" s="433"/>
      <c r="BR195" s="433"/>
      <c r="BS195" s="433"/>
      <c r="BT195" s="433"/>
      <c r="BU195" s="399" t="str">
        <f t="shared" si="35"/>
        <v/>
      </c>
      <c r="BV195" s="433"/>
      <c r="BW195" s="433"/>
      <c r="BX195" s="433"/>
      <c r="BY195" s="433"/>
      <c r="BZ195" s="433"/>
      <c r="CA195" s="433"/>
      <c r="CB195" s="433"/>
      <c r="CC195" s="433"/>
      <c r="CD195" s="433"/>
      <c r="CE195" s="433"/>
      <c r="CF195" s="433"/>
      <c r="CG195" s="433"/>
      <c r="CH195" s="433"/>
      <c r="CI195" s="433"/>
      <c r="CJ195" s="433"/>
      <c r="CK195" s="433"/>
      <c r="CL195" s="433"/>
      <c r="CM195" s="433"/>
      <c r="CN195" s="433"/>
      <c r="CO195" s="433"/>
      <c r="CP195" s="433"/>
      <c r="CQ195" s="433"/>
      <c r="CR195" s="433"/>
      <c r="CS195" s="433"/>
      <c r="CT195" s="433"/>
      <c r="CU195" s="433"/>
      <c r="CV195" s="433"/>
      <c r="CW195" s="433"/>
      <c r="CX195" s="433"/>
      <c r="CY195" s="433"/>
      <c r="CZ195" s="399" t="str">
        <f t="shared" si="36"/>
        <v/>
      </c>
      <c r="DA195" s="399" t="str">
        <f t="shared" si="37"/>
        <v/>
      </c>
      <c r="DB195" s="399" t="str">
        <f t="shared" si="38"/>
        <v/>
      </c>
      <c r="DC195" s="399" t="str">
        <f t="shared" si="39"/>
        <v/>
      </c>
      <c r="DD195" s="399" t="str">
        <f t="shared" si="42"/>
        <v/>
      </c>
      <c r="DE195" s="399" t="str">
        <f t="shared" si="40"/>
        <v/>
      </c>
      <c r="DG195" s="434"/>
      <c r="DH195" s="434"/>
      <c r="DJ195" s="399"/>
    </row>
    <row r="196" spans="8:114" x14ac:dyDescent="0.25">
      <c r="H196" s="416" t="str">
        <f ca="1">IF(IMPORT!C209="","",IMPORT!C209)</f>
        <v/>
      </c>
      <c r="I196" s="416" t="str">
        <f ca="1">IF(IMPORT!D209="","",IMPORT!D209)</f>
        <v/>
      </c>
      <c r="J196" s="416" t="str">
        <f ca="1">IF(IMPORT!E209="","",IMPORT!E209)</f>
        <v/>
      </c>
      <c r="K196" s="416" t="str">
        <f ca="1">IF(IMPORT!F209="","",IMPORT!F209)</f>
        <v/>
      </c>
      <c r="L196" s="416" t="str">
        <f ca="1">IF(IMPORT!G209="","",IMPORT!G209)</f>
        <v/>
      </c>
      <c r="M196" s="416" t="str">
        <f>IF(IMPORT!H209="","",IMPORT!H209)</f>
        <v/>
      </c>
      <c r="N196" s="399" t="str">
        <f t="shared" si="31"/>
        <v/>
      </c>
      <c r="P196" s="406" t="str">
        <f t="shared" si="32"/>
        <v/>
      </c>
      <c r="Q196" s="406" t="str">
        <f t="array" ref="Q196">IFERROR(INDEX($N$1:$N$203,SMALL(IF($N$1:$N$203&lt;&gt;"",ROW($N$1:$N$203)),ROW(194:194))),"")</f>
        <v/>
      </c>
      <c r="R196" s="399" t="str">
        <f>IF(OR(TIA_Import="",$P196=""),"",TIA_Import)</f>
        <v/>
      </c>
      <c r="S196" s="399" t="str">
        <f t="shared" si="33"/>
        <v/>
      </c>
      <c r="T196" s="399" t="str">
        <f t="shared" si="34"/>
        <v/>
      </c>
      <c r="U196" s="419" t="str">
        <f t="shared" si="41"/>
        <v/>
      </c>
      <c r="V196" s="433" t="b">
        <v>0</v>
      </c>
      <c r="W196" s="464"/>
      <c r="X196" s="433"/>
      <c r="Y196" s="433" t="s">
        <v>92</v>
      </c>
      <c r="Z196" s="433"/>
      <c r="AA196" s="433"/>
      <c r="AB196" s="433"/>
      <c r="AC196" s="433" t="s">
        <v>1401</v>
      </c>
      <c r="AD196" s="433"/>
      <c r="AE196" s="433" t="s">
        <v>111</v>
      </c>
      <c r="AF196" s="433" t="s">
        <v>299</v>
      </c>
      <c r="AG196" s="433"/>
      <c r="AH196" s="433"/>
      <c r="AI196" s="433"/>
      <c r="AJ196" s="433"/>
      <c r="AK196" s="433"/>
      <c r="AL196" s="433"/>
      <c r="AM196" s="433"/>
      <c r="AN196" s="433"/>
      <c r="AO196" s="433"/>
      <c r="AP196" s="433"/>
      <c r="AQ196" s="433"/>
      <c r="AR196" s="433"/>
      <c r="AS196" s="433" t="b">
        <v>0</v>
      </c>
      <c r="AT196" s="433"/>
      <c r="AU196" s="433"/>
      <c r="AV196" s="433"/>
      <c r="AW196" s="433"/>
      <c r="AX196" s="433"/>
      <c r="AY196" s="433"/>
      <c r="AZ196" s="433"/>
      <c r="BA196" s="433"/>
      <c r="BB196" s="433"/>
      <c r="BC196" s="433"/>
      <c r="BD196" s="433"/>
      <c r="BE196" s="433"/>
      <c r="BF196" s="433"/>
      <c r="BG196" s="433"/>
      <c r="BH196" s="433"/>
      <c r="BI196" s="433"/>
      <c r="BJ196" s="433"/>
      <c r="BK196" s="433"/>
      <c r="BL196" s="433"/>
      <c r="BM196" s="433"/>
      <c r="BN196" s="433"/>
      <c r="BO196" s="433"/>
      <c r="BP196" s="433"/>
      <c r="BQ196" s="433"/>
      <c r="BR196" s="433"/>
      <c r="BS196" s="433"/>
      <c r="BT196" s="433"/>
      <c r="BU196" s="399" t="str">
        <f t="shared" si="35"/>
        <v/>
      </c>
      <c r="BV196" s="433"/>
      <c r="BW196" s="433"/>
      <c r="BX196" s="433"/>
      <c r="BY196" s="433"/>
      <c r="BZ196" s="433"/>
      <c r="CA196" s="433"/>
      <c r="CB196" s="433"/>
      <c r="CC196" s="433"/>
      <c r="CD196" s="433"/>
      <c r="CE196" s="433"/>
      <c r="CF196" s="433"/>
      <c r="CG196" s="433"/>
      <c r="CH196" s="433"/>
      <c r="CI196" s="433"/>
      <c r="CJ196" s="433"/>
      <c r="CK196" s="433"/>
      <c r="CL196" s="433"/>
      <c r="CM196" s="433"/>
      <c r="CN196" s="433"/>
      <c r="CO196" s="433"/>
      <c r="CP196" s="433"/>
      <c r="CQ196" s="433"/>
      <c r="CR196" s="433"/>
      <c r="CS196" s="433"/>
      <c r="CT196" s="433"/>
      <c r="CU196" s="433"/>
      <c r="CV196" s="433"/>
      <c r="CW196" s="433"/>
      <c r="CX196" s="433"/>
      <c r="CY196" s="433"/>
      <c r="CZ196" s="399" t="str">
        <f t="shared" si="36"/>
        <v/>
      </c>
      <c r="DA196" s="399" t="str">
        <f t="shared" si="37"/>
        <v/>
      </c>
      <c r="DB196" s="399" t="str">
        <f t="shared" si="38"/>
        <v/>
      </c>
      <c r="DC196" s="399" t="str">
        <f t="shared" si="39"/>
        <v/>
      </c>
      <c r="DD196" s="399" t="str">
        <f t="shared" ref="DD196:DD203" si="43">IFERROR(IF($P196="","",VLOOKUP($DC196,MaterialGrades,4,0)),"A36")</f>
        <v/>
      </c>
      <c r="DE196" s="399" t="str">
        <f t="shared" si="40"/>
        <v/>
      </c>
      <c r="DG196" s="434"/>
      <c r="DH196" s="434"/>
      <c r="DJ196" s="399"/>
    </row>
    <row r="197" spans="8:114" x14ac:dyDescent="0.25">
      <c r="H197" s="416" t="str">
        <f ca="1">IF(IMPORT!C210="","",IMPORT!C210)</f>
        <v/>
      </c>
      <c r="I197" s="416" t="str">
        <f ca="1">IF(IMPORT!D210="","",IMPORT!D210)</f>
        <v/>
      </c>
      <c r="J197" s="416" t="str">
        <f ca="1">IF(IMPORT!E210="","",IMPORT!E210)</f>
        <v/>
      </c>
      <c r="K197" s="416" t="str">
        <f ca="1">IF(IMPORT!F210="","",IMPORT!F210)</f>
        <v/>
      </c>
      <c r="L197" s="416" t="str">
        <f ca="1">IF(IMPORT!G210="","",IMPORT!G210)</f>
        <v/>
      </c>
      <c r="M197" s="416" t="str">
        <f>IF(IMPORT!H210="","",IMPORT!H210)</f>
        <v/>
      </c>
      <c r="N197" s="399" t="str">
        <f t="shared" ref="N197:N203" si="44">IF($M197&lt;&gt;"Yes","",CONCATENATE(ROUND(I197,1),"ft - ",ROUND(J197,1),"ft"))</f>
        <v/>
      </c>
      <c r="P197" s="406" t="str">
        <f>N197</f>
        <v/>
      </c>
      <c r="Q197" s="406" t="str">
        <f t="array" ref="Q197">IFERROR(INDEX($N$1:$N$203,SMALL(IF($N$1:$N$203&lt;&gt;"",ROW($N$1:$N$203)),ROW(195:195))),"")</f>
        <v/>
      </c>
      <c r="R197" s="399" t="str">
        <f>IF(OR(TIA_Import="",$P197=""),"",TIA_Import)</f>
        <v/>
      </c>
      <c r="S197" s="399" t="str">
        <f>IF($P197="","",INDEX($K$4:$K$203,MATCH($P197,$N$4:$N$203,0)))</f>
        <v/>
      </c>
      <c r="T197" s="399" t="str">
        <f>IF($P197="","",INDEX($L$4:$L$203,MATCH($P197,$N$4:$N$203,0)))</f>
        <v/>
      </c>
      <c r="U197" s="419" t="str">
        <f t="shared" si="41"/>
        <v/>
      </c>
      <c r="V197" s="433" t="b">
        <v>0</v>
      </c>
      <c r="W197" s="464"/>
      <c r="X197" s="433"/>
      <c r="Y197" s="433" t="s">
        <v>92</v>
      </c>
      <c r="Z197" s="433"/>
      <c r="AA197" s="433"/>
      <c r="AB197" s="433"/>
      <c r="AC197" s="433" t="s">
        <v>1401</v>
      </c>
      <c r="AD197" s="433"/>
      <c r="AE197" s="433" t="s">
        <v>111</v>
      </c>
      <c r="AF197" s="433" t="s">
        <v>299</v>
      </c>
      <c r="AG197" s="433"/>
      <c r="AH197" s="433"/>
      <c r="AI197" s="433"/>
      <c r="AJ197" s="433"/>
      <c r="AK197" s="433"/>
      <c r="AL197" s="433"/>
      <c r="AM197" s="433"/>
      <c r="AN197" s="433"/>
      <c r="AO197" s="433"/>
      <c r="AP197" s="433"/>
      <c r="AQ197" s="433"/>
      <c r="AR197" s="433"/>
      <c r="AS197" s="433" t="b">
        <v>0</v>
      </c>
      <c r="AT197" s="433"/>
      <c r="AU197" s="433"/>
      <c r="AV197" s="433"/>
      <c r="AW197" s="433"/>
      <c r="AX197" s="433"/>
      <c r="AY197" s="433"/>
      <c r="AZ197" s="433"/>
      <c r="BA197" s="433"/>
      <c r="BB197" s="433"/>
      <c r="BC197" s="433"/>
      <c r="BD197" s="433"/>
      <c r="BE197" s="433"/>
      <c r="BF197" s="433"/>
      <c r="BG197" s="433"/>
      <c r="BH197" s="433"/>
      <c r="BI197" s="433"/>
      <c r="BJ197" s="433"/>
      <c r="BK197" s="433"/>
      <c r="BL197" s="433"/>
      <c r="BM197" s="433"/>
      <c r="BN197" s="433"/>
      <c r="BO197" s="433"/>
      <c r="BP197" s="433"/>
      <c r="BQ197" s="433"/>
      <c r="BR197" s="433"/>
      <c r="BS197" s="433"/>
      <c r="BT197" s="433"/>
      <c r="BU197" s="399" t="str">
        <f>IF($P197="","",IF($AS197=TRUE,IF(COUNTIF($AT197:$BT197,"")=0,IF(COUNTIF($Y197:$AH197,"")+COUNTIF($AJ197:$AP197,"")&lt;=1,TRUE,FALSE)),IF(COUNTIF($Y197:$AH197,"")+COUNTIF($AJ197:$AP197,"")&lt;=1,TRUE,FALSE)))</f>
        <v/>
      </c>
      <c r="BV197" s="433"/>
      <c r="BW197" s="433"/>
      <c r="BX197" s="433"/>
      <c r="BY197" s="433"/>
      <c r="BZ197" s="433"/>
      <c r="CA197" s="433"/>
      <c r="CB197" s="433"/>
      <c r="CC197" s="433"/>
      <c r="CD197" s="433"/>
      <c r="CE197" s="433"/>
      <c r="CF197" s="433"/>
      <c r="CG197" s="433"/>
      <c r="CH197" s="433"/>
      <c r="CI197" s="433"/>
      <c r="CJ197" s="433"/>
      <c r="CK197" s="433"/>
      <c r="CL197" s="433"/>
      <c r="CM197" s="433"/>
      <c r="CN197" s="433"/>
      <c r="CO197" s="433"/>
      <c r="CP197" s="433"/>
      <c r="CQ197" s="433"/>
      <c r="CR197" s="433"/>
      <c r="CS197" s="433"/>
      <c r="CT197" s="433"/>
      <c r="CU197" s="433"/>
      <c r="CV197" s="433"/>
      <c r="CW197" s="433"/>
      <c r="CX197" s="433"/>
      <c r="CY197" s="433"/>
      <c r="CZ197" s="399" t="str">
        <f t="shared" ref="CZ197:CZ203" si="45">REPLACE(IF($P197="","",INDEX($H$4:$H$203,MATCH($P197,$N$4:$N$203,0))),1,1,"")</f>
        <v/>
      </c>
      <c r="DA197" s="399" t="str">
        <f t="shared" ref="DA197:DA203" si="46">IF($P197="","","Arbitrary Shape")</f>
        <v/>
      </c>
      <c r="DB197" s="399" t="str">
        <f t="shared" ref="DB197:DB203" si="47">IF(OR($P197="",$BU197=FALSE),"",REPLACE($CT197,1,7,""))</f>
        <v/>
      </c>
      <c r="DC197" s="399" t="str">
        <f t="shared" ref="DC197:DC203" si="48">IF($P197="","",MIN($AL197,$AP197))</f>
        <v/>
      </c>
      <c r="DD197" s="399" t="str">
        <f t="shared" si="43"/>
        <v/>
      </c>
      <c r="DE197" s="399" t="str">
        <f t="shared" ref="DE197:DE203" si="49">IFERROR(IF($P197="","",ROUND($CR197,4)),1)</f>
        <v/>
      </c>
      <c r="DG197" s="434"/>
      <c r="DH197" s="434"/>
      <c r="DJ197" s="399"/>
    </row>
    <row r="198" spans="8:114" x14ac:dyDescent="0.25">
      <c r="H198" s="416" t="str">
        <f ca="1">IF(IMPORT!C211="","",IMPORT!C211)</f>
        <v/>
      </c>
      <c r="I198" s="416" t="str">
        <f ca="1">IF(IMPORT!D211="","",IMPORT!D211)</f>
        <v/>
      </c>
      <c r="J198" s="416" t="str">
        <f ca="1">IF(IMPORT!E211="","",IMPORT!E211)</f>
        <v/>
      </c>
      <c r="K198" s="416" t="str">
        <f ca="1">IF(IMPORT!F211="","",IMPORT!F211)</f>
        <v/>
      </c>
      <c r="L198" s="416" t="str">
        <f ca="1">IF(IMPORT!G211="","",IMPORT!G211)</f>
        <v/>
      </c>
      <c r="M198" s="416" t="str">
        <f>IF(IMPORT!H211="","",IMPORT!H211)</f>
        <v/>
      </c>
      <c r="N198" s="399" t="str">
        <f t="shared" si="44"/>
        <v/>
      </c>
      <c r="P198" s="406" t="str">
        <f>N198</f>
        <v/>
      </c>
      <c r="Q198" s="406" t="str">
        <f t="array" ref="Q198">IFERROR(INDEX($N$1:$N$203,SMALL(IF($N$1:$N$203&lt;&gt;"",ROW($N$1:$N$203)),ROW(196:196))),"")</f>
        <v/>
      </c>
      <c r="R198" s="399" t="str">
        <f>IF(OR(TIA_Import="",$P198=""),"",TIA_Import)</f>
        <v/>
      </c>
      <c r="S198" s="399" t="str">
        <f>IF($P198="","",INDEX($K$4:$K$203,MATCH($P198,$N$4:$N$203,0)))</f>
        <v/>
      </c>
      <c r="T198" s="399" t="str">
        <f>IF($P198="","",INDEX($L$4:$L$203,MATCH($P198,$N$4:$N$203,0)))</f>
        <v/>
      </c>
      <c r="U198" s="419" t="str">
        <f t="shared" si="41"/>
        <v/>
      </c>
      <c r="V198" s="433" t="b">
        <v>0</v>
      </c>
      <c r="W198" s="464"/>
      <c r="X198" s="433"/>
      <c r="Y198" s="433" t="s">
        <v>92</v>
      </c>
      <c r="Z198" s="433"/>
      <c r="AA198" s="433"/>
      <c r="AB198" s="433"/>
      <c r="AC198" s="433" t="s">
        <v>1401</v>
      </c>
      <c r="AD198" s="433"/>
      <c r="AE198" s="433" t="s">
        <v>111</v>
      </c>
      <c r="AF198" s="433" t="s">
        <v>299</v>
      </c>
      <c r="AG198" s="433"/>
      <c r="AH198" s="433"/>
      <c r="AI198" s="433"/>
      <c r="AJ198" s="433"/>
      <c r="AK198" s="433"/>
      <c r="AL198" s="433"/>
      <c r="AM198" s="433"/>
      <c r="AN198" s="433"/>
      <c r="AO198" s="433"/>
      <c r="AP198" s="433"/>
      <c r="AQ198" s="433"/>
      <c r="AR198" s="433"/>
      <c r="AS198" s="433" t="b">
        <v>0</v>
      </c>
      <c r="AT198" s="433"/>
      <c r="AU198" s="433"/>
      <c r="AV198" s="433"/>
      <c r="AW198" s="433"/>
      <c r="AX198" s="433"/>
      <c r="AY198" s="433"/>
      <c r="AZ198" s="433"/>
      <c r="BA198" s="433"/>
      <c r="BB198" s="433"/>
      <c r="BC198" s="433"/>
      <c r="BD198" s="433"/>
      <c r="BE198" s="433"/>
      <c r="BF198" s="433"/>
      <c r="BG198" s="433"/>
      <c r="BH198" s="433"/>
      <c r="BI198" s="433"/>
      <c r="BJ198" s="433"/>
      <c r="BK198" s="433"/>
      <c r="BL198" s="433"/>
      <c r="BM198" s="433"/>
      <c r="BN198" s="433"/>
      <c r="BO198" s="433"/>
      <c r="BP198" s="433"/>
      <c r="BQ198" s="433"/>
      <c r="BR198" s="433"/>
      <c r="BS198" s="433"/>
      <c r="BT198" s="433"/>
      <c r="BU198" s="399" t="str">
        <f>IF($P198="","",IF($AS198=TRUE,IF(COUNTIF($AT198:$BT198,"")=0,IF(COUNTIF($Y198:$AH198,"")+COUNTIF($AJ198:$AP198,"")&lt;=1,TRUE,FALSE)),IF(COUNTIF($Y198:$AH198,"")+COUNTIF($AJ198:$AP198,"")&lt;=1,TRUE,FALSE)))</f>
        <v/>
      </c>
      <c r="BV198" s="433"/>
      <c r="BW198" s="433"/>
      <c r="BX198" s="433"/>
      <c r="BY198" s="433"/>
      <c r="BZ198" s="433"/>
      <c r="CA198" s="433"/>
      <c r="CB198" s="433"/>
      <c r="CC198" s="433"/>
      <c r="CD198" s="433"/>
      <c r="CE198" s="433"/>
      <c r="CF198" s="433"/>
      <c r="CG198" s="433"/>
      <c r="CH198" s="433"/>
      <c r="CI198" s="433"/>
      <c r="CJ198" s="433"/>
      <c r="CK198" s="433"/>
      <c r="CL198" s="433"/>
      <c r="CM198" s="433"/>
      <c r="CN198" s="433"/>
      <c r="CO198" s="433"/>
      <c r="CP198" s="433"/>
      <c r="CQ198" s="433"/>
      <c r="CR198" s="433"/>
      <c r="CS198" s="433"/>
      <c r="CT198" s="433"/>
      <c r="CU198" s="433"/>
      <c r="CV198" s="433"/>
      <c r="CW198" s="433"/>
      <c r="CX198" s="433"/>
      <c r="CY198" s="433"/>
      <c r="CZ198" s="399" t="str">
        <f t="shared" si="45"/>
        <v/>
      </c>
      <c r="DA198" s="399" t="str">
        <f t="shared" si="46"/>
        <v/>
      </c>
      <c r="DB198" s="399" t="str">
        <f t="shared" si="47"/>
        <v/>
      </c>
      <c r="DC198" s="399" t="str">
        <f t="shared" si="48"/>
        <v/>
      </c>
      <c r="DD198" s="399" t="str">
        <f t="shared" si="43"/>
        <v/>
      </c>
      <c r="DE198" s="399" t="str">
        <f t="shared" si="49"/>
        <v/>
      </c>
      <c r="DG198" s="434"/>
      <c r="DH198" s="434"/>
      <c r="DJ198" s="399"/>
    </row>
    <row r="199" spans="8:114" x14ac:dyDescent="0.25">
      <c r="H199" s="416" t="str">
        <f ca="1">IF(IMPORT!C212="","",IMPORT!C212)</f>
        <v/>
      </c>
      <c r="I199" s="416" t="str">
        <f ca="1">IF(IMPORT!D212="","",IMPORT!D212)</f>
        <v/>
      </c>
      <c r="J199" s="416" t="str">
        <f ca="1">IF(IMPORT!E212="","",IMPORT!E212)</f>
        <v/>
      </c>
      <c r="K199" s="416" t="str">
        <f ca="1">IF(IMPORT!F212="","",IMPORT!F212)</f>
        <v/>
      </c>
      <c r="L199" s="416" t="str">
        <f ca="1">IF(IMPORT!G212="","",IMPORT!G212)</f>
        <v/>
      </c>
      <c r="M199" s="416" t="str">
        <f>IF(IMPORT!H212="","",IMPORT!H212)</f>
        <v/>
      </c>
      <c r="N199" s="399" t="str">
        <f t="shared" si="44"/>
        <v/>
      </c>
      <c r="P199" s="406" t="str">
        <f>N199</f>
        <v/>
      </c>
      <c r="Q199" s="406" t="str">
        <f t="array" ref="Q199">IFERROR(INDEX($N$1:$N$203,SMALL(IF($N$1:$N$203&lt;&gt;"",ROW($N$1:$N$203)),ROW(197:197))),"")</f>
        <v/>
      </c>
      <c r="R199" s="399" t="str">
        <f>IF(OR(TIA_Import="",$P199=""),"",TIA_Import)</f>
        <v/>
      </c>
      <c r="S199" s="399" t="str">
        <f>IF($P199="","",INDEX($K$4:$K$203,MATCH($P199,$N$4:$N$203,0)))</f>
        <v/>
      </c>
      <c r="T199" s="399" t="str">
        <f>IF($P199="","",INDEX($L$4:$L$203,MATCH($P199,$N$4:$N$203,0)))</f>
        <v/>
      </c>
      <c r="U199" s="419" t="str">
        <f t="shared" si="41"/>
        <v/>
      </c>
      <c r="V199" s="433" t="b">
        <v>0</v>
      </c>
      <c r="W199" s="464"/>
      <c r="X199" s="433"/>
      <c r="Y199" s="433" t="s">
        <v>92</v>
      </c>
      <c r="Z199" s="433"/>
      <c r="AA199" s="433"/>
      <c r="AB199" s="433"/>
      <c r="AC199" s="433" t="s">
        <v>1401</v>
      </c>
      <c r="AD199" s="433"/>
      <c r="AE199" s="433" t="s">
        <v>111</v>
      </c>
      <c r="AF199" s="433" t="s">
        <v>299</v>
      </c>
      <c r="AG199" s="433"/>
      <c r="AH199" s="433"/>
      <c r="AI199" s="433"/>
      <c r="AJ199" s="433"/>
      <c r="AK199" s="433"/>
      <c r="AL199" s="433"/>
      <c r="AM199" s="433"/>
      <c r="AN199" s="433"/>
      <c r="AO199" s="433"/>
      <c r="AP199" s="433"/>
      <c r="AQ199" s="433"/>
      <c r="AR199" s="433"/>
      <c r="AS199" s="433" t="b">
        <v>0</v>
      </c>
      <c r="AT199" s="433"/>
      <c r="AU199" s="433"/>
      <c r="AV199" s="433"/>
      <c r="AW199" s="433"/>
      <c r="AX199" s="433"/>
      <c r="AY199" s="433"/>
      <c r="AZ199" s="433"/>
      <c r="BA199" s="433"/>
      <c r="BB199" s="433"/>
      <c r="BC199" s="433"/>
      <c r="BD199" s="433"/>
      <c r="BE199" s="433"/>
      <c r="BF199" s="433"/>
      <c r="BG199" s="433"/>
      <c r="BH199" s="433"/>
      <c r="BI199" s="433"/>
      <c r="BJ199" s="433"/>
      <c r="BK199" s="433"/>
      <c r="BL199" s="433"/>
      <c r="BM199" s="433"/>
      <c r="BN199" s="433"/>
      <c r="BO199" s="433"/>
      <c r="BP199" s="433"/>
      <c r="BQ199" s="433"/>
      <c r="BR199" s="433"/>
      <c r="BS199" s="433"/>
      <c r="BT199" s="433"/>
      <c r="BU199" s="399" t="str">
        <f>IF($P199="","",IF($AS199=TRUE,IF(COUNTIF($AT199:$BT199,"")=0,IF(COUNTIF($Y199:$AH199,"")+COUNTIF($AJ199:$AP199,"")&lt;=1,TRUE,FALSE)),IF(COUNTIF($Y199:$AH199,"")+COUNTIF($AJ199:$AP199,"")&lt;=1,TRUE,FALSE)))</f>
        <v/>
      </c>
      <c r="BV199" s="433"/>
      <c r="BW199" s="433"/>
      <c r="BX199" s="433"/>
      <c r="BY199" s="433"/>
      <c r="BZ199" s="433"/>
      <c r="CA199" s="433"/>
      <c r="CB199" s="433"/>
      <c r="CC199" s="433"/>
      <c r="CD199" s="433"/>
      <c r="CE199" s="433"/>
      <c r="CF199" s="433"/>
      <c r="CG199" s="433"/>
      <c r="CH199" s="433"/>
      <c r="CI199" s="433"/>
      <c r="CJ199" s="433"/>
      <c r="CK199" s="433"/>
      <c r="CL199" s="433"/>
      <c r="CM199" s="433"/>
      <c r="CN199" s="433"/>
      <c r="CO199" s="433"/>
      <c r="CP199" s="433"/>
      <c r="CQ199" s="433"/>
      <c r="CR199" s="433"/>
      <c r="CS199" s="433"/>
      <c r="CT199" s="433"/>
      <c r="CU199" s="433"/>
      <c r="CV199" s="433"/>
      <c r="CW199" s="433"/>
      <c r="CX199" s="433"/>
      <c r="CY199" s="433"/>
      <c r="CZ199" s="399" t="str">
        <f t="shared" si="45"/>
        <v/>
      </c>
      <c r="DA199" s="399" t="str">
        <f t="shared" si="46"/>
        <v/>
      </c>
      <c r="DB199" s="399" t="str">
        <f t="shared" si="47"/>
        <v/>
      </c>
      <c r="DC199" s="399" t="str">
        <f t="shared" si="48"/>
        <v/>
      </c>
      <c r="DD199" s="399" t="str">
        <f t="shared" si="43"/>
        <v/>
      </c>
      <c r="DE199" s="399" t="str">
        <f t="shared" si="49"/>
        <v/>
      </c>
      <c r="DG199" s="434"/>
      <c r="DH199" s="434"/>
      <c r="DJ199" s="399"/>
    </row>
    <row r="200" spans="8:114" x14ac:dyDescent="0.25">
      <c r="H200" s="416" t="str">
        <f ca="1">IF(IMPORT!C213="","",IMPORT!C213)</f>
        <v/>
      </c>
      <c r="I200" s="416" t="str">
        <f ca="1">IF(IMPORT!D213="","",IMPORT!D213)</f>
        <v/>
      </c>
      <c r="J200" s="416" t="str">
        <f ca="1">IF(IMPORT!E213="","",IMPORT!E213)</f>
        <v/>
      </c>
      <c r="K200" s="416" t="str">
        <f ca="1">IF(IMPORT!F213="","",IMPORT!F213)</f>
        <v/>
      </c>
      <c r="L200" s="416" t="str">
        <f ca="1">IF(IMPORT!G213="","",IMPORT!G213)</f>
        <v/>
      </c>
      <c r="M200" s="416" t="str">
        <f>IF(IMPORT!H213="","",IMPORT!H213)</f>
        <v/>
      </c>
      <c r="N200" s="399" t="str">
        <f t="shared" si="44"/>
        <v/>
      </c>
      <c r="P200" s="406" t="str">
        <f>N200</f>
        <v/>
      </c>
      <c r="Q200" s="406" t="str">
        <f t="array" ref="Q200">IFERROR(INDEX($N$1:$N$203,SMALL(IF($N$1:$N$203&lt;&gt;"",ROW($N$1:$N$203)),ROW(198:198))),"")</f>
        <v/>
      </c>
      <c r="R200" s="399" t="str">
        <f>IF(OR(TIA_Import="",$P200=""),"",TIA_Import)</f>
        <v/>
      </c>
      <c r="S200" s="399" t="str">
        <f>IF($P200="","",INDEX($K$4:$K$203,MATCH($P200,$N$4:$N$203,0)))</f>
        <v/>
      </c>
      <c r="T200" s="399" t="str">
        <f>IF($P200="","",INDEX($L$4:$L$203,MATCH($P200,$N$4:$N$203,0)))</f>
        <v/>
      </c>
      <c r="U200" s="419" t="str">
        <f t="shared" si="41"/>
        <v/>
      </c>
      <c r="V200" s="433" t="b">
        <v>0</v>
      </c>
      <c r="W200" s="464"/>
      <c r="X200" s="433"/>
      <c r="Y200" s="433" t="s">
        <v>92</v>
      </c>
      <c r="Z200" s="433"/>
      <c r="AA200" s="433"/>
      <c r="AB200" s="433"/>
      <c r="AC200" s="433" t="s">
        <v>1401</v>
      </c>
      <c r="AD200" s="433"/>
      <c r="AE200" s="433" t="s">
        <v>111</v>
      </c>
      <c r="AF200" s="433" t="s">
        <v>299</v>
      </c>
      <c r="AG200" s="433"/>
      <c r="AH200" s="433"/>
      <c r="AI200" s="433"/>
      <c r="AJ200" s="433"/>
      <c r="AK200" s="433"/>
      <c r="AL200" s="433"/>
      <c r="AM200" s="433"/>
      <c r="AN200" s="433"/>
      <c r="AO200" s="433"/>
      <c r="AP200" s="433"/>
      <c r="AQ200" s="433"/>
      <c r="AR200" s="433"/>
      <c r="AS200" s="433" t="b">
        <v>0</v>
      </c>
      <c r="AT200" s="433"/>
      <c r="AU200" s="433"/>
      <c r="AV200" s="433"/>
      <c r="AW200" s="433"/>
      <c r="AX200" s="433"/>
      <c r="AY200" s="433"/>
      <c r="AZ200" s="433"/>
      <c r="BA200" s="433"/>
      <c r="BB200" s="433"/>
      <c r="BC200" s="433"/>
      <c r="BD200" s="433"/>
      <c r="BE200" s="433"/>
      <c r="BF200" s="433"/>
      <c r="BG200" s="433"/>
      <c r="BH200" s="433"/>
      <c r="BI200" s="433"/>
      <c r="BJ200" s="433"/>
      <c r="BK200" s="433"/>
      <c r="BL200" s="433"/>
      <c r="BM200" s="433"/>
      <c r="BN200" s="433"/>
      <c r="BO200" s="433"/>
      <c r="BP200" s="433"/>
      <c r="BQ200" s="433"/>
      <c r="BR200" s="433"/>
      <c r="BS200" s="433"/>
      <c r="BT200" s="433"/>
      <c r="BU200" s="399" t="str">
        <f>IF($P200="","",IF($AS200=TRUE,IF(COUNTIF($AT200:$BT200,"")=0,IF(COUNTIF($Y200:$AH200,"")+COUNTIF($AJ200:$AP200,"")&lt;=1,TRUE,FALSE)),IF(COUNTIF($Y200:$AH200,"")+COUNTIF($AJ200:$AP200,"")&lt;=1,TRUE,FALSE)))</f>
        <v/>
      </c>
      <c r="BV200" s="433"/>
      <c r="BW200" s="433"/>
      <c r="BX200" s="433"/>
      <c r="BY200" s="433"/>
      <c r="BZ200" s="433"/>
      <c r="CA200" s="433"/>
      <c r="CB200" s="433"/>
      <c r="CC200" s="433"/>
      <c r="CD200" s="433"/>
      <c r="CE200" s="433"/>
      <c r="CF200" s="433"/>
      <c r="CG200" s="433"/>
      <c r="CH200" s="433"/>
      <c r="CI200" s="433"/>
      <c r="CJ200" s="433"/>
      <c r="CK200" s="433"/>
      <c r="CL200" s="433"/>
      <c r="CM200" s="433"/>
      <c r="CN200" s="433"/>
      <c r="CO200" s="433"/>
      <c r="CP200" s="433"/>
      <c r="CQ200" s="433"/>
      <c r="CR200" s="433"/>
      <c r="CS200" s="433"/>
      <c r="CT200" s="433"/>
      <c r="CU200" s="433"/>
      <c r="CV200" s="433"/>
      <c r="CW200" s="433"/>
      <c r="CX200" s="433"/>
      <c r="CY200" s="433"/>
      <c r="CZ200" s="399" t="str">
        <f t="shared" si="45"/>
        <v/>
      </c>
      <c r="DA200" s="399" t="str">
        <f t="shared" si="46"/>
        <v/>
      </c>
      <c r="DB200" s="399" t="str">
        <f t="shared" si="47"/>
        <v/>
      </c>
      <c r="DC200" s="399" t="str">
        <f t="shared" si="48"/>
        <v/>
      </c>
      <c r="DD200" s="399" t="str">
        <f t="shared" si="43"/>
        <v/>
      </c>
      <c r="DE200" s="399" t="str">
        <f t="shared" si="49"/>
        <v/>
      </c>
      <c r="DG200" s="434"/>
      <c r="DH200" s="434"/>
      <c r="DJ200" s="399"/>
    </row>
    <row r="201" spans="8:114" x14ac:dyDescent="0.25">
      <c r="H201" s="416" t="str">
        <f ca="1">IF(IMPORT!C214="","",IMPORT!C214)</f>
        <v/>
      </c>
      <c r="I201" s="416" t="str">
        <f ca="1">IF(IMPORT!D214="","",IMPORT!D214)</f>
        <v/>
      </c>
      <c r="J201" s="416" t="str">
        <f ca="1">IF(IMPORT!E214="","",IMPORT!E214)</f>
        <v/>
      </c>
      <c r="K201" s="416" t="str">
        <f ca="1">IF(IMPORT!F214="","",IMPORT!F214)</f>
        <v/>
      </c>
      <c r="L201" s="416" t="str">
        <f ca="1">IF(IMPORT!G214="","",IMPORT!G214)</f>
        <v/>
      </c>
      <c r="M201" s="416" t="str">
        <f>IF(IMPORT!H214="","",IMPORT!H214)</f>
        <v/>
      </c>
      <c r="N201" s="399" t="str">
        <f t="shared" si="44"/>
        <v/>
      </c>
      <c r="P201" s="406"/>
      <c r="Q201" s="406"/>
      <c r="R201" s="399"/>
      <c r="S201" s="399"/>
      <c r="T201" s="399"/>
      <c r="U201" s="419"/>
      <c r="V201" s="433" t="b">
        <v>0</v>
      </c>
      <c r="W201" s="464"/>
      <c r="X201" s="433"/>
      <c r="Y201" s="433" t="s">
        <v>92</v>
      </c>
      <c r="Z201" s="433"/>
      <c r="AA201" s="433"/>
      <c r="AB201" s="433"/>
      <c r="AC201" s="433" t="s">
        <v>1401</v>
      </c>
      <c r="AD201" s="433"/>
      <c r="AE201" s="433" t="s">
        <v>111</v>
      </c>
      <c r="AF201" s="433" t="s">
        <v>299</v>
      </c>
      <c r="AG201" s="433"/>
      <c r="AH201" s="433"/>
      <c r="AI201" s="433"/>
      <c r="AJ201" s="433"/>
      <c r="AK201" s="433"/>
      <c r="AL201" s="433"/>
      <c r="AM201" s="433"/>
      <c r="AN201" s="433"/>
      <c r="AO201" s="433"/>
      <c r="AP201" s="433"/>
      <c r="AQ201" s="433"/>
      <c r="AR201" s="433"/>
      <c r="AS201" s="433" t="b">
        <v>0</v>
      </c>
      <c r="AT201" s="433"/>
      <c r="AU201" s="433"/>
      <c r="AV201" s="433"/>
      <c r="AW201" s="433"/>
      <c r="AX201" s="433"/>
      <c r="AY201" s="433"/>
      <c r="AZ201" s="433"/>
      <c r="BA201" s="433"/>
      <c r="BB201" s="433"/>
      <c r="BC201" s="433"/>
      <c r="BD201" s="433"/>
      <c r="BE201" s="433"/>
      <c r="BF201" s="433"/>
      <c r="BG201" s="433"/>
      <c r="BH201" s="433"/>
      <c r="BI201" s="433"/>
      <c r="BJ201" s="433"/>
      <c r="BK201" s="433"/>
      <c r="BL201" s="433"/>
      <c r="BM201" s="433"/>
      <c r="BN201" s="433"/>
      <c r="BO201" s="433"/>
      <c r="BP201" s="433"/>
      <c r="BQ201" s="433"/>
      <c r="BR201" s="433"/>
      <c r="BS201" s="433"/>
      <c r="BT201" s="433"/>
      <c r="BU201" s="399"/>
      <c r="BV201" s="433"/>
      <c r="BW201" s="433"/>
      <c r="BX201" s="433"/>
      <c r="BY201" s="433"/>
      <c r="BZ201" s="433"/>
      <c r="CA201" s="433"/>
      <c r="CB201" s="433"/>
      <c r="CC201" s="433"/>
      <c r="CD201" s="433"/>
      <c r="CE201" s="433"/>
      <c r="CF201" s="433"/>
      <c r="CG201" s="433"/>
      <c r="CH201" s="433"/>
      <c r="CI201" s="433"/>
      <c r="CJ201" s="433"/>
      <c r="CK201" s="433"/>
      <c r="CL201" s="433"/>
      <c r="CM201" s="433"/>
      <c r="CN201" s="433"/>
      <c r="CO201" s="433"/>
      <c r="CP201" s="433"/>
      <c r="CQ201" s="433"/>
      <c r="CR201" s="433"/>
      <c r="CS201" s="433"/>
      <c r="CT201" s="433"/>
      <c r="CU201" s="433"/>
      <c r="CV201" s="433"/>
      <c r="CW201" s="433"/>
      <c r="CX201" s="433"/>
      <c r="CY201" s="433"/>
      <c r="CZ201" s="399" t="str">
        <f t="shared" si="45"/>
        <v/>
      </c>
      <c r="DA201" s="399" t="str">
        <f t="shared" si="46"/>
        <v/>
      </c>
      <c r="DB201" s="399" t="str">
        <f t="shared" si="47"/>
        <v/>
      </c>
      <c r="DC201" s="399" t="str">
        <f t="shared" si="48"/>
        <v/>
      </c>
      <c r="DD201" s="399" t="str">
        <f t="shared" si="43"/>
        <v/>
      </c>
      <c r="DE201" s="399" t="str">
        <f t="shared" si="49"/>
        <v/>
      </c>
      <c r="DG201" s="434"/>
      <c r="DH201" s="434"/>
    </row>
    <row r="202" spans="8:114" x14ac:dyDescent="0.25">
      <c r="H202" s="416" t="str">
        <f ca="1">IF(IMPORT!C215="","",IMPORT!C215)</f>
        <v/>
      </c>
      <c r="I202" s="416" t="str">
        <f ca="1">IF(IMPORT!D215="","",IMPORT!D215)</f>
        <v/>
      </c>
      <c r="J202" s="416" t="str">
        <f ca="1">IF(IMPORT!E215="","",IMPORT!E215)</f>
        <v/>
      </c>
      <c r="K202" s="416" t="str">
        <f ca="1">IF(IMPORT!F215="","",IMPORT!F215)</f>
        <v/>
      </c>
      <c r="L202" s="416" t="str">
        <f ca="1">IF(IMPORT!G215="","",IMPORT!G215)</f>
        <v/>
      </c>
      <c r="M202" s="416" t="str">
        <f>IF(IMPORT!H215="","",IMPORT!H215)</f>
        <v/>
      </c>
      <c r="N202" s="399" t="str">
        <f t="shared" si="44"/>
        <v/>
      </c>
      <c r="P202" s="406"/>
      <c r="Q202" s="406"/>
      <c r="R202" s="399"/>
      <c r="S202" s="399"/>
      <c r="T202" s="399"/>
      <c r="U202" s="419"/>
      <c r="V202" s="433" t="b">
        <v>0</v>
      </c>
      <c r="W202" s="464"/>
      <c r="X202" s="433"/>
      <c r="Y202" s="433" t="s">
        <v>92</v>
      </c>
      <c r="Z202" s="433"/>
      <c r="AA202" s="433"/>
      <c r="AB202" s="433"/>
      <c r="AC202" s="433" t="s">
        <v>1401</v>
      </c>
      <c r="AD202" s="433"/>
      <c r="AE202" s="433" t="s">
        <v>111</v>
      </c>
      <c r="AF202" s="433" t="s">
        <v>299</v>
      </c>
      <c r="AG202" s="433"/>
      <c r="AH202" s="433"/>
      <c r="AI202" s="433"/>
      <c r="AJ202" s="433"/>
      <c r="AK202" s="433"/>
      <c r="AL202" s="433"/>
      <c r="AM202" s="433"/>
      <c r="AN202" s="433"/>
      <c r="AO202" s="433"/>
      <c r="AP202" s="433"/>
      <c r="AQ202" s="433"/>
      <c r="AR202" s="433"/>
      <c r="AS202" s="433" t="b">
        <v>0</v>
      </c>
      <c r="AT202" s="433"/>
      <c r="AU202" s="433"/>
      <c r="AV202" s="433"/>
      <c r="AW202" s="433"/>
      <c r="AX202" s="433"/>
      <c r="AY202" s="433"/>
      <c r="AZ202" s="433"/>
      <c r="BA202" s="433"/>
      <c r="BB202" s="433"/>
      <c r="BC202" s="433"/>
      <c r="BD202" s="433"/>
      <c r="BE202" s="433"/>
      <c r="BF202" s="433"/>
      <c r="BG202" s="433"/>
      <c r="BH202" s="433"/>
      <c r="BI202" s="433"/>
      <c r="BJ202" s="433"/>
      <c r="BK202" s="433"/>
      <c r="BL202" s="433"/>
      <c r="BM202" s="433"/>
      <c r="BN202" s="433"/>
      <c r="BO202" s="433"/>
      <c r="BP202" s="433"/>
      <c r="BQ202" s="433"/>
      <c r="BR202" s="433"/>
      <c r="BS202" s="433"/>
      <c r="BT202" s="433"/>
      <c r="BU202" s="399"/>
      <c r="BV202" s="433"/>
      <c r="BW202" s="433"/>
      <c r="BX202" s="433"/>
      <c r="BY202" s="433"/>
      <c r="BZ202" s="433"/>
      <c r="CA202" s="433"/>
      <c r="CB202" s="433"/>
      <c r="CC202" s="433"/>
      <c r="CD202" s="433"/>
      <c r="CE202" s="433"/>
      <c r="CF202" s="433"/>
      <c r="CG202" s="433"/>
      <c r="CH202" s="433"/>
      <c r="CI202" s="433"/>
      <c r="CJ202" s="433"/>
      <c r="CK202" s="433"/>
      <c r="CL202" s="433"/>
      <c r="CM202" s="433"/>
      <c r="CN202" s="433"/>
      <c r="CO202" s="433"/>
      <c r="CP202" s="433"/>
      <c r="CQ202" s="433"/>
      <c r="CR202" s="433"/>
      <c r="CS202" s="433"/>
      <c r="CT202" s="433"/>
      <c r="CU202" s="433"/>
      <c r="CV202" s="433"/>
      <c r="CW202" s="433"/>
      <c r="CX202" s="433"/>
      <c r="CY202" s="433"/>
      <c r="CZ202" s="399" t="str">
        <f t="shared" si="45"/>
        <v/>
      </c>
      <c r="DA202" s="399" t="str">
        <f t="shared" si="46"/>
        <v/>
      </c>
      <c r="DB202" s="399" t="str">
        <f t="shared" si="47"/>
        <v/>
      </c>
      <c r="DC202" s="399" t="str">
        <f t="shared" si="48"/>
        <v/>
      </c>
      <c r="DD202" s="399" t="str">
        <f t="shared" si="43"/>
        <v/>
      </c>
      <c r="DE202" s="399" t="str">
        <f t="shared" si="49"/>
        <v/>
      </c>
      <c r="DG202" s="434"/>
      <c r="DH202" s="434"/>
    </row>
    <row r="203" spans="8:114" x14ac:dyDescent="0.25">
      <c r="H203" s="416" t="str">
        <f ca="1">IF(IMPORT!C216="","",IMPORT!C216)</f>
        <v/>
      </c>
      <c r="I203" s="416" t="str">
        <f ca="1">IF(IMPORT!D216="","",IMPORT!D216)</f>
        <v/>
      </c>
      <c r="J203" s="416" t="str">
        <f ca="1">IF(IMPORT!E216="","",IMPORT!E216)</f>
        <v/>
      </c>
      <c r="K203" s="416" t="str">
        <f ca="1">IF(IMPORT!F216="","",IMPORT!F216)</f>
        <v/>
      </c>
      <c r="L203" s="416" t="str">
        <f ca="1">IF(IMPORT!G216="","",IMPORT!G216)</f>
        <v/>
      </c>
      <c r="M203" s="416" t="str">
        <f>IF(IMPORT!H216="","",IMPORT!H216)</f>
        <v/>
      </c>
      <c r="N203" s="399" t="str">
        <f t="shared" si="44"/>
        <v/>
      </c>
      <c r="P203" s="406"/>
      <c r="Q203" s="406"/>
      <c r="R203" s="399"/>
      <c r="S203" s="399"/>
      <c r="T203" s="399"/>
      <c r="U203" s="419"/>
      <c r="V203" s="433" t="b">
        <v>0</v>
      </c>
      <c r="W203" s="464"/>
      <c r="X203" s="433"/>
      <c r="Y203" s="433" t="s">
        <v>92</v>
      </c>
      <c r="Z203" s="433"/>
      <c r="AA203" s="433"/>
      <c r="AB203" s="433"/>
      <c r="AC203" s="433" t="s">
        <v>1401</v>
      </c>
      <c r="AD203" s="433"/>
      <c r="AE203" s="433" t="s">
        <v>111</v>
      </c>
      <c r="AF203" s="433" t="s">
        <v>299</v>
      </c>
      <c r="AG203" s="433"/>
      <c r="AH203" s="433"/>
      <c r="AI203" s="433"/>
      <c r="AJ203" s="433"/>
      <c r="AK203" s="433"/>
      <c r="AL203" s="433"/>
      <c r="AM203" s="433"/>
      <c r="AN203" s="433"/>
      <c r="AO203" s="433"/>
      <c r="AP203" s="433"/>
      <c r="AQ203" s="433"/>
      <c r="AR203" s="433"/>
      <c r="AS203" s="433" t="b">
        <v>0</v>
      </c>
      <c r="AT203" s="433"/>
      <c r="AU203" s="433"/>
      <c r="AV203" s="433"/>
      <c r="AW203" s="433"/>
      <c r="AX203" s="433"/>
      <c r="AY203" s="433"/>
      <c r="AZ203" s="433"/>
      <c r="BA203" s="433"/>
      <c r="BB203" s="433"/>
      <c r="BC203" s="433"/>
      <c r="BD203" s="433"/>
      <c r="BE203" s="433"/>
      <c r="BF203" s="433"/>
      <c r="BG203" s="433"/>
      <c r="BH203" s="433"/>
      <c r="BI203" s="433"/>
      <c r="BJ203" s="433"/>
      <c r="BK203" s="433"/>
      <c r="BL203" s="433"/>
      <c r="BM203" s="433"/>
      <c r="BN203" s="433"/>
      <c r="BO203" s="433"/>
      <c r="BP203" s="433"/>
      <c r="BQ203" s="433"/>
      <c r="BR203" s="433"/>
      <c r="BS203" s="433"/>
      <c r="BT203" s="433"/>
      <c r="BU203" s="399"/>
      <c r="BV203" s="433"/>
      <c r="BW203" s="433"/>
      <c r="BX203" s="433"/>
      <c r="BY203" s="433"/>
      <c r="BZ203" s="433"/>
      <c r="CA203" s="433"/>
      <c r="CB203" s="433"/>
      <c r="CC203" s="433"/>
      <c r="CD203" s="433"/>
      <c r="CE203" s="433"/>
      <c r="CF203" s="433"/>
      <c r="CG203" s="433"/>
      <c r="CH203" s="433"/>
      <c r="CI203" s="433"/>
      <c r="CJ203" s="433"/>
      <c r="CK203" s="433"/>
      <c r="CL203" s="433"/>
      <c r="CM203" s="433"/>
      <c r="CN203" s="433"/>
      <c r="CO203" s="433"/>
      <c r="CP203" s="433"/>
      <c r="CQ203" s="433"/>
      <c r="CR203" s="433"/>
      <c r="CS203" s="433"/>
      <c r="CT203" s="433"/>
      <c r="CU203" s="433"/>
      <c r="CV203" s="433"/>
      <c r="CW203" s="433"/>
      <c r="CX203" s="433"/>
      <c r="CY203" s="433"/>
      <c r="CZ203" s="399" t="str">
        <f t="shared" si="45"/>
        <v/>
      </c>
      <c r="DA203" s="399" t="str">
        <f t="shared" si="46"/>
        <v/>
      </c>
      <c r="DB203" s="399" t="str">
        <f t="shared" si="47"/>
        <v/>
      </c>
      <c r="DC203" s="399" t="str">
        <f t="shared" si="48"/>
        <v/>
      </c>
      <c r="DD203" s="399" t="str">
        <f t="shared" si="43"/>
        <v/>
      </c>
      <c r="DE203" s="399" t="str">
        <f t="shared" si="49"/>
        <v/>
      </c>
      <c r="DG203" s="434"/>
      <c r="DH203" s="434"/>
    </row>
    <row r="204" spans="8:114" x14ac:dyDescent="0.25">
      <c r="DG204" s="434"/>
      <c r="DH204" s="434"/>
    </row>
    <row r="205" spans="8:114" x14ac:dyDescent="0.25">
      <c r="DG205" s="434"/>
      <c r="DH205" s="434"/>
    </row>
    <row r="206" spans="8:114" x14ac:dyDescent="0.25">
      <c r="DG206" s="434"/>
      <c r="DH206" s="434"/>
    </row>
    <row r="207" spans="8:114" x14ac:dyDescent="0.25">
      <c r="DG207" s="434"/>
      <c r="DH207" s="434"/>
    </row>
    <row r="208" spans="8:114" x14ac:dyDescent="0.25">
      <c r="DG208" s="434"/>
      <c r="DH208" s="434"/>
    </row>
    <row r="209" spans="111:112" x14ac:dyDescent="0.25">
      <c r="DG209" s="434"/>
      <c r="DH209" s="434"/>
    </row>
    <row r="210" spans="111:112" x14ac:dyDescent="0.25">
      <c r="DG210" s="434"/>
      <c r="DH210" s="434"/>
    </row>
    <row r="211" spans="111:112" x14ac:dyDescent="0.25">
      <c r="DG211" s="434"/>
      <c r="DH211" s="434"/>
    </row>
    <row r="212" spans="111:112" x14ac:dyDescent="0.25">
      <c r="DG212" s="434"/>
      <c r="DH212" s="434"/>
    </row>
    <row r="213" spans="111:112" x14ac:dyDescent="0.25">
      <c r="DG213" s="434"/>
      <c r="DH213" s="434"/>
    </row>
    <row r="214" spans="111:112" x14ac:dyDescent="0.25">
      <c r="DG214" s="434"/>
      <c r="DH214" s="434"/>
    </row>
    <row r="215" spans="111:112" x14ac:dyDescent="0.25">
      <c r="DG215" s="434"/>
      <c r="DH215" s="434"/>
    </row>
    <row r="216" spans="111:112" x14ac:dyDescent="0.25">
      <c r="DG216" s="434"/>
      <c r="DH216" s="434"/>
    </row>
    <row r="217" spans="111:112" x14ac:dyDescent="0.25">
      <c r="DG217" s="434"/>
      <c r="DH217" s="434"/>
    </row>
    <row r="218" spans="111:112" x14ac:dyDescent="0.25">
      <c r="DG218" s="434"/>
      <c r="DH218" s="434"/>
    </row>
    <row r="219" spans="111:112" x14ac:dyDescent="0.25">
      <c r="DG219" s="434"/>
      <c r="DH219" s="434"/>
    </row>
    <row r="220" spans="111:112" x14ac:dyDescent="0.25">
      <c r="DG220" s="434"/>
      <c r="DH220" s="434"/>
    </row>
    <row r="221" spans="111:112" x14ac:dyDescent="0.25">
      <c r="DG221" s="434"/>
      <c r="DH221" s="434"/>
    </row>
    <row r="222" spans="111:112" x14ac:dyDescent="0.25">
      <c r="DG222" s="434"/>
      <c r="DH222" s="434"/>
    </row>
    <row r="223" spans="111:112" x14ac:dyDescent="0.25">
      <c r="DG223" s="434"/>
      <c r="DH223" s="434"/>
    </row>
    <row r="224" spans="111:112" x14ac:dyDescent="0.25">
      <c r="DG224" s="434"/>
      <c r="DH224" s="434"/>
    </row>
    <row r="225" spans="111:112" x14ac:dyDescent="0.25">
      <c r="DG225" s="434"/>
      <c r="DH225" s="434"/>
    </row>
    <row r="226" spans="111:112" x14ac:dyDescent="0.25">
      <c r="DG226" s="434"/>
      <c r="DH226" s="434"/>
    </row>
    <row r="227" spans="111:112" x14ac:dyDescent="0.25">
      <c r="DG227" s="434"/>
      <c r="DH227" s="434"/>
    </row>
    <row r="228" spans="111:112" x14ac:dyDescent="0.25">
      <c r="DG228" s="434"/>
      <c r="DH228" s="434"/>
    </row>
    <row r="229" spans="111:112" x14ac:dyDescent="0.25">
      <c r="DG229" s="434"/>
      <c r="DH229" s="434"/>
    </row>
    <row r="230" spans="111:112" x14ac:dyDescent="0.25">
      <c r="DG230" s="434"/>
      <c r="DH230" s="434"/>
    </row>
    <row r="231" spans="111:112" x14ac:dyDescent="0.25">
      <c r="DG231" s="434"/>
      <c r="DH231" s="434"/>
    </row>
    <row r="232" spans="111:112" x14ac:dyDescent="0.25">
      <c r="DG232" s="434"/>
      <c r="DH232" s="434"/>
    </row>
    <row r="233" spans="111:112" x14ac:dyDescent="0.25">
      <c r="DG233" s="434"/>
      <c r="DH233" s="434"/>
    </row>
    <row r="234" spans="111:112" x14ac:dyDescent="0.25">
      <c r="DG234" s="434"/>
      <c r="DH234" s="434"/>
    </row>
    <row r="235" spans="111:112" x14ac:dyDescent="0.25">
      <c r="DG235" s="434"/>
      <c r="DH235" s="434"/>
    </row>
    <row r="236" spans="111:112" x14ac:dyDescent="0.25">
      <c r="DG236" s="434"/>
      <c r="DH236" s="434"/>
    </row>
    <row r="237" spans="111:112" x14ac:dyDescent="0.25">
      <c r="DG237" s="434"/>
      <c r="DH237" s="434"/>
    </row>
    <row r="238" spans="111:112" x14ac:dyDescent="0.25">
      <c r="DG238" s="434"/>
      <c r="DH238" s="434"/>
    </row>
    <row r="239" spans="111:112" x14ac:dyDescent="0.25">
      <c r="DG239" s="434"/>
      <c r="DH239" s="434"/>
    </row>
    <row r="240" spans="111:112" x14ac:dyDescent="0.25">
      <c r="DG240" s="434"/>
      <c r="DH240" s="434"/>
    </row>
    <row r="241" spans="111:112" x14ac:dyDescent="0.25">
      <c r="DG241" s="434"/>
      <c r="DH241" s="434"/>
    </row>
    <row r="242" spans="111:112" x14ac:dyDescent="0.25">
      <c r="DG242" s="434"/>
      <c r="DH242" s="434"/>
    </row>
    <row r="243" spans="111:112" x14ac:dyDescent="0.25">
      <c r="DG243" s="434"/>
      <c r="DH243" s="434"/>
    </row>
    <row r="244" spans="111:112" x14ac:dyDescent="0.25">
      <c r="DG244" s="434"/>
      <c r="DH244" s="434"/>
    </row>
    <row r="245" spans="111:112" x14ac:dyDescent="0.25">
      <c r="DG245" s="434"/>
      <c r="DH245" s="434"/>
    </row>
    <row r="246" spans="111:112" x14ac:dyDescent="0.25">
      <c r="DG246" s="434"/>
      <c r="DH246" s="434"/>
    </row>
    <row r="247" spans="111:112" x14ac:dyDescent="0.25">
      <c r="DG247" s="434"/>
      <c r="DH247" s="434"/>
    </row>
    <row r="248" spans="111:112" x14ac:dyDescent="0.25">
      <c r="DG248" s="434"/>
      <c r="DH248" s="434"/>
    </row>
    <row r="249" spans="111:112" x14ac:dyDescent="0.25">
      <c r="DG249" s="434"/>
      <c r="DH249" s="434"/>
    </row>
    <row r="250" spans="111:112" x14ac:dyDescent="0.25">
      <c r="DG250" s="434"/>
      <c r="DH250" s="434"/>
    </row>
    <row r="251" spans="111:112" x14ac:dyDescent="0.25">
      <c r="DG251" s="434"/>
      <c r="DH251" s="434"/>
    </row>
    <row r="252" spans="111:112" x14ac:dyDescent="0.25">
      <c r="DG252" s="434"/>
      <c r="DH252" s="434"/>
    </row>
    <row r="253" spans="111:112" x14ac:dyDescent="0.25">
      <c r="DG253" s="434"/>
      <c r="DH253" s="434"/>
    </row>
    <row r="254" spans="111:112" x14ac:dyDescent="0.25">
      <c r="DG254" s="434"/>
      <c r="DH254" s="434"/>
    </row>
    <row r="255" spans="111:112" x14ac:dyDescent="0.25">
      <c r="DG255" s="434"/>
      <c r="DH255" s="434"/>
    </row>
    <row r="256" spans="111:112" x14ac:dyDescent="0.25">
      <c r="DG256" s="434"/>
      <c r="DH256" s="434"/>
    </row>
    <row r="257" spans="111:112" x14ac:dyDescent="0.25">
      <c r="DG257" s="434"/>
      <c r="DH257" s="434"/>
    </row>
    <row r="258" spans="111:112" x14ac:dyDescent="0.25">
      <c r="DG258" s="434"/>
      <c r="DH258" s="434"/>
    </row>
    <row r="259" spans="111:112" x14ac:dyDescent="0.25">
      <c r="DG259" s="434"/>
      <c r="DH259" s="434"/>
    </row>
    <row r="260" spans="111:112" x14ac:dyDescent="0.25">
      <c r="DG260" s="434"/>
      <c r="DH260" s="434"/>
    </row>
    <row r="261" spans="111:112" x14ac:dyDescent="0.25">
      <c r="DG261" s="434"/>
      <c r="DH261" s="434"/>
    </row>
    <row r="262" spans="111:112" x14ac:dyDescent="0.25">
      <c r="DG262" s="434"/>
      <c r="DH262" s="434"/>
    </row>
    <row r="263" spans="111:112" x14ac:dyDescent="0.25">
      <c r="DG263" s="434"/>
      <c r="DH263" s="434"/>
    </row>
    <row r="264" spans="111:112" x14ac:dyDescent="0.25">
      <c r="DG264" s="434"/>
      <c r="DH264" s="434"/>
    </row>
    <row r="265" spans="111:112" x14ac:dyDescent="0.25">
      <c r="DG265" s="434"/>
      <c r="DH265" s="434"/>
    </row>
    <row r="266" spans="111:112" x14ac:dyDescent="0.25">
      <c r="DG266" s="434"/>
      <c r="DH266" s="434"/>
    </row>
    <row r="267" spans="111:112" x14ac:dyDescent="0.25">
      <c r="DG267" s="434"/>
      <c r="DH267" s="434"/>
    </row>
    <row r="268" spans="111:112" x14ac:dyDescent="0.25">
      <c r="DG268" s="434"/>
      <c r="DH268" s="434"/>
    </row>
    <row r="269" spans="111:112" x14ac:dyDescent="0.25">
      <c r="DG269" s="434"/>
      <c r="DH269" s="434"/>
    </row>
    <row r="270" spans="111:112" x14ac:dyDescent="0.25">
      <c r="DG270" s="434"/>
      <c r="DH270" s="434"/>
    </row>
    <row r="271" spans="111:112" x14ac:dyDescent="0.25">
      <c r="DG271" s="434"/>
      <c r="DH271" s="434"/>
    </row>
    <row r="272" spans="111:112" x14ac:dyDescent="0.25">
      <c r="DG272" s="434"/>
      <c r="DH272" s="434"/>
    </row>
    <row r="273" spans="111:112" x14ac:dyDescent="0.25">
      <c r="DG273" s="434"/>
      <c r="DH273" s="434"/>
    </row>
    <row r="274" spans="111:112" x14ac:dyDescent="0.25">
      <c r="DG274" s="434"/>
      <c r="DH274" s="434"/>
    </row>
    <row r="275" spans="111:112" x14ac:dyDescent="0.25">
      <c r="DG275" s="434"/>
      <c r="DH275" s="434"/>
    </row>
    <row r="276" spans="111:112" x14ac:dyDescent="0.25">
      <c r="DG276" s="434"/>
      <c r="DH276" s="434"/>
    </row>
    <row r="277" spans="111:112" x14ac:dyDescent="0.25">
      <c r="DG277" s="434"/>
      <c r="DH277" s="434"/>
    </row>
    <row r="278" spans="111:112" x14ac:dyDescent="0.25">
      <c r="DG278" s="434"/>
      <c r="DH278" s="434"/>
    </row>
    <row r="279" spans="111:112" x14ac:dyDescent="0.25">
      <c r="DG279" s="434"/>
      <c r="DH279" s="434"/>
    </row>
    <row r="280" spans="111:112" x14ac:dyDescent="0.25">
      <c r="DG280" s="434"/>
      <c r="DH280" s="434"/>
    </row>
    <row r="281" spans="111:112" x14ac:dyDescent="0.25">
      <c r="DG281" s="434"/>
      <c r="DH281" s="434"/>
    </row>
    <row r="282" spans="111:112" x14ac:dyDescent="0.25">
      <c r="DG282" s="434"/>
      <c r="DH282" s="434"/>
    </row>
    <row r="283" spans="111:112" x14ac:dyDescent="0.25">
      <c r="DG283" s="434"/>
      <c r="DH283" s="434"/>
    </row>
    <row r="284" spans="111:112" x14ac:dyDescent="0.25">
      <c r="DG284" s="434"/>
      <c r="DH284" s="434"/>
    </row>
    <row r="285" spans="111:112" x14ac:dyDescent="0.25">
      <c r="DG285" s="434"/>
      <c r="DH285" s="434"/>
    </row>
    <row r="286" spans="111:112" x14ac:dyDescent="0.25">
      <c r="DG286" s="434"/>
      <c r="DH286" s="434"/>
    </row>
    <row r="287" spans="111:112" x14ac:dyDescent="0.25">
      <c r="DG287" s="434"/>
      <c r="DH287" s="434"/>
    </row>
    <row r="288" spans="111:112" x14ac:dyDescent="0.25">
      <c r="DG288" s="434"/>
      <c r="DH288" s="434"/>
    </row>
    <row r="289" spans="111:112" x14ac:dyDescent="0.25">
      <c r="DG289" s="434"/>
      <c r="DH289" s="434"/>
    </row>
    <row r="290" spans="111:112" x14ac:dyDescent="0.25">
      <c r="DG290" s="434"/>
      <c r="DH290" s="434"/>
    </row>
    <row r="291" spans="111:112" x14ac:dyDescent="0.25">
      <c r="DG291" s="434"/>
      <c r="DH291" s="434"/>
    </row>
    <row r="292" spans="111:112" x14ac:dyDescent="0.25">
      <c r="DG292" s="434"/>
      <c r="DH292" s="434"/>
    </row>
    <row r="293" spans="111:112" x14ac:dyDescent="0.25">
      <c r="DG293" s="434"/>
      <c r="DH293" s="434"/>
    </row>
    <row r="294" spans="111:112" x14ac:dyDescent="0.25">
      <c r="DG294" s="434"/>
      <c r="DH294" s="434"/>
    </row>
    <row r="295" spans="111:112" x14ac:dyDescent="0.25">
      <c r="DG295" s="434"/>
      <c r="DH295" s="434"/>
    </row>
    <row r="296" spans="111:112" x14ac:dyDescent="0.25">
      <c r="DG296" s="434"/>
      <c r="DH296" s="434"/>
    </row>
    <row r="297" spans="111:112" x14ac:dyDescent="0.25">
      <c r="DG297" s="434"/>
      <c r="DH297" s="434"/>
    </row>
    <row r="298" spans="111:112" x14ac:dyDescent="0.25">
      <c r="DG298" s="434"/>
      <c r="DH298" s="434"/>
    </row>
    <row r="299" spans="111:112" x14ac:dyDescent="0.25">
      <c r="DG299" s="434"/>
      <c r="DH299" s="434"/>
    </row>
    <row r="300" spans="111:112" x14ac:dyDescent="0.25">
      <c r="DG300" s="434"/>
      <c r="DH300" s="434"/>
    </row>
    <row r="301" spans="111:112" x14ac:dyDescent="0.25">
      <c r="DG301" s="434"/>
      <c r="DH301" s="434"/>
    </row>
    <row r="302" spans="111:112" x14ac:dyDescent="0.25">
      <c r="DG302" s="434"/>
      <c r="DH302" s="434"/>
    </row>
    <row r="303" spans="111:112" x14ac:dyDescent="0.25">
      <c r="DG303" s="434"/>
      <c r="DH303" s="434"/>
    </row>
    <row r="304" spans="111:112" x14ac:dyDescent="0.25">
      <c r="DG304" s="434"/>
      <c r="DH304" s="434"/>
    </row>
    <row r="305" spans="111:112" x14ac:dyDescent="0.25">
      <c r="DG305" s="434"/>
      <c r="DH305" s="434"/>
    </row>
    <row r="306" spans="111:112" x14ac:dyDescent="0.25">
      <c r="DG306" s="434"/>
      <c r="DH306" s="434"/>
    </row>
    <row r="307" spans="111:112" x14ac:dyDescent="0.25">
      <c r="DG307" s="434"/>
      <c r="DH307" s="434"/>
    </row>
    <row r="308" spans="111:112" x14ac:dyDescent="0.25">
      <c r="DG308" s="434"/>
      <c r="DH308" s="434"/>
    </row>
    <row r="309" spans="111:112" x14ac:dyDescent="0.25">
      <c r="DG309" s="434"/>
      <c r="DH309" s="434"/>
    </row>
    <row r="310" spans="111:112" x14ac:dyDescent="0.25">
      <c r="DG310" s="434"/>
      <c r="DH310" s="434"/>
    </row>
    <row r="311" spans="111:112" x14ac:dyDescent="0.25">
      <c r="DG311" s="434"/>
      <c r="DH311" s="434"/>
    </row>
    <row r="312" spans="111:112" x14ac:dyDescent="0.25">
      <c r="DG312" s="434"/>
      <c r="DH312" s="434"/>
    </row>
    <row r="313" spans="111:112" x14ac:dyDescent="0.25">
      <c r="DG313" s="434"/>
      <c r="DH313" s="434"/>
    </row>
    <row r="314" spans="111:112" x14ac:dyDescent="0.25">
      <c r="DG314" s="434"/>
      <c r="DH314" s="434"/>
    </row>
    <row r="315" spans="111:112" x14ac:dyDescent="0.25">
      <c r="DG315" s="434"/>
      <c r="DH315" s="434"/>
    </row>
    <row r="316" spans="111:112" x14ac:dyDescent="0.25">
      <c r="DG316" s="434"/>
      <c r="DH316" s="434"/>
    </row>
    <row r="317" spans="111:112" x14ac:dyDescent="0.25">
      <c r="DG317" s="434"/>
      <c r="DH317" s="434"/>
    </row>
    <row r="318" spans="111:112" x14ac:dyDescent="0.25">
      <c r="DG318" s="434"/>
      <c r="DH318" s="434"/>
    </row>
    <row r="319" spans="111:112" x14ac:dyDescent="0.25">
      <c r="DG319" s="434"/>
      <c r="DH319" s="434"/>
    </row>
    <row r="320" spans="111:112" x14ac:dyDescent="0.25">
      <c r="DG320" s="434"/>
      <c r="DH320" s="434"/>
    </row>
    <row r="321" spans="111:112" x14ac:dyDescent="0.25">
      <c r="DG321" s="434"/>
      <c r="DH321" s="434"/>
    </row>
    <row r="322" spans="111:112" x14ac:dyDescent="0.25">
      <c r="DG322" s="434"/>
      <c r="DH322" s="434"/>
    </row>
    <row r="323" spans="111:112" x14ac:dyDescent="0.25">
      <c r="DG323" s="434"/>
      <c r="DH323" s="434"/>
    </row>
    <row r="324" spans="111:112" x14ac:dyDescent="0.25">
      <c r="DG324" s="434"/>
      <c r="DH324" s="434"/>
    </row>
    <row r="325" spans="111:112" x14ac:dyDescent="0.25">
      <c r="DG325" s="434"/>
      <c r="DH325" s="434"/>
    </row>
    <row r="326" spans="111:112" x14ac:dyDescent="0.25">
      <c r="DG326" s="434"/>
      <c r="DH326" s="434"/>
    </row>
    <row r="327" spans="111:112" x14ac:dyDescent="0.25">
      <c r="DG327" s="434"/>
      <c r="DH327" s="434"/>
    </row>
    <row r="328" spans="111:112" x14ac:dyDescent="0.25">
      <c r="DG328" s="434"/>
      <c r="DH328" s="434"/>
    </row>
    <row r="329" spans="111:112" x14ac:dyDescent="0.25">
      <c r="DG329" s="434"/>
      <c r="DH329" s="434"/>
    </row>
    <row r="330" spans="111:112" x14ac:dyDescent="0.25">
      <c r="DG330" s="434"/>
      <c r="DH330" s="434"/>
    </row>
    <row r="331" spans="111:112" x14ac:dyDescent="0.25">
      <c r="DG331" s="434"/>
      <c r="DH331" s="434"/>
    </row>
    <row r="332" spans="111:112" x14ac:dyDescent="0.25">
      <c r="DG332" s="434"/>
      <c r="DH332" s="434"/>
    </row>
    <row r="333" spans="111:112" x14ac:dyDescent="0.25">
      <c r="DG333" s="434"/>
      <c r="DH333" s="434"/>
    </row>
    <row r="334" spans="111:112" x14ac:dyDescent="0.25">
      <c r="DG334" s="434"/>
      <c r="DH334" s="434"/>
    </row>
    <row r="335" spans="111:112" x14ac:dyDescent="0.25">
      <c r="DG335" s="434"/>
      <c r="DH335" s="434"/>
    </row>
    <row r="336" spans="111:112" x14ac:dyDescent="0.25">
      <c r="DG336" s="434"/>
      <c r="DH336" s="434"/>
    </row>
    <row r="337" spans="111:112" x14ac:dyDescent="0.25">
      <c r="DG337" s="434"/>
      <c r="DH337" s="434"/>
    </row>
    <row r="338" spans="111:112" x14ac:dyDescent="0.25">
      <c r="DG338" s="434"/>
      <c r="DH338" s="434"/>
    </row>
    <row r="339" spans="111:112" x14ac:dyDescent="0.25">
      <c r="DG339" s="434"/>
      <c r="DH339" s="434"/>
    </row>
    <row r="340" spans="111:112" x14ac:dyDescent="0.25">
      <c r="DG340" s="434"/>
      <c r="DH340" s="434"/>
    </row>
    <row r="341" spans="111:112" x14ac:dyDescent="0.25">
      <c r="DG341" s="434"/>
      <c r="DH341" s="434"/>
    </row>
    <row r="342" spans="111:112" x14ac:dyDescent="0.25">
      <c r="DG342" s="434"/>
      <c r="DH342" s="434"/>
    </row>
    <row r="343" spans="111:112" x14ac:dyDescent="0.25">
      <c r="DG343" s="434"/>
      <c r="DH343" s="434"/>
    </row>
    <row r="344" spans="111:112" x14ac:dyDescent="0.25">
      <c r="DG344" s="434"/>
      <c r="DH344" s="434"/>
    </row>
    <row r="345" spans="111:112" x14ac:dyDescent="0.25">
      <c r="DG345" s="434"/>
      <c r="DH345" s="434"/>
    </row>
    <row r="346" spans="111:112" x14ac:dyDescent="0.25">
      <c r="DG346" s="434"/>
      <c r="DH346" s="434"/>
    </row>
    <row r="347" spans="111:112" x14ac:dyDescent="0.25">
      <c r="DG347" s="434"/>
      <c r="DH347" s="434"/>
    </row>
    <row r="348" spans="111:112" x14ac:dyDescent="0.25">
      <c r="DG348" s="434"/>
      <c r="DH348" s="434"/>
    </row>
    <row r="349" spans="111:112" x14ac:dyDescent="0.25">
      <c r="DG349" s="434"/>
      <c r="DH349" s="434"/>
    </row>
    <row r="350" spans="111:112" x14ac:dyDescent="0.25">
      <c r="DG350" s="434"/>
      <c r="DH350" s="434"/>
    </row>
    <row r="351" spans="111:112" x14ac:dyDescent="0.25">
      <c r="DG351" s="434"/>
      <c r="DH351" s="434"/>
    </row>
    <row r="352" spans="111:112" x14ac:dyDescent="0.25">
      <c r="DG352" s="434"/>
      <c r="DH352" s="434"/>
    </row>
    <row r="353" spans="111:112" x14ac:dyDescent="0.25">
      <c r="DG353" s="434"/>
      <c r="DH353" s="434"/>
    </row>
    <row r="354" spans="111:112" x14ac:dyDescent="0.25">
      <c r="DG354" s="434"/>
      <c r="DH354" s="434"/>
    </row>
    <row r="355" spans="111:112" x14ac:dyDescent="0.25">
      <c r="DG355" s="434"/>
      <c r="DH355" s="434"/>
    </row>
    <row r="356" spans="111:112" x14ac:dyDescent="0.25">
      <c r="DG356" s="434"/>
      <c r="DH356" s="434"/>
    </row>
    <row r="357" spans="111:112" x14ac:dyDescent="0.25">
      <c r="DG357" s="434"/>
      <c r="DH357" s="434"/>
    </row>
    <row r="358" spans="111:112" x14ac:dyDescent="0.25">
      <c r="DG358" s="434"/>
      <c r="DH358" s="434"/>
    </row>
    <row r="359" spans="111:112" x14ac:dyDescent="0.25">
      <c r="DG359" s="434"/>
      <c r="DH359" s="434"/>
    </row>
    <row r="360" spans="111:112" x14ac:dyDescent="0.25">
      <c r="DG360" s="434"/>
      <c r="DH360" s="434"/>
    </row>
    <row r="361" spans="111:112" x14ac:dyDescent="0.25">
      <c r="DG361" s="434"/>
      <c r="DH361" s="434"/>
    </row>
    <row r="362" spans="111:112" x14ac:dyDescent="0.25">
      <c r="DG362" s="434"/>
      <c r="DH362" s="434"/>
    </row>
    <row r="363" spans="111:112" x14ac:dyDescent="0.25">
      <c r="DG363" s="434"/>
      <c r="DH363" s="434"/>
    </row>
    <row r="364" spans="111:112" x14ac:dyDescent="0.25">
      <c r="DG364" s="434"/>
      <c r="DH364" s="434"/>
    </row>
    <row r="365" spans="111:112" x14ac:dyDescent="0.25">
      <c r="DG365" s="434"/>
      <c r="DH365" s="434"/>
    </row>
    <row r="366" spans="111:112" x14ac:dyDescent="0.25">
      <c r="DG366" s="434"/>
      <c r="DH366" s="434"/>
    </row>
    <row r="367" spans="111:112" x14ac:dyDescent="0.25">
      <c r="DG367" s="434"/>
      <c r="DH367" s="434"/>
    </row>
    <row r="368" spans="111:112" x14ac:dyDescent="0.25">
      <c r="DG368" s="434"/>
      <c r="DH368" s="434"/>
    </row>
    <row r="369" spans="111:112" x14ac:dyDescent="0.25">
      <c r="DG369" s="434"/>
      <c r="DH369" s="434"/>
    </row>
    <row r="370" spans="111:112" x14ac:dyDescent="0.25">
      <c r="DG370" s="434"/>
      <c r="DH370" s="434"/>
    </row>
    <row r="371" spans="111:112" x14ac:dyDescent="0.25">
      <c r="DG371" s="434"/>
      <c r="DH371" s="434"/>
    </row>
    <row r="372" spans="111:112" x14ac:dyDescent="0.25">
      <c r="DG372" s="434"/>
      <c r="DH372" s="434"/>
    </row>
    <row r="373" spans="111:112" x14ac:dyDescent="0.25">
      <c r="DG373" s="434"/>
      <c r="DH373" s="434"/>
    </row>
    <row r="374" spans="111:112" x14ac:dyDescent="0.25">
      <c r="DG374" s="434"/>
      <c r="DH374" s="434"/>
    </row>
    <row r="375" spans="111:112" x14ac:dyDescent="0.25">
      <c r="DG375" s="434"/>
      <c r="DH375" s="434"/>
    </row>
    <row r="376" spans="111:112" x14ac:dyDescent="0.25">
      <c r="DG376" s="434"/>
      <c r="DH376" s="434"/>
    </row>
    <row r="377" spans="111:112" x14ac:dyDescent="0.25">
      <c r="DG377" s="434"/>
      <c r="DH377" s="434"/>
    </row>
    <row r="378" spans="111:112" x14ac:dyDescent="0.25">
      <c r="DG378" s="434"/>
      <c r="DH378" s="434"/>
    </row>
    <row r="379" spans="111:112" x14ac:dyDescent="0.25">
      <c r="DG379" s="434"/>
      <c r="DH379" s="434"/>
    </row>
    <row r="380" spans="111:112" x14ac:dyDescent="0.25">
      <c r="DG380" s="434"/>
      <c r="DH380" s="434"/>
    </row>
    <row r="381" spans="111:112" x14ac:dyDescent="0.25">
      <c r="DG381" s="434"/>
      <c r="DH381" s="434"/>
    </row>
    <row r="382" spans="111:112" x14ac:dyDescent="0.25">
      <c r="DG382" s="434"/>
      <c r="DH382" s="434"/>
    </row>
    <row r="383" spans="111:112" x14ac:dyDescent="0.25">
      <c r="DG383" s="434"/>
      <c r="DH383" s="434"/>
    </row>
    <row r="384" spans="111:112" x14ac:dyDescent="0.25">
      <c r="DG384" s="434"/>
      <c r="DH384" s="434"/>
    </row>
    <row r="385" spans="111:112" x14ac:dyDescent="0.25">
      <c r="DG385" s="434"/>
      <c r="DH385" s="434"/>
    </row>
    <row r="386" spans="111:112" x14ac:dyDescent="0.25">
      <c r="DG386" s="434"/>
      <c r="DH386" s="434"/>
    </row>
    <row r="387" spans="111:112" x14ac:dyDescent="0.25">
      <c r="DG387" s="434"/>
      <c r="DH387" s="434"/>
    </row>
    <row r="388" spans="111:112" x14ac:dyDescent="0.25">
      <c r="DG388" s="434"/>
      <c r="DH388" s="434"/>
    </row>
    <row r="389" spans="111:112" x14ac:dyDescent="0.25">
      <c r="DG389" s="434"/>
      <c r="DH389" s="434"/>
    </row>
    <row r="390" spans="111:112" x14ac:dyDescent="0.25">
      <c r="DG390" s="434"/>
      <c r="DH390" s="434"/>
    </row>
    <row r="391" spans="111:112" x14ac:dyDescent="0.25">
      <c r="DG391" s="434"/>
      <c r="DH391" s="434"/>
    </row>
    <row r="392" spans="111:112" x14ac:dyDescent="0.25">
      <c r="DG392" s="434"/>
      <c r="DH392" s="434"/>
    </row>
    <row r="393" spans="111:112" x14ac:dyDescent="0.25">
      <c r="DG393" s="434"/>
      <c r="DH393" s="434"/>
    </row>
    <row r="394" spans="111:112" x14ac:dyDescent="0.25">
      <c r="DG394" s="434"/>
      <c r="DH394" s="434"/>
    </row>
    <row r="395" spans="111:112" x14ac:dyDescent="0.25">
      <c r="DG395" s="434"/>
      <c r="DH395" s="434"/>
    </row>
    <row r="396" spans="111:112" x14ac:dyDescent="0.25">
      <c r="DG396" s="434"/>
      <c r="DH396" s="434"/>
    </row>
    <row r="397" spans="111:112" x14ac:dyDescent="0.25">
      <c r="DG397" s="434"/>
      <c r="DH397" s="434"/>
    </row>
    <row r="398" spans="111:112" x14ac:dyDescent="0.25">
      <c r="DG398" s="434"/>
      <c r="DH398" s="434"/>
    </row>
    <row r="399" spans="111:112" x14ac:dyDescent="0.25">
      <c r="DG399" s="434"/>
      <c r="DH399" s="434"/>
    </row>
    <row r="400" spans="111:112" x14ac:dyDescent="0.25">
      <c r="DG400" s="434"/>
      <c r="DH400" s="434"/>
    </row>
    <row r="401" spans="111:112" x14ac:dyDescent="0.25">
      <c r="DG401" s="434"/>
      <c r="DH401" s="434"/>
    </row>
    <row r="402" spans="111:112" x14ac:dyDescent="0.25">
      <c r="DG402" s="434"/>
      <c r="DH402" s="434"/>
    </row>
    <row r="403" spans="111:112" x14ac:dyDescent="0.25">
      <c r="DG403" s="434"/>
      <c r="DH403" s="434"/>
    </row>
    <row r="404" spans="111:112" x14ac:dyDescent="0.25">
      <c r="DG404" s="434"/>
      <c r="DH404" s="434"/>
    </row>
    <row r="405" spans="111:112" x14ac:dyDescent="0.25">
      <c r="DG405" s="434"/>
      <c r="DH405" s="434"/>
    </row>
    <row r="406" spans="111:112" x14ac:dyDescent="0.25">
      <c r="DG406" s="434"/>
      <c r="DH406" s="434"/>
    </row>
    <row r="407" spans="111:112" x14ac:dyDescent="0.25">
      <c r="DG407" s="434"/>
      <c r="DH407" s="434"/>
    </row>
    <row r="408" spans="111:112" x14ac:dyDescent="0.25">
      <c r="DG408" s="434"/>
      <c r="DH408" s="434"/>
    </row>
    <row r="409" spans="111:112" x14ac:dyDescent="0.25">
      <c r="DG409" s="434"/>
      <c r="DH409" s="434"/>
    </row>
    <row r="410" spans="111:112" x14ac:dyDescent="0.25">
      <c r="DG410" s="434"/>
      <c r="DH410" s="434"/>
    </row>
    <row r="411" spans="111:112" x14ac:dyDescent="0.25">
      <c r="DG411" s="434"/>
      <c r="DH411" s="434"/>
    </row>
    <row r="412" spans="111:112" x14ac:dyDescent="0.25">
      <c r="DG412" s="434"/>
      <c r="DH412" s="434"/>
    </row>
    <row r="413" spans="111:112" x14ac:dyDescent="0.25">
      <c r="DG413" s="434"/>
      <c r="DH413" s="434"/>
    </row>
    <row r="414" spans="111:112" x14ac:dyDescent="0.25">
      <c r="DG414" s="434"/>
      <c r="DH414" s="434"/>
    </row>
    <row r="415" spans="111:112" x14ac:dyDescent="0.25">
      <c r="DG415" s="434"/>
      <c r="DH415" s="434"/>
    </row>
    <row r="416" spans="111:112" x14ac:dyDescent="0.25">
      <c r="DG416" s="434"/>
      <c r="DH416" s="434"/>
    </row>
    <row r="417" spans="111:112" x14ac:dyDescent="0.25">
      <c r="DG417" s="434"/>
      <c r="DH417" s="434"/>
    </row>
    <row r="418" spans="111:112" x14ac:dyDescent="0.25">
      <c r="DG418" s="434"/>
      <c r="DH418" s="434"/>
    </row>
    <row r="419" spans="111:112" x14ac:dyDescent="0.25">
      <c r="DG419" s="434"/>
      <c r="DH419" s="434"/>
    </row>
    <row r="420" spans="111:112" x14ac:dyDescent="0.25">
      <c r="DG420" s="434"/>
      <c r="DH420" s="434"/>
    </row>
    <row r="421" spans="111:112" x14ac:dyDescent="0.25">
      <c r="DG421" s="434"/>
      <c r="DH421" s="434"/>
    </row>
    <row r="422" spans="111:112" x14ac:dyDescent="0.25">
      <c r="DG422" s="434"/>
      <c r="DH422" s="434"/>
    </row>
    <row r="423" spans="111:112" x14ac:dyDescent="0.25">
      <c r="DG423" s="434"/>
      <c r="DH423" s="434"/>
    </row>
    <row r="424" spans="111:112" x14ac:dyDescent="0.25">
      <c r="DG424" s="434"/>
      <c r="DH424" s="434"/>
    </row>
    <row r="425" spans="111:112" x14ac:dyDescent="0.25">
      <c r="DG425" s="434"/>
      <c r="DH425" s="434"/>
    </row>
    <row r="426" spans="111:112" x14ac:dyDescent="0.25">
      <c r="DG426" s="434"/>
      <c r="DH426" s="434"/>
    </row>
    <row r="427" spans="111:112" x14ac:dyDescent="0.25">
      <c r="DG427" s="434"/>
      <c r="DH427" s="434"/>
    </row>
    <row r="428" spans="111:112" x14ac:dyDescent="0.25">
      <c r="DG428" s="434"/>
      <c r="DH428" s="434"/>
    </row>
    <row r="429" spans="111:112" x14ac:dyDescent="0.25">
      <c r="DG429" s="434"/>
      <c r="DH429" s="434"/>
    </row>
    <row r="430" spans="111:112" x14ac:dyDescent="0.25">
      <c r="DG430" s="434"/>
      <c r="DH430" s="434"/>
    </row>
    <row r="431" spans="111:112" x14ac:dyDescent="0.25">
      <c r="DG431" s="434"/>
      <c r="DH431" s="434"/>
    </row>
    <row r="432" spans="111:112" x14ac:dyDescent="0.25">
      <c r="DG432" s="434"/>
      <c r="DH432" s="434"/>
    </row>
    <row r="433" spans="111:112" x14ac:dyDescent="0.25">
      <c r="DG433" s="434"/>
      <c r="DH433" s="434"/>
    </row>
    <row r="434" spans="111:112" x14ac:dyDescent="0.25">
      <c r="DG434" s="434"/>
      <c r="DH434" s="434"/>
    </row>
    <row r="435" spans="111:112" x14ac:dyDescent="0.25">
      <c r="DG435" s="434"/>
      <c r="DH435" s="434"/>
    </row>
    <row r="436" spans="111:112" x14ac:dyDescent="0.25">
      <c r="DG436" s="434"/>
      <c r="DH436" s="434"/>
    </row>
    <row r="437" spans="111:112" x14ac:dyDescent="0.25">
      <c r="DG437" s="434"/>
      <c r="DH437" s="434"/>
    </row>
    <row r="438" spans="111:112" x14ac:dyDescent="0.25">
      <c r="DG438" s="434"/>
      <c r="DH438" s="434"/>
    </row>
    <row r="439" spans="111:112" x14ac:dyDescent="0.25">
      <c r="DG439" s="434"/>
      <c r="DH439" s="434"/>
    </row>
    <row r="440" spans="111:112" x14ac:dyDescent="0.25">
      <c r="DG440" s="434"/>
      <c r="DH440" s="434"/>
    </row>
    <row r="441" spans="111:112" x14ac:dyDescent="0.25">
      <c r="DG441" s="434"/>
      <c r="DH441" s="434"/>
    </row>
    <row r="442" spans="111:112" x14ac:dyDescent="0.25">
      <c r="DG442" s="434"/>
      <c r="DH442" s="434"/>
    </row>
    <row r="443" spans="111:112" x14ac:dyDescent="0.25">
      <c r="DG443" s="434"/>
      <c r="DH443" s="434"/>
    </row>
    <row r="444" spans="111:112" x14ac:dyDescent="0.25">
      <c r="DG444" s="434"/>
      <c r="DH444" s="434"/>
    </row>
    <row r="445" spans="111:112" x14ac:dyDescent="0.25">
      <c r="DG445" s="434"/>
      <c r="DH445" s="434"/>
    </row>
    <row r="446" spans="111:112" x14ac:dyDescent="0.25">
      <c r="DG446" s="434"/>
      <c r="DH446" s="434"/>
    </row>
    <row r="447" spans="111:112" x14ac:dyDescent="0.25">
      <c r="DG447" s="434"/>
      <c r="DH447" s="434"/>
    </row>
    <row r="448" spans="111:112" x14ac:dyDescent="0.25">
      <c r="DG448" s="434"/>
      <c r="DH448" s="434"/>
    </row>
    <row r="449" spans="111:112" x14ac:dyDescent="0.25">
      <c r="DG449" s="434"/>
      <c r="DH449" s="434"/>
    </row>
    <row r="450" spans="111:112" x14ac:dyDescent="0.25">
      <c r="DG450" s="434"/>
      <c r="DH450" s="434"/>
    </row>
    <row r="451" spans="111:112" x14ac:dyDescent="0.25">
      <c r="DG451" s="434"/>
      <c r="DH451" s="434"/>
    </row>
    <row r="452" spans="111:112" x14ac:dyDescent="0.25">
      <c r="DG452" s="434"/>
      <c r="DH452" s="434"/>
    </row>
    <row r="453" spans="111:112" x14ac:dyDescent="0.25">
      <c r="DG453" s="434"/>
      <c r="DH453" s="434"/>
    </row>
    <row r="454" spans="111:112" x14ac:dyDescent="0.25">
      <c r="DG454" s="434"/>
      <c r="DH454" s="434"/>
    </row>
    <row r="455" spans="111:112" x14ac:dyDescent="0.25">
      <c r="DG455" s="434"/>
      <c r="DH455" s="434"/>
    </row>
    <row r="456" spans="111:112" x14ac:dyDescent="0.25">
      <c r="DG456" s="434"/>
      <c r="DH456" s="434"/>
    </row>
    <row r="457" spans="111:112" x14ac:dyDescent="0.25">
      <c r="DG457" s="434"/>
      <c r="DH457" s="434"/>
    </row>
    <row r="458" spans="111:112" x14ac:dyDescent="0.25">
      <c r="DG458" s="434"/>
      <c r="DH458" s="434"/>
    </row>
    <row r="459" spans="111:112" x14ac:dyDescent="0.25">
      <c r="DG459" s="434"/>
      <c r="DH459" s="434"/>
    </row>
    <row r="460" spans="111:112" x14ac:dyDescent="0.25">
      <c r="DG460" s="434"/>
      <c r="DH460" s="434"/>
    </row>
    <row r="461" spans="111:112" x14ac:dyDescent="0.25">
      <c r="DG461" s="434"/>
      <c r="DH461" s="434"/>
    </row>
    <row r="462" spans="111:112" x14ac:dyDescent="0.25">
      <c r="DG462" s="434"/>
      <c r="DH462" s="434"/>
    </row>
    <row r="463" spans="111:112" x14ac:dyDescent="0.25">
      <c r="DG463" s="434"/>
      <c r="DH463" s="434"/>
    </row>
    <row r="464" spans="111:112" x14ac:dyDescent="0.25">
      <c r="DG464" s="434"/>
      <c r="DH464" s="434"/>
    </row>
    <row r="465" spans="111:112" x14ac:dyDescent="0.25">
      <c r="DG465" s="434"/>
      <c r="DH465" s="434"/>
    </row>
    <row r="466" spans="111:112" x14ac:dyDescent="0.25">
      <c r="DG466" s="434"/>
      <c r="DH466" s="434"/>
    </row>
    <row r="467" spans="111:112" x14ac:dyDescent="0.25">
      <c r="DG467" s="434"/>
      <c r="DH467" s="434"/>
    </row>
    <row r="468" spans="111:112" x14ac:dyDescent="0.25">
      <c r="DG468" s="434"/>
      <c r="DH468" s="434"/>
    </row>
    <row r="469" spans="111:112" x14ac:dyDescent="0.25">
      <c r="DG469" s="434"/>
      <c r="DH469" s="434"/>
    </row>
    <row r="470" spans="111:112" x14ac:dyDescent="0.25">
      <c r="DG470" s="434"/>
      <c r="DH470" s="434"/>
    </row>
    <row r="471" spans="111:112" x14ac:dyDescent="0.25">
      <c r="DG471" s="434"/>
      <c r="DH471" s="434"/>
    </row>
    <row r="472" spans="111:112" x14ac:dyDescent="0.25">
      <c r="DG472" s="434"/>
      <c r="DH472" s="434"/>
    </row>
    <row r="473" spans="111:112" x14ac:dyDescent="0.25">
      <c r="DG473" s="434"/>
      <c r="DH473" s="434"/>
    </row>
    <row r="474" spans="111:112" x14ac:dyDescent="0.25">
      <c r="DG474" s="434"/>
      <c r="DH474" s="434"/>
    </row>
    <row r="475" spans="111:112" x14ac:dyDescent="0.25">
      <c r="DG475" s="434"/>
      <c r="DH475" s="434"/>
    </row>
    <row r="476" spans="111:112" x14ac:dyDescent="0.25">
      <c r="DG476" s="434"/>
      <c r="DH476" s="434"/>
    </row>
    <row r="477" spans="111:112" x14ac:dyDescent="0.25">
      <c r="DG477" s="434"/>
      <c r="DH477" s="434"/>
    </row>
    <row r="478" spans="111:112" x14ac:dyDescent="0.25">
      <c r="DG478" s="434"/>
      <c r="DH478" s="434"/>
    </row>
    <row r="479" spans="111:112" x14ac:dyDescent="0.25">
      <c r="DG479" s="434"/>
      <c r="DH479" s="434"/>
    </row>
    <row r="480" spans="111:112" x14ac:dyDescent="0.25">
      <c r="DG480" s="434"/>
      <c r="DH480" s="434"/>
    </row>
    <row r="481" spans="111:112" x14ac:dyDescent="0.25">
      <c r="DG481" s="434"/>
      <c r="DH481" s="434"/>
    </row>
    <row r="482" spans="111:112" x14ac:dyDescent="0.25">
      <c r="DG482" s="434"/>
      <c r="DH482" s="434"/>
    </row>
    <row r="483" spans="111:112" x14ac:dyDescent="0.25">
      <c r="DG483" s="434"/>
      <c r="DH483" s="434"/>
    </row>
    <row r="484" spans="111:112" x14ac:dyDescent="0.25">
      <c r="DG484" s="434"/>
      <c r="DH484" s="434"/>
    </row>
    <row r="485" spans="111:112" x14ac:dyDescent="0.25">
      <c r="DG485" s="434"/>
      <c r="DH485" s="434"/>
    </row>
    <row r="486" spans="111:112" x14ac:dyDescent="0.25">
      <c r="DG486" s="434"/>
      <c r="DH486" s="434"/>
    </row>
    <row r="487" spans="111:112" x14ac:dyDescent="0.25">
      <c r="DG487" s="434"/>
      <c r="DH487" s="434"/>
    </row>
    <row r="488" spans="111:112" x14ac:dyDescent="0.25">
      <c r="DG488" s="434"/>
      <c r="DH488" s="434"/>
    </row>
    <row r="489" spans="111:112" x14ac:dyDescent="0.25">
      <c r="DG489" s="434"/>
      <c r="DH489" s="434"/>
    </row>
    <row r="490" spans="111:112" x14ac:dyDescent="0.25">
      <c r="DG490" s="434"/>
      <c r="DH490" s="434"/>
    </row>
    <row r="491" spans="111:112" x14ac:dyDescent="0.25">
      <c r="DG491" s="434"/>
      <c r="DH491" s="434"/>
    </row>
    <row r="492" spans="111:112" x14ac:dyDescent="0.25">
      <c r="DG492" s="434"/>
      <c r="DH492" s="434"/>
    </row>
    <row r="493" spans="111:112" x14ac:dyDescent="0.25">
      <c r="DG493" s="434"/>
      <c r="DH493" s="434"/>
    </row>
    <row r="494" spans="111:112" x14ac:dyDescent="0.25">
      <c r="DG494" s="434"/>
      <c r="DH494" s="434"/>
    </row>
    <row r="495" spans="111:112" x14ac:dyDescent="0.25">
      <c r="DG495" s="434"/>
      <c r="DH495" s="434"/>
    </row>
    <row r="496" spans="111:112" x14ac:dyDescent="0.25">
      <c r="DG496" s="434"/>
      <c r="DH496" s="434"/>
    </row>
    <row r="497" spans="111:112" x14ac:dyDescent="0.25">
      <c r="DG497" s="434"/>
      <c r="DH497" s="434"/>
    </row>
    <row r="498" spans="111:112" x14ac:dyDescent="0.25">
      <c r="DG498" s="434"/>
      <c r="DH498" s="434"/>
    </row>
    <row r="499" spans="111:112" x14ac:dyDescent="0.25">
      <c r="DG499" s="434"/>
      <c r="DH499" s="434"/>
    </row>
    <row r="500" spans="111:112" x14ac:dyDescent="0.25">
      <c r="DG500" s="434"/>
      <c r="DH500" s="434"/>
    </row>
    <row r="501" spans="111:112" x14ac:dyDescent="0.25">
      <c r="DG501" s="434"/>
      <c r="DH501" s="434"/>
    </row>
    <row r="502" spans="111:112" x14ac:dyDescent="0.25">
      <c r="DG502" s="434"/>
      <c r="DH502" s="434"/>
    </row>
    <row r="503" spans="111:112" x14ac:dyDescent="0.25">
      <c r="DG503" s="434"/>
      <c r="DH503" s="434"/>
    </row>
    <row r="504" spans="111:112" x14ac:dyDescent="0.25">
      <c r="DG504" s="434"/>
      <c r="DH504" s="434"/>
    </row>
    <row r="505" spans="111:112" x14ac:dyDescent="0.25">
      <c r="DG505" s="434"/>
      <c r="DH505" s="434"/>
    </row>
    <row r="506" spans="111:112" x14ac:dyDescent="0.25">
      <c r="DG506" s="434"/>
      <c r="DH506" s="434"/>
    </row>
    <row r="507" spans="111:112" x14ac:dyDescent="0.25">
      <c r="DG507" s="434"/>
      <c r="DH507" s="434"/>
    </row>
    <row r="508" spans="111:112" x14ac:dyDescent="0.25">
      <c r="DG508" s="434"/>
      <c r="DH508" s="434"/>
    </row>
    <row r="509" spans="111:112" x14ac:dyDescent="0.25">
      <c r="DG509" s="434"/>
      <c r="DH509" s="434"/>
    </row>
    <row r="510" spans="111:112" x14ac:dyDescent="0.25">
      <c r="DG510" s="434"/>
      <c r="DH510" s="434"/>
    </row>
    <row r="511" spans="111:112" x14ac:dyDescent="0.25">
      <c r="DG511" s="434"/>
      <c r="DH511" s="434"/>
    </row>
    <row r="512" spans="111:112" x14ac:dyDescent="0.25">
      <c r="DG512" s="434"/>
      <c r="DH512" s="434"/>
    </row>
    <row r="513" spans="111:112" x14ac:dyDescent="0.25">
      <c r="DG513" s="434"/>
      <c r="DH513" s="434"/>
    </row>
    <row r="514" spans="111:112" x14ac:dyDescent="0.25">
      <c r="DG514" s="434"/>
      <c r="DH514" s="434"/>
    </row>
    <row r="515" spans="111:112" x14ac:dyDescent="0.25">
      <c r="DG515" s="434"/>
      <c r="DH515" s="434"/>
    </row>
    <row r="516" spans="111:112" x14ac:dyDescent="0.25">
      <c r="DG516" s="434"/>
      <c r="DH516" s="434"/>
    </row>
    <row r="517" spans="111:112" x14ac:dyDescent="0.25">
      <c r="DG517" s="434"/>
      <c r="DH517" s="434"/>
    </row>
    <row r="518" spans="111:112" x14ac:dyDescent="0.25">
      <c r="DG518" s="434"/>
      <c r="DH518" s="434"/>
    </row>
    <row r="519" spans="111:112" x14ac:dyDescent="0.25">
      <c r="DG519" s="434"/>
      <c r="DH519" s="434"/>
    </row>
    <row r="520" spans="111:112" x14ac:dyDescent="0.25">
      <c r="DG520" s="434"/>
      <c r="DH520" s="434"/>
    </row>
    <row r="521" spans="111:112" x14ac:dyDescent="0.25">
      <c r="DG521" s="434"/>
      <c r="DH521" s="434"/>
    </row>
    <row r="522" spans="111:112" x14ac:dyDescent="0.25">
      <c r="DG522" s="434"/>
      <c r="DH522" s="434"/>
    </row>
    <row r="523" spans="111:112" x14ac:dyDescent="0.25">
      <c r="DG523" s="434"/>
      <c r="DH523" s="434"/>
    </row>
    <row r="524" spans="111:112" x14ac:dyDescent="0.25">
      <c r="DG524" s="434"/>
      <c r="DH524" s="434"/>
    </row>
    <row r="525" spans="111:112" x14ac:dyDescent="0.25">
      <c r="DG525" s="434"/>
      <c r="DH525" s="434"/>
    </row>
    <row r="526" spans="111:112" x14ac:dyDescent="0.25">
      <c r="DG526" s="434"/>
      <c r="DH526" s="434"/>
    </row>
    <row r="527" spans="111:112" x14ac:dyDescent="0.25">
      <c r="DG527" s="434"/>
      <c r="DH527" s="434"/>
    </row>
    <row r="528" spans="111:112" x14ac:dyDescent="0.25">
      <c r="DG528" s="434"/>
      <c r="DH528" s="434"/>
    </row>
    <row r="529" spans="111:112" x14ac:dyDescent="0.25">
      <c r="DG529" s="434"/>
      <c r="DH529" s="434"/>
    </row>
    <row r="530" spans="111:112" x14ac:dyDescent="0.25">
      <c r="DG530" s="434"/>
      <c r="DH530" s="434"/>
    </row>
    <row r="531" spans="111:112" x14ac:dyDescent="0.25">
      <c r="DG531" s="434"/>
      <c r="DH531" s="434"/>
    </row>
    <row r="532" spans="111:112" x14ac:dyDescent="0.25">
      <c r="DG532" s="434"/>
      <c r="DH532" s="434"/>
    </row>
    <row r="533" spans="111:112" x14ac:dyDescent="0.25">
      <c r="DG533" s="434"/>
      <c r="DH533" s="434"/>
    </row>
    <row r="534" spans="111:112" x14ac:dyDescent="0.25">
      <c r="DG534" s="434"/>
      <c r="DH534" s="434"/>
    </row>
    <row r="535" spans="111:112" x14ac:dyDescent="0.25">
      <c r="DG535" s="434"/>
      <c r="DH535" s="434"/>
    </row>
    <row r="536" spans="111:112" x14ac:dyDescent="0.25">
      <c r="DG536" s="434"/>
      <c r="DH536" s="434"/>
    </row>
    <row r="537" spans="111:112" x14ac:dyDescent="0.25">
      <c r="DG537" s="434"/>
      <c r="DH537" s="434"/>
    </row>
    <row r="538" spans="111:112" x14ac:dyDescent="0.25">
      <c r="DG538" s="434"/>
      <c r="DH538" s="434"/>
    </row>
    <row r="539" spans="111:112" x14ac:dyDescent="0.25">
      <c r="DG539" s="434"/>
      <c r="DH539" s="434"/>
    </row>
    <row r="540" spans="111:112" x14ac:dyDescent="0.25">
      <c r="DG540" s="434"/>
      <c r="DH540" s="434"/>
    </row>
    <row r="541" spans="111:112" x14ac:dyDescent="0.25">
      <c r="DG541" s="434"/>
      <c r="DH541" s="434"/>
    </row>
    <row r="542" spans="111:112" x14ac:dyDescent="0.25">
      <c r="DG542" s="434"/>
      <c r="DH542" s="434"/>
    </row>
    <row r="543" spans="111:112" x14ac:dyDescent="0.25">
      <c r="DG543" s="434"/>
      <c r="DH543" s="434"/>
    </row>
    <row r="544" spans="111:112" x14ac:dyDescent="0.25">
      <c r="DG544" s="434"/>
      <c r="DH544" s="434"/>
    </row>
    <row r="545" spans="111:112" x14ac:dyDescent="0.25">
      <c r="DG545" s="434"/>
      <c r="DH545" s="434"/>
    </row>
    <row r="546" spans="111:112" x14ac:dyDescent="0.25">
      <c r="DG546" s="434"/>
      <c r="DH546" s="434"/>
    </row>
    <row r="547" spans="111:112" x14ac:dyDescent="0.25">
      <c r="DG547" s="434"/>
      <c r="DH547" s="434"/>
    </row>
    <row r="548" spans="111:112" x14ac:dyDescent="0.25">
      <c r="DG548" s="434"/>
      <c r="DH548" s="434"/>
    </row>
    <row r="549" spans="111:112" x14ac:dyDescent="0.25">
      <c r="DG549" s="434"/>
      <c r="DH549" s="434"/>
    </row>
    <row r="550" spans="111:112" x14ac:dyDescent="0.25">
      <c r="DG550" s="434"/>
      <c r="DH550" s="434"/>
    </row>
    <row r="551" spans="111:112" x14ac:dyDescent="0.25">
      <c r="DG551" s="434"/>
      <c r="DH551" s="434"/>
    </row>
    <row r="552" spans="111:112" x14ac:dyDescent="0.25">
      <c r="DG552" s="434"/>
      <c r="DH552" s="434"/>
    </row>
    <row r="553" spans="111:112" x14ac:dyDescent="0.25">
      <c r="DG553" s="434"/>
      <c r="DH553" s="434"/>
    </row>
    <row r="554" spans="111:112" x14ac:dyDescent="0.25">
      <c r="DG554" s="434"/>
      <c r="DH554" s="434"/>
    </row>
    <row r="555" spans="111:112" x14ac:dyDescent="0.25">
      <c r="DG555" s="434"/>
      <c r="DH555" s="434"/>
    </row>
    <row r="556" spans="111:112" x14ac:dyDescent="0.25">
      <c r="DG556" s="434"/>
      <c r="DH556" s="434"/>
    </row>
    <row r="557" spans="111:112" x14ac:dyDescent="0.25">
      <c r="DG557" s="434"/>
      <c r="DH557" s="434"/>
    </row>
    <row r="558" spans="111:112" x14ac:dyDescent="0.25">
      <c r="DG558" s="434"/>
      <c r="DH558" s="434"/>
    </row>
    <row r="559" spans="111:112" x14ac:dyDescent="0.25">
      <c r="DG559" s="434"/>
      <c r="DH559" s="434"/>
    </row>
    <row r="560" spans="111:112" x14ac:dyDescent="0.25">
      <c r="DG560" s="434"/>
      <c r="DH560" s="434"/>
    </row>
    <row r="561" spans="111:112" x14ac:dyDescent="0.25">
      <c r="DG561" s="434"/>
      <c r="DH561" s="434"/>
    </row>
    <row r="562" spans="111:112" x14ac:dyDescent="0.25">
      <c r="DG562" s="434"/>
      <c r="DH562" s="434"/>
    </row>
    <row r="563" spans="111:112" x14ac:dyDescent="0.25">
      <c r="DG563" s="434"/>
      <c r="DH563" s="434"/>
    </row>
    <row r="564" spans="111:112" x14ac:dyDescent="0.25">
      <c r="DG564" s="434"/>
      <c r="DH564" s="434"/>
    </row>
    <row r="565" spans="111:112" x14ac:dyDescent="0.25">
      <c r="DG565" s="434"/>
      <c r="DH565" s="434"/>
    </row>
    <row r="566" spans="111:112" x14ac:dyDescent="0.25">
      <c r="DG566" s="434"/>
      <c r="DH566" s="434"/>
    </row>
    <row r="567" spans="111:112" x14ac:dyDescent="0.25">
      <c r="DG567" s="434"/>
      <c r="DH567" s="434"/>
    </row>
    <row r="568" spans="111:112" x14ac:dyDescent="0.25">
      <c r="DG568" s="434"/>
      <c r="DH568" s="434"/>
    </row>
    <row r="569" spans="111:112" x14ac:dyDescent="0.25">
      <c r="DG569" s="434"/>
      <c r="DH569" s="434"/>
    </row>
    <row r="570" spans="111:112" x14ac:dyDescent="0.25">
      <c r="DG570" s="434"/>
      <c r="DH570" s="434"/>
    </row>
    <row r="571" spans="111:112" x14ac:dyDescent="0.25">
      <c r="DG571" s="434"/>
      <c r="DH571" s="434"/>
    </row>
    <row r="572" spans="111:112" x14ac:dyDescent="0.25">
      <c r="DG572" s="434"/>
      <c r="DH572" s="434"/>
    </row>
    <row r="573" spans="111:112" x14ac:dyDescent="0.25">
      <c r="DG573" s="434"/>
      <c r="DH573" s="434"/>
    </row>
    <row r="574" spans="111:112" x14ac:dyDescent="0.25">
      <c r="DG574" s="434"/>
      <c r="DH574" s="434"/>
    </row>
    <row r="575" spans="111:112" x14ac:dyDescent="0.25">
      <c r="DG575" s="434"/>
      <c r="DH575" s="434"/>
    </row>
    <row r="576" spans="111:112" x14ac:dyDescent="0.25">
      <c r="DG576" s="434"/>
      <c r="DH576" s="434"/>
    </row>
    <row r="577" spans="111:112" x14ac:dyDescent="0.25">
      <c r="DG577" s="434"/>
      <c r="DH577" s="434"/>
    </row>
    <row r="578" spans="111:112" x14ac:dyDescent="0.25">
      <c r="DG578" s="434"/>
      <c r="DH578" s="434"/>
    </row>
    <row r="579" spans="111:112" x14ac:dyDescent="0.25">
      <c r="DG579" s="434"/>
      <c r="DH579" s="434"/>
    </row>
    <row r="580" spans="111:112" x14ac:dyDescent="0.25">
      <c r="DG580" s="434"/>
      <c r="DH580" s="434"/>
    </row>
    <row r="581" spans="111:112" x14ac:dyDescent="0.25">
      <c r="DG581" s="434"/>
      <c r="DH581" s="434"/>
    </row>
    <row r="582" spans="111:112" x14ac:dyDescent="0.25">
      <c r="DG582" s="434"/>
      <c r="DH582" s="434"/>
    </row>
    <row r="583" spans="111:112" x14ac:dyDescent="0.25">
      <c r="DG583" s="434"/>
      <c r="DH583" s="434"/>
    </row>
    <row r="584" spans="111:112" x14ac:dyDescent="0.25">
      <c r="DG584" s="434"/>
      <c r="DH584" s="434"/>
    </row>
    <row r="585" spans="111:112" x14ac:dyDescent="0.25">
      <c r="DG585" s="434"/>
      <c r="DH585" s="434"/>
    </row>
    <row r="586" spans="111:112" x14ac:dyDescent="0.25">
      <c r="DG586" s="434"/>
      <c r="DH586" s="434"/>
    </row>
    <row r="587" spans="111:112" x14ac:dyDescent="0.25">
      <c r="DG587" s="434"/>
      <c r="DH587" s="434"/>
    </row>
    <row r="588" spans="111:112" x14ac:dyDescent="0.25">
      <c r="DG588" s="434"/>
      <c r="DH588" s="434"/>
    </row>
    <row r="589" spans="111:112" x14ac:dyDescent="0.25">
      <c r="DG589" s="434"/>
      <c r="DH589" s="434"/>
    </row>
    <row r="590" spans="111:112" x14ac:dyDescent="0.25">
      <c r="DG590" s="434"/>
      <c r="DH590" s="434"/>
    </row>
    <row r="591" spans="111:112" x14ac:dyDescent="0.25">
      <c r="DG591" s="434"/>
      <c r="DH591" s="434"/>
    </row>
    <row r="592" spans="111:112" x14ac:dyDescent="0.25">
      <c r="DG592" s="434"/>
      <c r="DH592" s="434"/>
    </row>
    <row r="593" spans="111:112" x14ac:dyDescent="0.25">
      <c r="DG593" s="434"/>
      <c r="DH593" s="434"/>
    </row>
    <row r="594" spans="111:112" x14ac:dyDescent="0.25">
      <c r="DG594" s="434"/>
      <c r="DH594" s="434"/>
    </row>
    <row r="595" spans="111:112" x14ac:dyDescent="0.25">
      <c r="DG595" s="434"/>
      <c r="DH595" s="434"/>
    </row>
    <row r="596" spans="111:112" x14ac:dyDescent="0.25">
      <c r="DG596" s="434"/>
      <c r="DH596" s="434"/>
    </row>
    <row r="597" spans="111:112" x14ac:dyDescent="0.25">
      <c r="DG597" s="434"/>
      <c r="DH597" s="434"/>
    </row>
    <row r="598" spans="111:112" x14ac:dyDescent="0.25">
      <c r="DG598" s="434"/>
      <c r="DH598" s="434"/>
    </row>
    <row r="599" spans="111:112" x14ac:dyDescent="0.25">
      <c r="DG599" s="434"/>
      <c r="DH599" s="434"/>
    </row>
    <row r="600" spans="111:112" x14ac:dyDescent="0.25">
      <c r="DG600" s="434"/>
      <c r="DH600" s="434"/>
    </row>
    <row r="601" spans="111:112" x14ac:dyDescent="0.25">
      <c r="DG601" s="434"/>
      <c r="DH601" s="434"/>
    </row>
    <row r="602" spans="111:112" x14ac:dyDescent="0.25">
      <c r="DG602" s="434"/>
      <c r="DH602" s="434"/>
    </row>
    <row r="603" spans="111:112" x14ac:dyDescent="0.25">
      <c r="DG603" s="434"/>
      <c r="DH603" s="434"/>
    </row>
    <row r="604" spans="111:112" x14ac:dyDescent="0.25">
      <c r="DG604" s="434"/>
      <c r="DH604" s="434"/>
    </row>
    <row r="605" spans="111:112" x14ac:dyDescent="0.25">
      <c r="DG605" s="434"/>
      <c r="DH605" s="434"/>
    </row>
    <row r="606" spans="111:112" x14ac:dyDescent="0.25">
      <c r="DG606" s="434"/>
      <c r="DH606" s="434"/>
    </row>
    <row r="607" spans="111:112" x14ac:dyDescent="0.25">
      <c r="DG607" s="434"/>
      <c r="DH607" s="434"/>
    </row>
    <row r="608" spans="111:112" x14ac:dyDescent="0.25">
      <c r="DG608" s="434"/>
      <c r="DH608" s="434"/>
    </row>
    <row r="609" spans="111:112" x14ac:dyDescent="0.25">
      <c r="DG609" s="434"/>
      <c r="DH609" s="434"/>
    </row>
    <row r="610" spans="111:112" x14ac:dyDescent="0.25">
      <c r="DG610" s="434"/>
      <c r="DH610" s="434"/>
    </row>
    <row r="611" spans="111:112" x14ac:dyDescent="0.25">
      <c r="DG611" s="434"/>
      <c r="DH611" s="434"/>
    </row>
    <row r="612" spans="111:112" x14ac:dyDescent="0.25">
      <c r="DG612" s="434"/>
      <c r="DH612" s="434"/>
    </row>
    <row r="613" spans="111:112" x14ac:dyDescent="0.25">
      <c r="DG613" s="434"/>
      <c r="DH613" s="434"/>
    </row>
    <row r="614" spans="111:112" x14ac:dyDescent="0.25">
      <c r="DG614" s="434"/>
      <c r="DH614" s="434"/>
    </row>
    <row r="615" spans="111:112" x14ac:dyDescent="0.25">
      <c r="DG615" s="434"/>
      <c r="DH615" s="434"/>
    </row>
    <row r="616" spans="111:112" x14ac:dyDescent="0.25">
      <c r="DG616" s="434"/>
      <c r="DH616" s="434"/>
    </row>
    <row r="617" spans="111:112" x14ac:dyDescent="0.25">
      <c r="DG617" s="434"/>
      <c r="DH617" s="434"/>
    </row>
    <row r="618" spans="111:112" x14ac:dyDescent="0.25">
      <c r="DG618" s="434"/>
      <c r="DH618" s="434"/>
    </row>
    <row r="619" spans="111:112" x14ac:dyDescent="0.25">
      <c r="DG619" s="434"/>
      <c r="DH619" s="434"/>
    </row>
    <row r="620" spans="111:112" x14ac:dyDescent="0.25">
      <c r="DG620" s="434"/>
      <c r="DH620" s="434"/>
    </row>
    <row r="621" spans="111:112" x14ac:dyDescent="0.25">
      <c r="DG621" s="434"/>
      <c r="DH621" s="434"/>
    </row>
    <row r="622" spans="111:112" x14ac:dyDescent="0.25">
      <c r="DG622" s="434"/>
      <c r="DH622" s="434"/>
    </row>
    <row r="623" spans="111:112" x14ac:dyDescent="0.25">
      <c r="DG623" s="434"/>
      <c r="DH623" s="434"/>
    </row>
    <row r="624" spans="111:112" x14ac:dyDescent="0.25">
      <c r="DG624" s="434"/>
      <c r="DH624" s="434"/>
    </row>
    <row r="625" spans="111:112" x14ac:dyDescent="0.25">
      <c r="DG625" s="434"/>
      <c r="DH625" s="434"/>
    </row>
    <row r="626" spans="111:112" x14ac:dyDescent="0.25">
      <c r="DG626" s="434"/>
      <c r="DH626" s="434"/>
    </row>
    <row r="627" spans="111:112" x14ac:dyDescent="0.25">
      <c r="DG627" s="434"/>
      <c r="DH627" s="434"/>
    </row>
    <row r="628" spans="111:112" x14ac:dyDescent="0.25">
      <c r="DG628" s="434"/>
      <c r="DH628" s="434"/>
    </row>
    <row r="629" spans="111:112" x14ac:dyDescent="0.25">
      <c r="DG629" s="434"/>
      <c r="DH629" s="434"/>
    </row>
    <row r="630" spans="111:112" x14ac:dyDescent="0.25">
      <c r="DG630" s="434"/>
      <c r="DH630" s="434"/>
    </row>
    <row r="631" spans="111:112" x14ac:dyDescent="0.25">
      <c r="DG631" s="434"/>
      <c r="DH631" s="434"/>
    </row>
    <row r="632" spans="111:112" x14ac:dyDescent="0.25">
      <c r="DG632" s="434"/>
      <c r="DH632" s="434"/>
    </row>
    <row r="633" spans="111:112" x14ac:dyDescent="0.25">
      <c r="DG633" s="434"/>
      <c r="DH633" s="434"/>
    </row>
    <row r="634" spans="111:112" x14ac:dyDescent="0.25">
      <c r="DG634" s="434"/>
      <c r="DH634" s="434"/>
    </row>
    <row r="635" spans="111:112" x14ac:dyDescent="0.25">
      <c r="DG635" s="434"/>
      <c r="DH635" s="434"/>
    </row>
    <row r="636" spans="111:112" x14ac:dyDescent="0.25">
      <c r="DG636" s="434"/>
      <c r="DH636" s="434"/>
    </row>
    <row r="637" spans="111:112" x14ac:dyDescent="0.25">
      <c r="DG637" s="434"/>
      <c r="DH637" s="434"/>
    </row>
    <row r="638" spans="111:112" x14ac:dyDescent="0.25">
      <c r="DG638" s="434"/>
      <c r="DH638" s="434"/>
    </row>
    <row r="639" spans="111:112" x14ac:dyDescent="0.25">
      <c r="DG639" s="434"/>
      <c r="DH639" s="434"/>
    </row>
    <row r="640" spans="111:112" x14ac:dyDescent="0.25">
      <c r="DG640" s="434"/>
      <c r="DH640" s="434"/>
    </row>
    <row r="641" spans="111:112" x14ac:dyDescent="0.25">
      <c r="DG641" s="434"/>
      <c r="DH641" s="434"/>
    </row>
    <row r="642" spans="111:112" x14ac:dyDescent="0.25">
      <c r="DG642" s="434"/>
      <c r="DH642" s="434"/>
    </row>
    <row r="643" spans="111:112" x14ac:dyDescent="0.25">
      <c r="DG643" s="434"/>
      <c r="DH643" s="434"/>
    </row>
    <row r="644" spans="111:112" x14ac:dyDescent="0.25">
      <c r="DG644" s="434"/>
      <c r="DH644" s="434"/>
    </row>
    <row r="645" spans="111:112" x14ac:dyDescent="0.25">
      <c r="DG645" s="434"/>
      <c r="DH645" s="434"/>
    </row>
    <row r="646" spans="111:112" x14ac:dyDescent="0.25">
      <c r="DG646" s="434"/>
      <c r="DH646" s="434"/>
    </row>
    <row r="647" spans="111:112" x14ac:dyDescent="0.25">
      <c r="DG647" s="434"/>
      <c r="DH647" s="434"/>
    </row>
    <row r="648" spans="111:112" x14ac:dyDescent="0.25">
      <c r="DG648" s="434"/>
      <c r="DH648" s="434"/>
    </row>
    <row r="649" spans="111:112" x14ac:dyDescent="0.25">
      <c r="DG649" s="434"/>
      <c r="DH649" s="434"/>
    </row>
    <row r="650" spans="111:112" x14ac:dyDescent="0.25">
      <c r="DG650" s="434"/>
      <c r="DH650" s="434"/>
    </row>
    <row r="651" spans="111:112" x14ac:dyDescent="0.25">
      <c r="DG651" s="434"/>
      <c r="DH651" s="434"/>
    </row>
    <row r="652" spans="111:112" x14ac:dyDescent="0.25">
      <c r="DG652" s="434"/>
      <c r="DH652" s="434"/>
    </row>
    <row r="653" spans="111:112" x14ac:dyDescent="0.25">
      <c r="DG653" s="434"/>
      <c r="DH653" s="434"/>
    </row>
    <row r="654" spans="111:112" x14ac:dyDescent="0.25">
      <c r="DG654" s="434"/>
      <c r="DH654" s="434"/>
    </row>
    <row r="655" spans="111:112" x14ac:dyDescent="0.25">
      <c r="DG655" s="434"/>
      <c r="DH655" s="434"/>
    </row>
    <row r="656" spans="111:112" x14ac:dyDescent="0.25">
      <c r="DG656" s="434"/>
      <c r="DH656" s="434"/>
    </row>
    <row r="657" spans="111:112" x14ac:dyDescent="0.25">
      <c r="DG657" s="434"/>
      <c r="DH657" s="434"/>
    </row>
    <row r="658" spans="111:112" x14ac:dyDescent="0.25">
      <c r="DG658" s="434"/>
      <c r="DH658" s="434"/>
    </row>
    <row r="659" spans="111:112" x14ac:dyDescent="0.25">
      <c r="DG659" s="434"/>
      <c r="DH659" s="434"/>
    </row>
    <row r="660" spans="111:112" x14ac:dyDescent="0.25">
      <c r="DG660" s="434"/>
      <c r="DH660" s="434"/>
    </row>
    <row r="661" spans="111:112" x14ac:dyDescent="0.25">
      <c r="DG661" s="434"/>
      <c r="DH661" s="434"/>
    </row>
    <row r="662" spans="111:112" x14ac:dyDescent="0.25">
      <c r="DG662" s="434"/>
      <c r="DH662" s="434"/>
    </row>
    <row r="663" spans="111:112" x14ac:dyDescent="0.25">
      <c r="DG663" s="434"/>
      <c r="DH663" s="434"/>
    </row>
    <row r="664" spans="111:112" x14ac:dyDescent="0.25">
      <c r="DG664" s="434"/>
      <c r="DH664" s="434"/>
    </row>
    <row r="665" spans="111:112" x14ac:dyDescent="0.25">
      <c r="DG665" s="434"/>
      <c r="DH665" s="434"/>
    </row>
    <row r="666" spans="111:112" x14ac:dyDescent="0.25">
      <c r="DG666" s="434"/>
      <c r="DH666" s="434"/>
    </row>
    <row r="667" spans="111:112" x14ac:dyDescent="0.25">
      <c r="DG667" s="434"/>
      <c r="DH667" s="434"/>
    </row>
    <row r="668" spans="111:112" x14ac:dyDescent="0.25">
      <c r="DG668" s="434"/>
      <c r="DH668" s="434"/>
    </row>
    <row r="669" spans="111:112" x14ac:dyDescent="0.25">
      <c r="DG669" s="434"/>
      <c r="DH669" s="434"/>
    </row>
    <row r="670" spans="111:112" x14ac:dyDescent="0.25">
      <c r="DG670" s="434"/>
      <c r="DH670" s="434"/>
    </row>
    <row r="671" spans="111:112" x14ac:dyDescent="0.25">
      <c r="DG671" s="434"/>
      <c r="DH671" s="434"/>
    </row>
    <row r="672" spans="111:112" x14ac:dyDescent="0.25">
      <c r="DG672" s="434"/>
      <c r="DH672" s="434"/>
    </row>
    <row r="673" spans="111:112" x14ac:dyDescent="0.25">
      <c r="DG673" s="434"/>
      <c r="DH673" s="434"/>
    </row>
    <row r="674" spans="111:112" x14ac:dyDescent="0.25">
      <c r="DG674" s="434"/>
      <c r="DH674" s="434"/>
    </row>
    <row r="675" spans="111:112" x14ac:dyDescent="0.25">
      <c r="DG675" s="434"/>
      <c r="DH675" s="434"/>
    </row>
    <row r="676" spans="111:112" x14ac:dyDescent="0.25">
      <c r="DG676" s="434"/>
      <c r="DH676" s="434"/>
    </row>
    <row r="677" spans="111:112" x14ac:dyDescent="0.25">
      <c r="DG677" s="434"/>
      <c r="DH677" s="434"/>
    </row>
    <row r="678" spans="111:112" x14ac:dyDescent="0.25">
      <c r="DG678" s="434"/>
      <c r="DH678" s="434"/>
    </row>
    <row r="679" spans="111:112" x14ac:dyDescent="0.25">
      <c r="DG679" s="434"/>
      <c r="DH679" s="434"/>
    </row>
    <row r="680" spans="111:112" x14ac:dyDescent="0.25">
      <c r="DG680" s="434"/>
      <c r="DH680" s="434"/>
    </row>
    <row r="681" spans="111:112" x14ac:dyDescent="0.25">
      <c r="DG681" s="434"/>
      <c r="DH681" s="434"/>
    </row>
    <row r="682" spans="111:112" x14ac:dyDescent="0.25">
      <c r="DG682" s="434"/>
      <c r="DH682" s="434"/>
    </row>
    <row r="683" spans="111:112" x14ac:dyDescent="0.25">
      <c r="DG683" s="434"/>
      <c r="DH683" s="434"/>
    </row>
    <row r="684" spans="111:112" x14ac:dyDescent="0.25">
      <c r="DG684" s="434"/>
      <c r="DH684" s="434"/>
    </row>
    <row r="685" spans="111:112" x14ac:dyDescent="0.25">
      <c r="DG685" s="434"/>
      <c r="DH685" s="434"/>
    </row>
    <row r="686" spans="111:112" x14ac:dyDescent="0.25">
      <c r="DG686" s="434"/>
      <c r="DH686" s="434"/>
    </row>
    <row r="687" spans="111:112" x14ac:dyDescent="0.25">
      <c r="DG687" s="434"/>
      <c r="DH687" s="434"/>
    </row>
    <row r="688" spans="111:112" x14ac:dyDescent="0.25">
      <c r="DG688" s="434"/>
      <c r="DH688" s="434"/>
    </row>
    <row r="689" spans="111:112" x14ac:dyDescent="0.25">
      <c r="DG689" s="434"/>
      <c r="DH689" s="434"/>
    </row>
    <row r="690" spans="111:112" x14ac:dyDescent="0.25">
      <c r="DG690" s="434"/>
      <c r="DH690" s="434"/>
    </row>
    <row r="691" spans="111:112" x14ac:dyDescent="0.25">
      <c r="DG691" s="434"/>
      <c r="DH691" s="434"/>
    </row>
    <row r="692" spans="111:112" x14ac:dyDescent="0.25">
      <c r="DG692" s="434"/>
      <c r="DH692" s="434"/>
    </row>
    <row r="693" spans="111:112" x14ac:dyDescent="0.25">
      <c r="DG693" s="434"/>
      <c r="DH693" s="434"/>
    </row>
    <row r="694" spans="111:112" x14ac:dyDescent="0.25">
      <c r="DG694" s="434"/>
      <c r="DH694" s="434"/>
    </row>
    <row r="695" spans="111:112" x14ac:dyDescent="0.25">
      <c r="DG695" s="434"/>
      <c r="DH695" s="434"/>
    </row>
    <row r="696" spans="111:112" x14ac:dyDescent="0.25">
      <c r="DG696" s="434"/>
      <c r="DH696" s="434"/>
    </row>
    <row r="697" spans="111:112" x14ac:dyDescent="0.25">
      <c r="DG697" s="434"/>
      <c r="DH697" s="434"/>
    </row>
    <row r="698" spans="111:112" x14ac:dyDescent="0.25">
      <c r="DG698" s="434"/>
      <c r="DH698" s="434"/>
    </row>
    <row r="699" spans="111:112" x14ac:dyDescent="0.25">
      <c r="DG699" s="434"/>
      <c r="DH699" s="434"/>
    </row>
    <row r="700" spans="111:112" x14ac:dyDescent="0.25">
      <c r="DG700" s="434"/>
      <c r="DH700" s="434"/>
    </row>
    <row r="701" spans="111:112" x14ac:dyDescent="0.25">
      <c r="DG701" s="434"/>
      <c r="DH701" s="434"/>
    </row>
    <row r="702" spans="111:112" x14ac:dyDescent="0.25">
      <c r="DG702" s="434"/>
      <c r="DH702" s="434"/>
    </row>
    <row r="703" spans="111:112" x14ac:dyDescent="0.25">
      <c r="DG703" s="434"/>
      <c r="DH703" s="434"/>
    </row>
    <row r="704" spans="111:112" x14ac:dyDescent="0.25">
      <c r="DG704" s="434"/>
      <c r="DH704" s="434"/>
    </row>
    <row r="705" spans="111:112" x14ac:dyDescent="0.25">
      <c r="DG705" s="434"/>
      <c r="DH705" s="434"/>
    </row>
    <row r="706" spans="111:112" x14ac:dyDescent="0.25">
      <c r="DG706" s="434"/>
      <c r="DH706" s="434"/>
    </row>
    <row r="707" spans="111:112" x14ac:dyDescent="0.25">
      <c r="DG707" s="434"/>
      <c r="DH707" s="434"/>
    </row>
    <row r="708" spans="111:112" x14ac:dyDescent="0.25">
      <c r="DG708" s="434"/>
      <c r="DH708" s="434"/>
    </row>
    <row r="709" spans="111:112" x14ac:dyDescent="0.25">
      <c r="DG709" s="434"/>
      <c r="DH709" s="434"/>
    </row>
    <row r="710" spans="111:112" x14ac:dyDescent="0.25">
      <c r="DG710" s="434"/>
      <c r="DH710" s="434"/>
    </row>
    <row r="711" spans="111:112" x14ac:dyDescent="0.25">
      <c r="DG711" s="434"/>
      <c r="DH711" s="434"/>
    </row>
    <row r="712" spans="111:112" x14ac:dyDescent="0.25">
      <c r="DG712" s="434"/>
      <c r="DH712" s="434"/>
    </row>
    <row r="713" spans="111:112" x14ac:dyDescent="0.25">
      <c r="DG713" s="434"/>
      <c r="DH713" s="434"/>
    </row>
    <row r="714" spans="111:112" x14ac:dyDescent="0.25">
      <c r="DG714" s="434"/>
      <c r="DH714" s="434"/>
    </row>
    <row r="715" spans="111:112" x14ac:dyDescent="0.25">
      <c r="DG715" s="434"/>
      <c r="DH715" s="434"/>
    </row>
    <row r="716" spans="111:112" x14ac:dyDescent="0.25">
      <c r="DG716" s="434"/>
      <c r="DH716" s="434"/>
    </row>
    <row r="717" spans="111:112" x14ac:dyDescent="0.25">
      <c r="DG717" s="434"/>
      <c r="DH717" s="434"/>
    </row>
    <row r="718" spans="111:112" x14ac:dyDescent="0.25">
      <c r="DG718" s="434"/>
      <c r="DH718" s="434"/>
    </row>
    <row r="719" spans="111:112" x14ac:dyDescent="0.25">
      <c r="DG719" s="434"/>
      <c r="DH719" s="434"/>
    </row>
    <row r="720" spans="111:112" x14ac:dyDescent="0.25">
      <c r="DG720" s="434"/>
      <c r="DH720" s="434"/>
    </row>
    <row r="721" spans="111:112" x14ac:dyDescent="0.25">
      <c r="DG721" s="434"/>
      <c r="DH721" s="434"/>
    </row>
    <row r="722" spans="111:112" x14ac:dyDescent="0.25">
      <c r="DG722" s="434"/>
      <c r="DH722" s="434"/>
    </row>
    <row r="723" spans="111:112" x14ac:dyDescent="0.25">
      <c r="DG723" s="434"/>
      <c r="DH723" s="434"/>
    </row>
    <row r="724" spans="111:112" x14ac:dyDescent="0.25">
      <c r="DG724" s="434"/>
      <c r="DH724" s="434"/>
    </row>
    <row r="725" spans="111:112" x14ac:dyDescent="0.25">
      <c r="DG725" s="434"/>
      <c r="DH725" s="434"/>
    </row>
    <row r="726" spans="111:112" x14ac:dyDescent="0.25">
      <c r="DG726" s="434"/>
      <c r="DH726" s="434"/>
    </row>
    <row r="727" spans="111:112" x14ac:dyDescent="0.25">
      <c r="DG727" s="434"/>
      <c r="DH727" s="434"/>
    </row>
    <row r="728" spans="111:112" x14ac:dyDescent="0.25">
      <c r="DG728" s="434"/>
      <c r="DH728" s="434"/>
    </row>
    <row r="729" spans="111:112" x14ac:dyDescent="0.25">
      <c r="DG729" s="434"/>
      <c r="DH729" s="434"/>
    </row>
    <row r="730" spans="111:112" x14ac:dyDescent="0.25">
      <c r="DG730" s="434"/>
      <c r="DH730" s="434"/>
    </row>
    <row r="731" spans="111:112" x14ac:dyDescent="0.25">
      <c r="DG731" s="434"/>
      <c r="DH731" s="434"/>
    </row>
    <row r="732" spans="111:112" x14ac:dyDescent="0.25">
      <c r="DG732" s="434"/>
      <c r="DH732" s="434"/>
    </row>
    <row r="733" spans="111:112" x14ac:dyDescent="0.25">
      <c r="DG733" s="434"/>
      <c r="DH733" s="434"/>
    </row>
    <row r="734" spans="111:112" x14ac:dyDescent="0.25">
      <c r="DG734" s="434"/>
      <c r="DH734" s="434"/>
    </row>
    <row r="735" spans="111:112" x14ac:dyDescent="0.25">
      <c r="DG735" s="434"/>
      <c r="DH735" s="434"/>
    </row>
    <row r="736" spans="111:112" x14ac:dyDescent="0.25">
      <c r="DG736" s="434"/>
      <c r="DH736" s="434"/>
    </row>
    <row r="737" spans="111:112" x14ac:dyDescent="0.25">
      <c r="DG737" s="434"/>
      <c r="DH737" s="434"/>
    </row>
    <row r="738" spans="111:112" x14ac:dyDescent="0.25">
      <c r="DG738" s="434"/>
      <c r="DH738" s="434"/>
    </row>
    <row r="739" spans="111:112" x14ac:dyDescent="0.25">
      <c r="DG739" s="434"/>
      <c r="DH739" s="434"/>
    </row>
    <row r="740" spans="111:112" x14ac:dyDescent="0.25">
      <c r="DG740" s="434"/>
      <c r="DH740" s="434"/>
    </row>
    <row r="741" spans="111:112" x14ac:dyDescent="0.25">
      <c r="DG741" s="434"/>
      <c r="DH741" s="434"/>
    </row>
    <row r="742" spans="111:112" x14ac:dyDescent="0.25">
      <c r="DG742" s="434"/>
      <c r="DH742" s="434"/>
    </row>
    <row r="743" spans="111:112" x14ac:dyDescent="0.25">
      <c r="DG743" s="434"/>
      <c r="DH743" s="434"/>
    </row>
    <row r="744" spans="111:112" x14ac:dyDescent="0.25">
      <c r="DG744" s="434"/>
      <c r="DH744" s="434"/>
    </row>
    <row r="745" spans="111:112" x14ac:dyDescent="0.25">
      <c r="DG745" s="434"/>
      <c r="DH745" s="434"/>
    </row>
    <row r="746" spans="111:112" x14ac:dyDescent="0.25">
      <c r="DG746" s="434"/>
      <c r="DH746" s="434"/>
    </row>
    <row r="747" spans="111:112" x14ac:dyDescent="0.25">
      <c r="DG747" s="434"/>
      <c r="DH747" s="434"/>
    </row>
    <row r="748" spans="111:112" x14ac:dyDescent="0.25">
      <c r="DG748" s="434"/>
      <c r="DH748" s="434"/>
    </row>
    <row r="749" spans="111:112" x14ac:dyDescent="0.25">
      <c r="DG749" s="434"/>
      <c r="DH749" s="434"/>
    </row>
    <row r="750" spans="111:112" x14ac:dyDescent="0.25">
      <c r="DG750" s="434"/>
      <c r="DH750" s="434"/>
    </row>
    <row r="751" spans="111:112" x14ac:dyDescent="0.25">
      <c r="DG751" s="434"/>
      <c r="DH751" s="434"/>
    </row>
    <row r="752" spans="111:112" x14ac:dyDescent="0.25">
      <c r="DG752" s="434"/>
      <c r="DH752" s="434"/>
    </row>
    <row r="753" spans="111:112" x14ac:dyDescent="0.25">
      <c r="DG753" s="434"/>
      <c r="DH753" s="434"/>
    </row>
    <row r="754" spans="111:112" x14ac:dyDescent="0.25">
      <c r="DG754" s="434"/>
      <c r="DH754" s="434"/>
    </row>
    <row r="755" spans="111:112" x14ac:dyDescent="0.25">
      <c r="DG755" s="434"/>
      <c r="DH755" s="434"/>
    </row>
    <row r="756" spans="111:112" x14ac:dyDescent="0.25">
      <c r="DG756" s="434"/>
      <c r="DH756" s="434"/>
    </row>
    <row r="757" spans="111:112" x14ac:dyDescent="0.25">
      <c r="DG757" s="434"/>
      <c r="DH757" s="434"/>
    </row>
    <row r="758" spans="111:112" x14ac:dyDescent="0.25">
      <c r="DG758" s="434"/>
      <c r="DH758" s="434"/>
    </row>
    <row r="759" spans="111:112" x14ac:dyDescent="0.25">
      <c r="DG759" s="434"/>
      <c r="DH759" s="434"/>
    </row>
    <row r="760" spans="111:112" x14ac:dyDescent="0.25">
      <c r="DG760" s="434"/>
      <c r="DH760" s="434"/>
    </row>
    <row r="761" spans="111:112" x14ac:dyDescent="0.25">
      <c r="DG761" s="434"/>
      <c r="DH761" s="434"/>
    </row>
    <row r="762" spans="111:112" x14ac:dyDescent="0.25">
      <c r="DG762" s="434"/>
      <c r="DH762" s="434"/>
    </row>
    <row r="763" spans="111:112" x14ac:dyDescent="0.25">
      <c r="DG763" s="434"/>
      <c r="DH763" s="434"/>
    </row>
    <row r="764" spans="111:112" x14ac:dyDescent="0.25">
      <c r="DG764" s="434"/>
      <c r="DH764" s="434"/>
    </row>
    <row r="765" spans="111:112" x14ac:dyDescent="0.25">
      <c r="DG765" s="434"/>
      <c r="DH765" s="434"/>
    </row>
    <row r="766" spans="111:112" x14ac:dyDescent="0.25">
      <c r="DG766" s="434"/>
      <c r="DH766" s="434"/>
    </row>
    <row r="767" spans="111:112" x14ac:dyDescent="0.25">
      <c r="DG767" s="434"/>
      <c r="DH767" s="434"/>
    </row>
    <row r="768" spans="111:112" x14ac:dyDescent="0.25">
      <c r="DG768" s="434"/>
      <c r="DH768" s="434"/>
    </row>
    <row r="769" spans="111:112" x14ac:dyDescent="0.25">
      <c r="DG769" s="434"/>
      <c r="DH769" s="434"/>
    </row>
    <row r="770" spans="111:112" x14ac:dyDescent="0.25">
      <c r="DG770" s="434"/>
      <c r="DH770" s="434"/>
    </row>
    <row r="771" spans="111:112" x14ac:dyDescent="0.25">
      <c r="DG771" s="434"/>
      <c r="DH771" s="434"/>
    </row>
    <row r="772" spans="111:112" x14ac:dyDescent="0.25">
      <c r="DG772" s="434"/>
      <c r="DH772" s="434"/>
    </row>
    <row r="773" spans="111:112" x14ac:dyDescent="0.25">
      <c r="DG773" s="434"/>
      <c r="DH773" s="434"/>
    </row>
    <row r="774" spans="111:112" x14ac:dyDescent="0.25">
      <c r="DG774" s="434"/>
      <c r="DH774" s="434"/>
    </row>
    <row r="775" spans="111:112" x14ac:dyDescent="0.25">
      <c r="DG775" s="434"/>
      <c r="DH775" s="434"/>
    </row>
    <row r="776" spans="111:112" x14ac:dyDescent="0.25">
      <c r="DG776" s="434"/>
      <c r="DH776" s="434"/>
    </row>
    <row r="777" spans="111:112" x14ac:dyDescent="0.25">
      <c r="DG777" s="434"/>
      <c r="DH777" s="434"/>
    </row>
    <row r="778" spans="111:112" x14ac:dyDescent="0.25">
      <c r="DG778" s="434"/>
      <c r="DH778" s="434"/>
    </row>
    <row r="779" spans="111:112" x14ac:dyDescent="0.25">
      <c r="DG779" s="434"/>
      <c r="DH779" s="434"/>
    </row>
    <row r="780" spans="111:112" x14ac:dyDescent="0.25">
      <c r="DG780" s="434"/>
      <c r="DH780" s="434"/>
    </row>
    <row r="781" spans="111:112" x14ac:dyDescent="0.25">
      <c r="DG781" s="434"/>
      <c r="DH781" s="434"/>
    </row>
    <row r="782" spans="111:112" x14ac:dyDescent="0.25">
      <c r="DG782" s="434"/>
      <c r="DH782" s="434"/>
    </row>
    <row r="783" spans="111:112" x14ac:dyDescent="0.25">
      <c r="DG783" s="434"/>
      <c r="DH783" s="434"/>
    </row>
    <row r="784" spans="111:112" x14ac:dyDescent="0.25">
      <c r="DG784" s="434"/>
      <c r="DH784" s="434"/>
    </row>
    <row r="785" spans="111:112" x14ac:dyDescent="0.25">
      <c r="DG785" s="434"/>
      <c r="DH785" s="434"/>
    </row>
    <row r="786" spans="111:112" x14ac:dyDescent="0.25">
      <c r="DG786" s="434"/>
      <c r="DH786" s="434"/>
    </row>
    <row r="787" spans="111:112" x14ac:dyDescent="0.25">
      <c r="DG787" s="434"/>
      <c r="DH787" s="434"/>
    </row>
    <row r="788" spans="111:112" x14ac:dyDescent="0.25">
      <c r="DG788" s="434"/>
      <c r="DH788" s="434"/>
    </row>
    <row r="789" spans="111:112" x14ac:dyDescent="0.25">
      <c r="DG789" s="434"/>
      <c r="DH789" s="434"/>
    </row>
    <row r="790" spans="111:112" x14ac:dyDescent="0.25">
      <c r="DG790" s="434"/>
      <c r="DH790" s="434"/>
    </row>
    <row r="791" spans="111:112" x14ac:dyDescent="0.25">
      <c r="DG791" s="434"/>
      <c r="DH791" s="434"/>
    </row>
    <row r="792" spans="111:112" x14ac:dyDescent="0.25">
      <c r="DG792" s="434"/>
      <c r="DH792" s="434"/>
    </row>
    <row r="793" spans="111:112" x14ac:dyDescent="0.25">
      <c r="DG793" s="434"/>
      <c r="DH793" s="434"/>
    </row>
    <row r="794" spans="111:112" x14ac:dyDescent="0.25">
      <c r="DG794" s="434"/>
      <c r="DH794" s="434"/>
    </row>
    <row r="795" spans="111:112" x14ac:dyDescent="0.25">
      <c r="DG795" s="434"/>
      <c r="DH795" s="434"/>
    </row>
    <row r="796" spans="111:112" x14ac:dyDescent="0.25">
      <c r="DG796" s="434"/>
      <c r="DH796" s="434"/>
    </row>
    <row r="797" spans="111:112" x14ac:dyDescent="0.25">
      <c r="DG797" s="434"/>
      <c r="DH797" s="434"/>
    </row>
    <row r="798" spans="111:112" x14ac:dyDescent="0.25">
      <c r="DG798" s="434"/>
      <c r="DH798" s="434"/>
    </row>
    <row r="799" spans="111:112" x14ac:dyDescent="0.25">
      <c r="DG799" s="434"/>
      <c r="DH799" s="434"/>
    </row>
    <row r="800" spans="111:112" x14ac:dyDescent="0.25">
      <c r="DG800" s="434"/>
      <c r="DH800" s="434"/>
    </row>
  </sheetData>
  <mergeCells count="6">
    <mergeCell ref="V2:AS2"/>
    <mergeCell ref="AT2:BT2"/>
    <mergeCell ref="BV2:CR2"/>
    <mergeCell ref="CS2:CV2"/>
    <mergeCell ref="CZ2:DE2"/>
    <mergeCell ref="CW2:CY2"/>
  </mergeCells>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04A2892-A17A-4544-A3B1-8C9BE010575D}">
  <sheetPr codeName="Sheet15"/>
  <dimension ref="A1:P23"/>
  <sheetViews>
    <sheetView workbookViewId="0">
      <selection activeCell="H9" sqref="H9"/>
    </sheetView>
  </sheetViews>
  <sheetFormatPr defaultRowHeight="15" x14ac:dyDescent="0.25"/>
  <cols>
    <col min="1" max="1" width="29.140625" bestFit="1" customWidth="1"/>
    <col min="2" max="2" width="21.7109375" bestFit="1" customWidth="1"/>
    <col min="3" max="6" width="35.28515625" customWidth="1"/>
    <col min="7" max="7" width="34.42578125" bestFit="1" customWidth="1"/>
    <col min="8" max="10" width="34.42578125" customWidth="1"/>
    <col min="14" max="14" width="26.42578125" bestFit="1" customWidth="1"/>
    <col min="15" max="15" width="47.140625" bestFit="1" customWidth="1"/>
  </cols>
  <sheetData>
    <row r="1" spans="1:16" x14ac:dyDescent="0.25">
      <c r="B1" s="470" t="s">
        <v>1423</v>
      </c>
      <c r="C1" s="471" t="s">
        <v>1424</v>
      </c>
      <c r="D1" s="471"/>
      <c r="E1" s="471"/>
      <c r="F1" s="480"/>
      <c r="H1" s="470" t="s">
        <v>1445</v>
      </c>
      <c r="I1" t="s">
        <v>1444</v>
      </c>
    </row>
    <row r="2" spans="1:16" x14ac:dyDescent="0.25">
      <c r="A2" s="472" t="s">
        <v>1425</v>
      </c>
      <c r="B2" t="s">
        <v>1426</v>
      </c>
      <c r="C2" t="s">
        <v>1483</v>
      </c>
      <c r="D2" t="s">
        <v>1479</v>
      </c>
      <c r="E2" t="s">
        <v>1473</v>
      </c>
      <c r="F2" t="s">
        <v>1422</v>
      </c>
      <c r="G2" t="s">
        <v>1393</v>
      </c>
      <c r="H2" s="472"/>
      <c r="I2" s="472"/>
      <c r="J2" s="472"/>
      <c r="N2" s="399" t="s">
        <v>1427</v>
      </c>
      <c r="O2" s="399" t="s">
        <v>1428</v>
      </c>
      <c r="P2" s="399" t="s">
        <v>1425</v>
      </c>
    </row>
    <row r="3" spans="1:16" x14ac:dyDescent="0.25">
      <c r="A3" s="472" t="s">
        <v>1436</v>
      </c>
      <c r="B3" s="473" t="s">
        <v>1436</v>
      </c>
      <c r="C3" s="473" t="s">
        <v>1440</v>
      </c>
      <c r="D3" s="473" t="s">
        <v>1440</v>
      </c>
      <c r="E3" s="473" t="s">
        <v>1440</v>
      </c>
      <c r="F3" s="473" t="s">
        <v>1440</v>
      </c>
      <c r="G3" s="473" t="s">
        <v>1440</v>
      </c>
      <c r="H3" s="473"/>
      <c r="I3" s="473"/>
      <c r="J3" s="473"/>
      <c r="N3" s="474" t="s">
        <v>1429</v>
      </c>
      <c r="O3" s="474" t="s">
        <v>1430</v>
      </c>
      <c r="P3" s="399"/>
    </row>
    <row r="4" spans="1:16" x14ac:dyDescent="0.25">
      <c r="A4" s="472" t="s">
        <v>1437</v>
      </c>
      <c r="B4" s="473" t="s">
        <v>1437</v>
      </c>
      <c r="C4" s="473" t="s">
        <v>1446</v>
      </c>
      <c r="D4" s="473" t="s">
        <v>1446</v>
      </c>
      <c r="E4" s="473" t="s">
        <v>1446</v>
      </c>
      <c r="F4" s="473" t="s">
        <v>1446</v>
      </c>
      <c r="G4" s="473" t="s">
        <v>1446</v>
      </c>
      <c r="H4" s="473"/>
      <c r="I4" s="473"/>
      <c r="J4" s="473"/>
      <c r="N4" s="474" t="s">
        <v>1431</v>
      </c>
      <c r="O4" s="474" t="s">
        <v>1432</v>
      </c>
      <c r="P4" s="399"/>
    </row>
    <row r="5" spans="1:16" x14ac:dyDescent="0.25">
      <c r="A5" s="472" t="s">
        <v>1394</v>
      </c>
      <c r="B5" s="473" t="s">
        <v>1442</v>
      </c>
      <c r="C5" s="473" t="s">
        <v>1443</v>
      </c>
      <c r="D5" s="473" t="s">
        <v>1443</v>
      </c>
      <c r="E5" s="473" t="s">
        <v>1443</v>
      </c>
      <c r="F5" s="473" t="s">
        <v>1443</v>
      </c>
      <c r="G5" s="473" t="s">
        <v>1443</v>
      </c>
      <c r="H5" s="473"/>
      <c r="I5" s="473"/>
      <c r="J5" s="473"/>
      <c r="N5" s="399" t="s">
        <v>1433</v>
      </c>
      <c r="O5" s="399" t="s">
        <v>7</v>
      </c>
      <c r="P5" s="399" t="s">
        <v>1434</v>
      </c>
    </row>
    <row r="6" spans="1:16" x14ac:dyDescent="0.25">
      <c r="A6" s="472" t="s">
        <v>1484</v>
      </c>
      <c r="B6" s="473" t="s">
        <v>1441</v>
      </c>
      <c r="C6" t="s">
        <v>1474</v>
      </c>
      <c r="D6" t="s">
        <v>1474</v>
      </c>
      <c r="E6" t="s">
        <v>1474</v>
      </c>
      <c r="F6" t="s">
        <v>1457</v>
      </c>
      <c r="G6" t="s">
        <v>1457</v>
      </c>
      <c r="N6" s="490" t="s">
        <v>1435</v>
      </c>
      <c r="O6" s="491"/>
      <c r="P6" s="492"/>
    </row>
    <row r="7" spans="1:16" x14ac:dyDescent="0.25">
      <c r="A7" s="472" t="s">
        <v>1485</v>
      </c>
      <c r="B7" s="473" t="s">
        <v>1441</v>
      </c>
      <c r="C7" t="s">
        <v>1486</v>
      </c>
      <c r="D7" t="s">
        <v>1486</v>
      </c>
      <c r="E7" t="s">
        <v>1486</v>
      </c>
      <c r="F7" t="s">
        <v>1487</v>
      </c>
      <c r="G7" t="s">
        <v>1487</v>
      </c>
      <c r="N7" s="493"/>
      <c r="O7" s="494"/>
      <c r="P7" s="495"/>
    </row>
    <row r="8" spans="1:16" x14ac:dyDescent="0.25">
      <c r="A8" s="472" t="s">
        <v>1488</v>
      </c>
      <c r="B8" s="473" t="s">
        <v>1441</v>
      </c>
      <c r="C8" t="s">
        <v>1475</v>
      </c>
      <c r="D8" t="s">
        <v>1475</v>
      </c>
      <c r="E8" t="s">
        <v>1475</v>
      </c>
      <c r="F8" t="s">
        <v>1458</v>
      </c>
      <c r="G8" t="s">
        <v>1458</v>
      </c>
      <c r="N8" s="493"/>
      <c r="O8" s="494"/>
      <c r="P8" s="495"/>
    </row>
    <row r="9" spans="1:16" x14ac:dyDescent="0.25">
      <c r="A9" s="472" t="s">
        <v>1489</v>
      </c>
      <c r="B9" s="473" t="s">
        <v>1441</v>
      </c>
      <c r="C9" t="s">
        <v>1476</v>
      </c>
      <c r="D9" t="s">
        <v>1476</v>
      </c>
      <c r="E9" t="s">
        <v>1476</v>
      </c>
      <c r="F9" t="s">
        <v>1459</v>
      </c>
      <c r="G9" t="s">
        <v>1459</v>
      </c>
      <c r="N9" s="493"/>
      <c r="O9" s="494"/>
      <c r="P9" s="495"/>
    </row>
    <row r="10" spans="1:16" x14ac:dyDescent="0.25">
      <c r="A10" s="472" t="s">
        <v>1490</v>
      </c>
      <c r="B10" s="473" t="s">
        <v>1441</v>
      </c>
      <c r="C10" t="s">
        <v>1477</v>
      </c>
      <c r="D10" t="s">
        <v>1477</v>
      </c>
      <c r="E10" t="s">
        <v>1477</v>
      </c>
      <c r="F10" t="s">
        <v>1460</v>
      </c>
      <c r="G10" t="s">
        <v>1460</v>
      </c>
      <c r="N10" s="496"/>
      <c r="O10" s="497"/>
      <c r="P10" s="498"/>
    </row>
    <row r="11" spans="1:16" x14ac:dyDescent="0.25">
      <c r="A11" s="472" t="s">
        <v>1438</v>
      </c>
      <c r="B11" s="473" t="s">
        <v>1441</v>
      </c>
      <c r="C11" t="s">
        <v>1491</v>
      </c>
      <c r="D11" t="s">
        <v>1491</v>
      </c>
      <c r="E11" t="s">
        <v>1491</v>
      </c>
      <c r="F11" t="s">
        <v>1492</v>
      </c>
      <c r="G11" t="s">
        <v>1492</v>
      </c>
    </row>
    <row r="12" spans="1:16" x14ac:dyDescent="0.25">
      <c r="A12" s="472" t="s">
        <v>1439</v>
      </c>
      <c r="B12" s="473" t="s">
        <v>1441</v>
      </c>
      <c r="C12" t="s">
        <v>1493</v>
      </c>
      <c r="D12" t="s">
        <v>1493</v>
      </c>
      <c r="E12" t="s">
        <v>1493</v>
      </c>
      <c r="F12" t="s">
        <v>1494</v>
      </c>
      <c r="G12" t="s">
        <v>1494</v>
      </c>
    </row>
    <row r="13" spans="1:16" x14ac:dyDescent="0.25">
      <c r="A13" s="472" t="s">
        <v>1495</v>
      </c>
      <c r="B13" s="473" t="s">
        <v>1441</v>
      </c>
      <c r="C13" s="473" t="s">
        <v>1496</v>
      </c>
      <c r="D13" s="473" t="s">
        <v>1496</v>
      </c>
      <c r="E13" s="473" t="s">
        <v>1496</v>
      </c>
      <c r="F13" s="473" t="s">
        <v>1497</v>
      </c>
      <c r="G13" s="473" t="s">
        <v>1497</v>
      </c>
    </row>
    <row r="14" spans="1:16" x14ac:dyDescent="0.25">
      <c r="A14" s="472" t="s">
        <v>1498</v>
      </c>
      <c r="B14" s="473" t="s">
        <v>1441</v>
      </c>
      <c r="C14" s="473" t="s">
        <v>1499</v>
      </c>
      <c r="D14" s="473" t="s">
        <v>1499</v>
      </c>
      <c r="E14" s="473" t="s">
        <v>1499</v>
      </c>
      <c r="F14" s="473" t="s">
        <v>1500</v>
      </c>
      <c r="G14" s="473" t="s">
        <v>1500</v>
      </c>
    </row>
    <row r="15" spans="1:16" x14ac:dyDescent="0.25">
      <c r="A15" s="472" t="s">
        <v>1447</v>
      </c>
      <c r="B15" t="s">
        <v>1442</v>
      </c>
      <c r="C15" t="s">
        <v>1450</v>
      </c>
      <c r="D15" t="s">
        <v>1450</v>
      </c>
      <c r="E15" t="s">
        <v>1450</v>
      </c>
      <c r="F15" t="s">
        <v>1450</v>
      </c>
      <c r="G15" t="s">
        <v>1450</v>
      </c>
    </row>
    <row r="16" spans="1:16" x14ac:dyDescent="0.25">
      <c r="A16" s="472" t="s">
        <v>1448</v>
      </c>
      <c r="B16" t="s">
        <v>1442</v>
      </c>
      <c r="C16" t="s">
        <v>1451</v>
      </c>
      <c r="D16" t="s">
        <v>1451</v>
      </c>
      <c r="E16" t="s">
        <v>1451</v>
      </c>
      <c r="F16" t="s">
        <v>1451</v>
      </c>
      <c r="G16" t="s">
        <v>1451</v>
      </c>
    </row>
    <row r="17" spans="1:7" x14ac:dyDescent="0.25">
      <c r="A17" s="472" t="s">
        <v>1449</v>
      </c>
      <c r="B17" t="s">
        <v>1442</v>
      </c>
      <c r="C17" t="s">
        <v>1452</v>
      </c>
      <c r="D17" t="s">
        <v>1452</v>
      </c>
      <c r="E17" t="s">
        <v>1452</v>
      </c>
      <c r="F17" t="s">
        <v>1452</v>
      </c>
      <c r="G17" t="s">
        <v>1452</v>
      </c>
    </row>
    <row r="18" spans="1:7" x14ac:dyDescent="0.25">
      <c r="A18" s="472" t="s">
        <v>1453</v>
      </c>
      <c r="B18" t="s">
        <v>1061</v>
      </c>
      <c r="C18" t="s">
        <v>1455</v>
      </c>
      <c r="D18" t="s">
        <v>1455</v>
      </c>
      <c r="E18" t="s">
        <v>1455</v>
      </c>
      <c r="F18" t="s">
        <v>1455</v>
      </c>
      <c r="G18" t="s">
        <v>1455</v>
      </c>
    </row>
    <row r="19" spans="1:7" x14ac:dyDescent="0.25">
      <c r="A19" s="472" t="s">
        <v>1454</v>
      </c>
      <c r="B19" t="s">
        <v>1061</v>
      </c>
      <c r="C19" s="472" t="s">
        <v>1456</v>
      </c>
      <c r="D19" s="472" t="s">
        <v>1456</v>
      </c>
      <c r="E19" s="472" t="s">
        <v>1456</v>
      </c>
      <c r="F19" s="472" t="s">
        <v>1456</v>
      </c>
      <c r="G19" s="472" t="s">
        <v>1456</v>
      </c>
    </row>
    <row r="20" spans="1:7" x14ac:dyDescent="0.25">
      <c r="A20" s="472" t="s">
        <v>1462</v>
      </c>
      <c r="B20" t="s">
        <v>1463</v>
      </c>
      <c r="C20" t="s">
        <v>1461</v>
      </c>
      <c r="D20" t="s">
        <v>1461</v>
      </c>
      <c r="E20" t="s">
        <v>1461</v>
      </c>
      <c r="F20" t="s">
        <v>1461</v>
      </c>
      <c r="G20" t="s">
        <v>1461</v>
      </c>
    </row>
    <row r="21" spans="1:7" x14ac:dyDescent="0.25">
      <c r="A21" s="472" t="s">
        <v>1464</v>
      </c>
      <c r="B21" t="s">
        <v>1442</v>
      </c>
      <c r="C21" t="s">
        <v>1467</v>
      </c>
      <c r="D21" t="s">
        <v>1467</v>
      </c>
      <c r="E21" t="s">
        <v>1467</v>
      </c>
      <c r="F21" t="s">
        <v>1467</v>
      </c>
      <c r="G21" t="s">
        <v>1467</v>
      </c>
    </row>
    <row r="22" spans="1:7" x14ac:dyDescent="0.25">
      <c r="A22" s="472" t="s">
        <v>1465</v>
      </c>
      <c r="B22" t="s">
        <v>1442</v>
      </c>
      <c r="C22" t="s">
        <v>1468</v>
      </c>
      <c r="D22" t="s">
        <v>1468</v>
      </c>
      <c r="E22" t="s">
        <v>1468</v>
      </c>
      <c r="F22" t="s">
        <v>1468</v>
      </c>
      <c r="G22" t="s">
        <v>1468</v>
      </c>
    </row>
    <row r="23" spans="1:7" x14ac:dyDescent="0.25">
      <c r="A23" s="472" t="s">
        <v>1466</v>
      </c>
      <c r="B23" t="s">
        <v>1442</v>
      </c>
      <c r="C23" t="s">
        <v>1469</v>
      </c>
      <c r="D23" t="s">
        <v>1469</v>
      </c>
      <c r="E23" t="s">
        <v>1469</v>
      </c>
      <c r="F23" t="s">
        <v>1469</v>
      </c>
      <c r="G23" t="s">
        <v>1469</v>
      </c>
    </row>
  </sheetData>
  <mergeCells count="1">
    <mergeCell ref="N6:P10"/>
  </mergeCells>
  <phoneticPr fontId="70" type="noConversion"/>
  <pageMargins left="0.7" right="0.7" top="0.75" bottom="0.75" header="0.3" footer="0.3"/>
  <tableParts count="1">
    <tablePart r:id="rId1"/>
  </tableParts>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5">
    <pageSetUpPr fitToPage="1"/>
  </sheetPr>
  <dimension ref="A1:AQ123"/>
  <sheetViews>
    <sheetView showGridLines="0" showRowColHeaders="0" zoomScaleNormal="100" workbookViewId="0">
      <selection activeCell="E8" sqref="E8:I8"/>
    </sheetView>
  </sheetViews>
  <sheetFormatPr defaultColWidth="0" defaultRowHeight="14.25" zeroHeight="1" x14ac:dyDescent="0.2"/>
  <cols>
    <col min="1" max="1" width="6.28515625" style="144" customWidth="1"/>
    <col min="2" max="5" width="4.7109375" style="139" customWidth="1"/>
    <col min="6" max="6" width="5.28515625" style="143" customWidth="1"/>
    <col min="7" max="17" width="4.7109375" style="139" customWidth="1"/>
    <col min="18" max="18" width="6.7109375" style="139" customWidth="1"/>
    <col min="19" max="19" width="6.28515625" style="139" customWidth="1"/>
    <col min="20" max="20" width="9.140625" style="438" hidden="1" customWidth="1"/>
    <col min="21" max="21" width="7.85546875" style="139" hidden="1" customWidth="1"/>
    <col min="22" max="22" width="52.140625" style="456" customWidth="1"/>
    <col min="23" max="23" width="35.28515625" style="140" hidden="1" customWidth="1"/>
    <col min="24" max="24" width="3.5703125" style="140" hidden="1" customWidth="1"/>
    <col min="25" max="26" width="35.28515625" style="140" hidden="1" customWidth="1"/>
    <col min="27" max="34" width="9.28515625" style="139" hidden="1" customWidth="1"/>
    <col min="35" max="35" width="16.5703125" style="141" hidden="1" customWidth="1"/>
    <col min="36" max="37" width="9.140625" style="141" hidden="1" customWidth="1"/>
    <col min="38" max="38" width="16.7109375" style="141" hidden="1" customWidth="1"/>
    <col min="39" max="43" width="9.140625" style="141" hidden="1" customWidth="1"/>
    <col min="44" max="16384" width="9.28515625" style="139" hidden="1"/>
  </cols>
  <sheetData>
    <row r="1" spans="1:26" ht="15" customHeight="1" x14ac:dyDescent="0.2">
      <c r="A1" s="466"/>
      <c r="B1" s="562" t="s">
        <v>303</v>
      </c>
      <c r="C1" s="562"/>
      <c r="D1" s="562"/>
      <c r="E1" s="562"/>
      <c r="F1" s="562"/>
      <c r="G1" s="562"/>
      <c r="H1" s="562"/>
      <c r="I1" s="562"/>
      <c r="J1" s="562"/>
      <c r="K1" s="562"/>
      <c r="L1" s="184"/>
      <c r="M1" s="184"/>
      <c r="N1" s="184"/>
      <c r="O1" s="190"/>
      <c r="P1" s="190"/>
      <c r="Q1" s="190"/>
      <c r="R1" s="190"/>
      <c r="S1" s="190"/>
      <c r="U1" s="114" t="b">
        <v>1</v>
      </c>
      <c r="V1" s="454" t="s">
        <v>1399</v>
      </c>
    </row>
    <row r="2" spans="1:26" ht="15" customHeight="1" x14ac:dyDescent="0.2">
      <c r="A2" s="466"/>
      <c r="B2" s="562"/>
      <c r="C2" s="562"/>
      <c r="D2" s="562"/>
      <c r="E2" s="562"/>
      <c r="F2" s="562"/>
      <c r="G2" s="562"/>
      <c r="H2" s="562"/>
      <c r="I2" s="562"/>
      <c r="J2" s="562"/>
      <c r="K2" s="562"/>
      <c r="L2" s="184"/>
      <c r="M2" s="184"/>
      <c r="N2" s="184"/>
      <c r="O2" s="190"/>
      <c r="P2" s="190"/>
      <c r="Q2" s="190"/>
      <c r="R2" s="190"/>
      <c r="S2" s="190"/>
      <c r="U2" s="139" t="b">
        <v>0</v>
      </c>
      <c r="V2" s="453"/>
    </row>
    <row r="3" spans="1:26" ht="15" customHeight="1" x14ac:dyDescent="0.2">
      <c r="A3" s="466"/>
      <c r="B3" s="197" t="str">
        <f>CONCATENATE(ReinType," Leg Reinforcement Tool")</f>
        <v>Split Pipe Leg Reinforcement Tool</v>
      </c>
      <c r="C3" s="184"/>
      <c r="D3" s="184"/>
      <c r="E3" s="184"/>
      <c r="F3" s="187"/>
      <c r="G3" s="198"/>
      <c r="H3" s="198"/>
      <c r="I3" s="198"/>
      <c r="J3" s="198"/>
      <c r="K3" s="198"/>
      <c r="L3" s="198"/>
      <c r="M3" s="190"/>
      <c r="N3" s="190"/>
      <c r="O3" s="190"/>
      <c r="P3" s="190"/>
      <c r="Q3" s="190"/>
      <c r="R3" s="190"/>
      <c r="S3" s="190"/>
      <c r="U3" s="139" t="b">
        <v>0</v>
      </c>
      <c r="V3" s="453"/>
    </row>
    <row r="4" spans="1:26" ht="15" customHeight="1" x14ac:dyDescent="0.2">
      <c r="A4" s="466"/>
      <c r="B4" s="523" t="s">
        <v>22</v>
      </c>
      <c r="C4" s="523"/>
      <c r="D4" s="523"/>
      <c r="E4" s="523"/>
      <c r="F4" s="523"/>
      <c r="G4" s="523"/>
      <c r="H4" s="523"/>
      <c r="I4" s="523"/>
      <c r="J4" s="184"/>
      <c r="K4" s="184"/>
      <c r="L4" s="184"/>
      <c r="M4" s="184"/>
      <c r="N4" s="184"/>
      <c r="O4" s="184"/>
      <c r="P4" s="184"/>
      <c r="Q4" s="184"/>
      <c r="R4" s="184"/>
      <c r="S4" s="184"/>
      <c r="U4" s="139" t="b">
        <v>0</v>
      </c>
      <c r="V4" s="453"/>
    </row>
    <row r="5" spans="1:26" ht="15" customHeight="1" x14ac:dyDescent="0.2">
      <c r="A5" s="466"/>
      <c r="B5" s="570" t="s">
        <v>23</v>
      </c>
      <c r="C5" s="570"/>
      <c r="D5" s="570"/>
      <c r="E5" s="572" t="str">
        <f>IF(BU_Import="","",BU_Import)</f>
        <v/>
      </c>
      <c r="F5" s="572"/>
      <c r="G5" s="572"/>
      <c r="H5" s="572"/>
      <c r="I5" s="572"/>
      <c r="J5" s="183"/>
      <c r="K5" s="184"/>
      <c r="L5" s="184"/>
      <c r="M5" s="184"/>
      <c r="N5" s="184"/>
      <c r="O5" s="183"/>
      <c r="P5" s="183"/>
      <c r="Q5" s="183"/>
      <c r="R5" s="183"/>
      <c r="S5" s="183"/>
      <c r="U5" s="114"/>
      <c r="V5" s="453"/>
    </row>
    <row r="6" spans="1:26" ht="15" customHeight="1" x14ac:dyDescent="0.25">
      <c r="A6" s="466"/>
      <c r="B6" s="570" t="s">
        <v>24</v>
      </c>
      <c r="C6" s="570"/>
      <c r="D6" s="570"/>
      <c r="E6" s="572" t="str">
        <f>IF(SiteName_Import="","",SiteName_Import)</f>
        <v/>
      </c>
      <c r="F6" s="572"/>
      <c r="G6" s="572"/>
      <c r="H6" s="572"/>
      <c r="I6" s="572"/>
      <c r="J6" s="183"/>
      <c r="K6" s="184"/>
      <c r="L6" s="184"/>
      <c r="M6" s="184"/>
      <c r="N6" s="184"/>
      <c r="O6" s="183"/>
      <c r="P6" s="183"/>
      <c r="Q6" s="183"/>
      <c r="R6" s="183"/>
      <c r="S6" s="183"/>
      <c r="U6" s="139" t="b">
        <f>IF(AND(ReinType&lt;&gt;"",TIA&lt;&gt;"",TowerTypeInput&lt;&gt;"",EndConnections&lt;&gt;"",LegCrushing&lt;&gt;"",AppliedLoad&lt;&gt;"",SlendernessRatioInput&lt;&gt;"",IntermediateConnectionType&lt;&gt;"",ai&lt;&gt;"",Dleg&lt;&gt;"",Tleg&lt;&gt;"",Gleg&lt;&gt;"",Lu_leg&lt;&gt;"",Diameter&lt;&gt;"",Trein&lt;&gt;"",Grein&lt;&gt;""),TRUE,FALSE)</f>
        <v>0</v>
      </c>
      <c r="V6" s="455"/>
    </row>
    <row r="7" spans="1:26" ht="15" customHeight="1" x14ac:dyDescent="0.2">
      <c r="A7" s="466"/>
      <c r="B7" s="571" t="s">
        <v>168</v>
      </c>
      <c r="C7" s="571"/>
      <c r="D7" s="571"/>
      <c r="E7" s="572" t="str">
        <f>IF(Order_Import="","",Order_Import)</f>
        <v/>
      </c>
      <c r="F7" s="572"/>
      <c r="G7" s="572"/>
      <c r="H7" s="572"/>
      <c r="I7" s="572"/>
      <c r="J7" s="183"/>
      <c r="K7" s="523" t="s">
        <v>296</v>
      </c>
      <c r="L7" s="523"/>
      <c r="M7" s="523"/>
      <c r="N7" s="523"/>
      <c r="O7" s="523"/>
      <c r="P7" s="523"/>
      <c r="Q7" s="523"/>
      <c r="R7" s="523"/>
      <c r="S7" s="183"/>
      <c r="U7" s="462"/>
      <c r="V7" s="453"/>
    </row>
    <row r="8" spans="1:26" ht="15" customHeight="1" x14ac:dyDescent="0.25">
      <c r="A8" s="466"/>
      <c r="B8" s="571" t="s">
        <v>127</v>
      </c>
      <c r="C8" s="571"/>
      <c r="D8" s="571"/>
      <c r="E8" s="573"/>
      <c r="F8" s="573"/>
      <c r="G8" s="573"/>
      <c r="H8" s="573"/>
      <c r="I8" s="573"/>
      <c r="J8" s="183"/>
      <c r="K8" s="563" t="s">
        <v>28</v>
      </c>
      <c r="L8" s="564"/>
      <c r="M8" s="564"/>
      <c r="N8" s="565"/>
      <c r="O8" s="566"/>
      <c r="P8" s="567"/>
      <c r="Q8" s="568" t="s">
        <v>5</v>
      </c>
      <c r="R8" s="569"/>
      <c r="S8" s="183"/>
      <c r="U8" s="462"/>
      <c r="V8" s="452"/>
    </row>
    <row r="9" spans="1:26" ht="15" hidden="1" customHeight="1" x14ac:dyDescent="0.2">
      <c r="A9" s="467"/>
      <c r="B9" s="353"/>
      <c r="C9" s="353"/>
      <c r="D9" s="353"/>
      <c r="E9" s="465"/>
      <c r="F9" s="465"/>
      <c r="G9" s="465"/>
      <c r="H9" s="465"/>
      <c r="I9" s="465"/>
      <c r="J9" s="356"/>
      <c r="K9" s="563" t="s">
        <v>1017</v>
      </c>
      <c r="L9" s="564"/>
      <c r="M9" s="564"/>
      <c r="N9" s="565"/>
      <c r="O9" s="566"/>
      <c r="P9" s="567"/>
      <c r="Q9" s="568" t="s">
        <v>5</v>
      </c>
      <c r="R9" s="569"/>
      <c r="S9" s="193"/>
      <c r="T9" s="439"/>
      <c r="V9" s="453"/>
      <c r="W9" s="349"/>
      <c r="X9" s="349"/>
      <c r="Y9" s="349"/>
      <c r="Z9" s="349"/>
    </row>
    <row r="10" spans="1:26" ht="15" customHeight="1" x14ac:dyDescent="0.2">
      <c r="A10" s="466"/>
      <c r="B10" s="184"/>
      <c r="C10" s="184"/>
      <c r="D10" s="184"/>
      <c r="E10" s="184"/>
      <c r="F10" s="187"/>
      <c r="G10" s="188"/>
      <c r="H10" s="189"/>
      <c r="I10" s="189"/>
      <c r="J10" s="183"/>
      <c r="K10" s="184"/>
      <c r="L10" s="184"/>
      <c r="M10" s="184"/>
      <c r="N10" s="184"/>
      <c r="O10" s="183"/>
      <c r="P10" s="183"/>
      <c r="Q10" s="183"/>
      <c r="R10" s="183"/>
      <c r="S10" s="183"/>
      <c r="V10" s="453"/>
    </row>
    <row r="11" spans="1:26" ht="15" customHeight="1" x14ac:dyDescent="0.25">
      <c r="A11" s="466"/>
      <c r="B11" s="523" t="s">
        <v>295</v>
      </c>
      <c r="C11" s="523"/>
      <c r="D11" s="523"/>
      <c r="E11" s="523"/>
      <c r="F11" s="523"/>
      <c r="G11" s="523"/>
      <c r="H11" s="523"/>
      <c r="I11" s="523"/>
      <c r="J11" s="183"/>
      <c r="K11" s="523" t="str">
        <f>IF(AND($G$15="H",$U$1=TRUE),"Ratings (per TIA-222-H Section 15.5)",IF(AND(OR(TIA="F",TIA="G"),$U$2=TRUE),"Ratings per Load Z Normalization","Ratings"))</f>
        <v>Ratings</v>
      </c>
      <c r="L11" s="523"/>
      <c r="M11" s="523"/>
      <c r="N11" s="523"/>
      <c r="O11" s="523"/>
      <c r="P11" s="523"/>
      <c r="Q11" s="523"/>
      <c r="R11" s="523"/>
      <c r="S11" s="183"/>
      <c r="T11" s="439"/>
      <c r="V11" s="452"/>
    </row>
    <row r="12" spans="1:26" ht="15" customHeight="1" x14ac:dyDescent="0.25">
      <c r="A12" s="466"/>
      <c r="B12" s="499" t="s">
        <v>92</v>
      </c>
      <c r="C12" s="499"/>
      <c r="D12" s="499"/>
      <c r="E12" s="499"/>
      <c r="F12" s="499"/>
      <c r="G12" s="499"/>
      <c r="H12" s="499"/>
      <c r="I12" s="499"/>
      <c r="J12" s="183"/>
      <c r="K12" s="503" t="s">
        <v>166</v>
      </c>
      <c r="L12" s="504"/>
      <c r="M12" s="505"/>
      <c r="N12" s="500" t="str">
        <f>IF(W70,"",IF(G15="H",IF('Rev. H'!E20="",'Rev. H'!E12,'Rev. H'!E20),IF(G15="G",IF('Rev. G'!E23="",'Rev. G'!E12,'Rev. G'!E23),'Rev. F'!E11)))</f>
        <v/>
      </c>
      <c r="O12" s="501"/>
      <c r="P12" s="501"/>
      <c r="Q12" s="501"/>
      <c r="R12" s="502"/>
      <c r="S12" s="183"/>
      <c r="V12" s="455"/>
    </row>
    <row r="13" spans="1:26" ht="15" x14ac:dyDescent="0.25">
      <c r="A13" s="466"/>
      <c r="B13" s="184"/>
      <c r="C13" s="184"/>
      <c r="D13" s="184"/>
      <c r="E13" s="184"/>
      <c r="F13" s="187"/>
      <c r="G13" s="184"/>
      <c r="H13" s="184"/>
      <c r="I13" s="184"/>
      <c r="J13" s="183"/>
      <c r="K13" s="522" t="s">
        <v>115</v>
      </c>
      <c r="L13" s="522"/>
      <c r="M13" s="522"/>
      <c r="N13" s="520" t="str">
        <f>IFERROR(MAX(IF(W70,"",IF(G15="H",IF(G20="Axial",'Rev. H'!D30/IF($U$1=TRUE,1.05,1),IF(A14,"-",'Rev. H'!D52/IF($U$1=TRUE,1.05,1))),IF(G15="G",IF(G20="Axial",'Rev. G'!D33*IF($U$2=TRUE,1/1.05,1),IF($A$14,"-",'Rev. G'!D55*IF($U$2=TRUE,1/1.05,1))),IF($G$20="Axial",'Rev. F'!D35*IF($U$2=TRUE,1/1.05,1),IF($A$14,"-",'Rev. F'!D53*IF($U$2=TRUE,1/1.05,1)))))),IF(AND(ConsiderLegLoadatTimeofMod="Yes",TowerTypeInput="Guyed"),MAX('Leg Load at Time of Mod'!$Q$123,'Leg Load at Time of Mod'!$Q$127,'Leg Load at Time of Mod'!$Q$131),0)),"")</f>
        <v/>
      </c>
      <c r="O13" s="520"/>
      <c r="P13" s="521" t="str">
        <f>IF($W$70=TRUE,"",IF(AND($G$15="H",$U$1=TRUE,N13&lt;=1),"Pass",IF(AND($G$15="H",$U$1=TRUE,N13&gt;1),"Fail",IF(AND(OR(TIA="F",TIA="G"),$U$2=TRUE),IF(N13&lt;=1,"Pass","Fail"),IF(N13&lt;=1,"Pass",IF(N13&lt;=1.05,"Acceptable","Fail"))))))</f>
        <v/>
      </c>
      <c r="Q13" s="521"/>
      <c r="R13" s="521"/>
      <c r="S13" s="183"/>
      <c r="V13" s="455"/>
    </row>
    <row r="14" spans="1:26" ht="15" customHeight="1" x14ac:dyDescent="0.2">
      <c r="A14" s="466" t="e">
        <f>IF(TIA="H",IF('Rev. H'!D30&gt;1,TRUE,FALSE),IF(TIA="G",IF('Rev. G'!D33&gt;1,TRUE,FALSE),IF('Rev. F'!D35&gt;1,TRUE,FALSE)))</f>
        <v>#DIV/0!</v>
      </c>
      <c r="B14" s="545" t="s">
        <v>147</v>
      </c>
      <c r="C14" s="546"/>
      <c r="D14" s="546"/>
      <c r="E14" s="546"/>
      <c r="F14" s="546"/>
      <c r="G14" s="546"/>
      <c r="H14" s="546"/>
      <c r="I14" s="547"/>
      <c r="J14" s="183"/>
      <c r="K14" s="524" t="s">
        <v>114</v>
      </c>
      <c r="L14" s="524"/>
      <c r="M14" s="524"/>
      <c r="N14" s="560" t="str">
        <f>IF(W70,"",IF(G15="H",'Rev. H'!D35/IF(U1=TRUE,1.05,1),IF(G15="G",'Rev. G'!D38,'Rev. F'!D41)))</f>
        <v/>
      </c>
      <c r="O14" s="560"/>
      <c r="P14" s="556" t="str">
        <f>IF($W$70=TRUE,"",IF(AND($G$15="H",$U$1=TRUE,N14&lt;=1),"Pass",IF(AND($G$15="H",$U$1=TRUE,N14&gt;1),"Fail",IF(N14&lt;=1,"Pass",IF(N14&lt;=1.05,"Acceptable","Fail")))))</f>
        <v/>
      </c>
      <c r="Q14" s="557"/>
      <c r="R14" s="558"/>
      <c r="S14" s="183"/>
      <c r="V14" s="453"/>
    </row>
    <row r="15" spans="1:26" ht="15" customHeight="1" x14ac:dyDescent="0.2">
      <c r="A15" s="466"/>
      <c r="B15" s="506" t="s">
        <v>133</v>
      </c>
      <c r="C15" s="507"/>
      <c r="D15" s="507"/>
      <c r="E15" s="507"/>
      <c r="F15" s="508"/>
      <c r="G15" s="509"/>
      <c r="H15" s="510"/>
      <c r="I15" s="511"/>
      <c r="J15" s="184"/>
      <c r="K15" s="559" t="s">
        <v>126</v>
      </c>
      <c r="L15" s="559"/>
      <c r="M15" s="559"/>
      <c r="N15" s="559"/>
      <c r="O15" s="559"/>
      <c r="P15" s="559"/>
      <c r="Q15" s="559"/>
      <c r="R15" s="559"/>
      <c r="S15" s="191"/>
      <c r="T15" s="439"/>
      <c r="V15" s="453"/>
    </row>
    <row r="16" spans="1:26" ht="15" customHeight="1" x14ac:dyDescent="0.2">
      <c r="A16" s="466"/>
      <c r="B16" s="506" t="s">
        <v>858</v>
      </c>
      <c r="C16" s="507"/>
      <c r="D16" s="507"/>
      <c r="E16" s="507"/>
      <c r="F16" s="508"/>
      <c r="G16" s="509"/>
      <c r="H16" s="510"/>
      <c r="I16" s="511"/>
      <c r="J16" s="184"/>
      <c r="K16" s="559"/>
      <c r="L16" s="559"/>
      <c r="M16" s="559"/>
      <c r="N16" s="559"/>
      <c r="O16" s="559"/>
      <c r="P16" s="559"/>
      <c r="Q16" s="559"/>
      <c r="R16" s="559"/>
      <c r="S16" s="192"/>
      <c r="V16" s="453"/>
    </row>
    <row r="17" spans="1:27" ht="23.25" customHeight="1" x14ac:dyDescent="0.2">
      <c r="A17" s="466"/>
      <c r="B17" s="579" t="s">
        <v>1054</v>
      </c>
      <c r="C17" s="580"/>
      <c r="D17" s="580"/>
      <c r="E17" s="580"/>
      <c r="F17" s="581"/>
      <c r="G17" s="509"/>
      <c r="H17" s="510"/>
      <c r="I17" s="511"/>
      <c r="J17" s="375"/>
      <c r="K17" s="523" t="s">
        <v>233</v>
      </c>
      <c r="L17" s="523"/>
      <c r="M17" s="523"/>
      <c r="N17" s="523"/>
      <c r="O17" s="523"/>
      <c r="P17" s="523"/>
      <c r="Q17" s="523"/>
      <c r="R17" s="523"/>
      <c r="S17" s="191"/>
      <c r="V17" s="453"/>
      <c r="AA17" s="160"/>
    </row>
    <row r="18" spans="1:27" ht="15" customHeight="1" x14ac:dyDescent="0.2">
      <c r="A18" s="466"/>
      <c r="B18" s="506" t="s">
        <v>285</v>
      </c>
      <c r="C18" s="507"/>
      <c r="D18" s="507"/>
      <c r="E18" s="507"/>
      <c r="F18" s="508"/>
      <c r="G18" s="509" t="s">
        <v>1401</v>
      </c>
      <c r="H18" s="510"/>
      <c r="I18" s="511"/>
      <c r="J18" s="191"/>
      <c r="K18" s="524" t="str">
        <f>IF($G$15&lt;&gt;"H","N/A","Apply TIA-222-H Section 15.5:")</f>
        <v>N/A</v>
      </c>
      <c r="L18" s="524"/>
      <c r="M18" s="524"/>
      <c r="N18" s="524"/>
      <c r="O18" s="524"/>
      <c r="P18" s="524"/>
      <c r="Q18" s="525"/>
      <c r="R18" s="525"/>
      <c r="S18" s="191"/>
      <c r="V18" s="453"/>
    </row>
    <row r="19" spans="1:27" ht="15" customHeight="1" x14ac:dyDescent="0.2">
      <c r="A19" s="466"/>
      <c r="B19" s="506" t="s">
        <v>108</v>
      </c>
      <c r="C19" s="507"/>
      <c r="D19" s="507"/>
      <c r="E19" s="507"/>
      <c r="F19" s="508"/>
      <c r="G19" s="509"/>
      <c r="H19" s="510"/>
      <c r="I19" s="511"/>
      <c r="J19" s="191"/>
      <c r="K19" s="524" t="str">
        <f>IF(OR(TIA="F",TIA="G"),"Load Z Normalization:","N/A")</f>
        <v>N/A</v>
      </c>
      <c r="L19" s="524"/>
      <c r="M19" s="524"/>
      <c r="N19" s="524"/>
      <c r="O19" s="524"/>
      <c r="P19" s="524"/>
      <c r="Q19" s="525"/>
      <c r="R19" s="525"/>
      <c r="S19" s="191"/>
      <c r="V19" s="453"/>
    </row>
    <row r="20" spans="1:27" ht="15" customHeight="1" x14ac:dyDescent="0.2">
      <c r="A20" s="466"/>
      <c r="B20" s="506" t="s">
        <v>110</v>
      </c>
      <c r="C20" s="507"/>
      <c r="D20" s="507"/>
      <c r="E20" s="507"/>
      <c r="F20" s="508"/>
      <c r="G20" s="509" t="s">
        <v>111</v>
      </c>
      <c r="H20" s="510"/>
      <c r="I20" s="511"/>
      <c r="J20" s="191"/>
      <c r="K20" s="191"/>
      <c r="L20" s="191"/>
      <c r="M20" s="191"/>
      <c r="N20" s="191"/>
      <c r="O20" s="184"/>
      <c r="P20" s="191"/>
      <c r="Q20" s="191"/>
      <c r="R20" s="191"/>
      <c r="S20" s="191"/>
      <c r="V20" s="453"/>
    </row>
    <row r="21" spans="1:27" ht="15" hidden="1" customHeight="1" x14ac:dyDescent="0.2">
      <c r="A21" s="466"/>
      <c r="B21" s="506" t="s">
        <v>167</v>
      </c>
      <c r="C21" s="507"/>
      <c r="D21" s="507"/>
      <c r="E21" s="507"/>
      <c r="F21" s="508"/>
      <c r="G21" s="509"/>
      <c r="H21" s="510"/>
      <c r="I21" s="511"/>
      <c r="J21" s="193"/>
      <c r="K21" s="194"/>
      <c r="L21" s="191"/>
      <c r="M21" s="195"/>
      <c r="N21" s="184"/>
      <c r="O21" s="191"/>
      <c r="P21" s="191"/>
      <c r="Q21" s="191"/>
      <c r="R21" s="191"/>
      <c r="S21" s="191"/>
      <c r="V21" s="453"/>
    </row>
    <row r="22" spans="1:27" ht="15" customHeight="1" x14ac:dyDescent="0.2">
      <c r="A22" s="466"/>
      <c r="B22" s="506" t="s">
        <v>113</v>
      </c>
      <c r="C22" s="507"/>
      <c r="D22" s="507"/>
      <c r="E22" s="507"/>
      <c r="F22" s="508"/>
      <c r="G22" s="509" t="s">
        <v>299</v>
      </c>
      <c r="H22" s="510"/>
      <c r="I22" s="511"/>
      <c r="J22" s="183"/>
      <c r="K22" s="183"/>
      <c r="L22" s="183"/>
      <c r="M22" s="183"/>
      <c r="N22" s="183"/>
      <c r="O22" s="183"/>
      <c r="P22" s="183"/>
      <c r="Q22" s="183"/>
      <c r="R22" s="183"/>
      <c r="S22" s="183"/>
      <c r="V22" s="453"/>
    </row>
    <row r="23" spans="1:27" ht="15" customHeight="1" x14ac:dyDescent="0.2">
      <c r="A23" s="466"/>
      <c r="B23" s="506" t="s">
        <v>109</v>
      </c>
      <c r="C23" s="507"/>
      <c r="D23" s="507"/>
      <c r="E23" s="507"/>
      <c r="F23" s="508"/>
      <c r="G23" s="509"/>
      <c r="H23" s="510"/>
      <c r="I23" s="511"/>
      <c r="J23" s="183"/>
      <c r="K23" s="183"/>
      <c r="L23" s="183"/>
      <c r="M23" s="183"/>
      <c r="N23" s="183"/>
      <c r="O23" s="183"/>
      <c r="P23" s="183"/>
      <c r="Q23" s="183"/>
      <c r="R23" s="183"/>
      <c r="S23" s="183"/>
      <c r="V23" s="453"/>
    </row>
    <row r="24" spans="1:27" ht="15" customHeight="1" x14ac:dyDescent="0.2">
      <c r="A24" s="466"/>
      <c r="B24" s="506" t="s">
        <v>116</v>
      </c>
      <c r="C24" s="507"/>
      <c r="D24" s="507"/>
      <c r="E24" s="507"/>
      <c r="F24" s="508"/>
      <c r="G24" s="518"/>
      <c r="H24" s="519"/>
      <c r="I24" s="182" t="s">
        <v>1</v>
      </c>
      <c r="J24" s="193"/>
      <c r="K24" s="183"/>
      <c r="L24" s="183"/>
      <c r="M24" s="183"/>
      <c r="N24" s="183"/>
      <c r="O24" s="183"/>
      <c r="P24" s="183"/>
      <c r="Q24" s="183"/>
      <c r="R24" s="183"/>
      <c r="S24" s="183"/>
      <c r="V24" s="453"/>
    </row>
    <row r="25" spans="1:27" x14ac:dyDescent="0.2">
      <c r="A25" s="467"/>
      <c r="B25" s="512" t="s">
        <v>1016</v>
      </c>
      <c r="C25" s="513"/>
      <c r="D25" s="513"/>
      <c r="E25" s="513"/>
      <c r="F25" s="514"/>
      <c r="G25" s="515"/>
      <c r="H25" s="516"/>
      <c r="I25" s="517"/>
      <c r="J25" s="193"/>
      <c r="K25" s="184"/>
      <c r="L25" s="184"/>
      <c r="M25" s="184"/>
      <c r="N25" s="184"/>
      <c r="O25" s="183"/>
      <c r="P25" s="183"/>
      <c r="Q25" s="183"/>
      <c r="R25" s="183"/>
      <c r="S25" s="183"/>
      <c r="V25" s="453"/>
    </row>
    <row r="26" spans="1:27" ht="15" customHeight="1" x14ac:dyDescent="0.2">
      <c r="A26" s="466"/>
      <c r="B26" s="184"/>
      <c r="C26" s="184"/>
      <c r="D26" s="184"/>
      <c r="E26" s="184"/>
      <c r="F26" s="187"/>
      <c r="G26" s="184"/>
      <c r="H26" s="184"/>
      <c r="I26" s="184"/>
      <c r="J26" s="183"/>
      <c r="K26" s="183"/>
      <c r="L26" s="183"/>
      <c r="M26" s="183"/>
      <c r="N26" s="183"/>
      <c r="O26" s="183"/>
      <c r="P26" s="183"/>
      <c r="Q26" s="183"/>
      <c r="R26" s="183"/>
      <c r="S26" s="183"/>
      <c r="V26" s="453"/>
    </row>
    <row r="27" spans="1:27" ht="15" customHeight="1" x14ac:dyDescent="0.2">
      <c r="A27" s="466"/>
      <c r="B27" s="545" t="s">
        <v>82</v>
      </c>
      <c r="C27" s="546"/>
      <c r="D27" s="546"/>
      <c r="E27" s="546"/>
      <c r="F27" s="546"/>
      <c r="G27" s="546"/>
      <c r="H27" s="546"/>
      <c r="I27" s="547"/>
      <c r="J27" s="183"/>
      <c r="K27" s="183"/>
      <c r="L27" s="183"/>
      <c r="M27" s="183"/>
      <c r="N27" s="183"/>
      <c r="O27" s="183"/>
      <c r="P27" s="183"/>
      <c r="Q27" s="183"/>
      <c r="R27" s="183"/>
      <c r="S27" s="183"/>
      <c r="V27" s="453"/>
    </row>
    <row r="28" spans="1:27" ht="15" customHeight="1" x14ac:dyDescent="0.2">
      <c r="A28" s="466"/>
      <c r="B28" s="529" t="s">
        <v>138</v>
      </c>
      <c r="C28" s="530"/>
      <c r="D28" s="530"/>
      <c r="E28" s="530"/>
      <c r="F28" s="531"/>
      <c r="G28" s="518"/>
      <c r="H28" s="519"/>
      <c r="I28" s="185" t="s">
        <v>1</v>
      </c>
      <c r="J28" s="183"/>
      <c r="K28" s="183"/>
      <c r="L28" s="183"/>
      <c r="M28" s="183"/>
      <c r="N28" s="183"/>
      <c r="O28" s="183"/>
      <c r="P28" s="183"/>
      <c r="Q28" s="183"/>
      <c r="R28" s="183"/>
      <c r="S28" s="183"/>
      <c r="V28" s="453"/>
    </row>
    <row r="29" spans="1:27" ht="15" customHeight="1" x14ac:dyDescent="0.2">
      <c r="A29" s="466"/>
      <c r="B29" s="529" t="s">
        <v>26</v>
      </c>
      <c r="C29" s="530"/>
      <c r="D29" s="530"/>
      <c r="E29" s="530"/>
      <c r="F29" s="531"/>
      <c r="G29" s="518"/>
      <c r="H29" s="519"/>
      <c r="I29" s="186" t="s">
        <v>1</v>
      </c>
      <c r="J29" s="183"/>
      <c r="K29" s="183"/>
      <c r="L29" s="183"/>
      <c r="M29" s="183"/>
      <c r="N29" s="183"/>
      <c r="O29" s="183"/>
      <c r="P29" s="183"/>
      <c r="Q29" s="183"/>
      <c r="R29" s="183"/>
      <c r="S29" s="183"/>
      <c r="V29" s="453"/>
    </row>
    <row r="30" spans="1:27" ht="14.25" customHeight="1" x14ac:dyDescent="0.2">
      <c r="A30" s="466"/>
      <c r="B30" s="529" t="s">
        <v>25</v>
      </c>
      <c r="C30" s="530"/>
      <c r="D30" s="530"/>
      <c r="E30" s="530"/>
      <c r="F30" s="531"/>
      <c r="G30" s="518"/>
      <c r="H30" s="519"/>
      <c r="I30" s="186" t="s">
        <v>0</v>
      </c>
      <c r="J30" s="196"/>
      <c r="K30" s="183"/>
      <c r="L30" s="183"/>
      <c r="M30" s="183"/>
      <c r="N30" s="183"/>
      <c r="O30" s="183"/>
      <c r="P30" s="183"/>
      <c r="Q30" s="183"/>
      <c r="R30" s="183"/>
      <c r="S30" s="183"/>
      <c r="V30" s="453"/>
    </row>
    <row r="31" spans="1:27" ht="15" customHeight="1" x14ac:dyDescent="0.2">
      <c r="A31" s="466"/>
      <c r="B31" s="529" t="s">
        <v>27</v>
      </c>
      <c r="C31" s="530"/>
      <c r="D31" s="530"/>
      <c r="E31" s="530"/>
      <c r="F31" s="531"/>
      <c r="G31" s="518"/>
      <c r="H31" s="519"/>
      <c r="I31" s="186" t="s">
        <v>1</v>
      </c>
      <c r="J31" s="183"/>
      <c r="K31" s="183"/>
      <c r="L31" s="183"/>
      <c r="M31" s="183"/>
      <c r="N31" s="183"/>
      <c r="O31" s="183"/>
      <c r="P31" s="183"/>
      <c r="Q31" s="183"/>
      <c r="R31" s="183"/>
      <c r="S31" s="183"/>
      <c r="V31" s="453"/>
    </row>
    <row r="32" spans="1:27" ht="15" customHeight="1" x14ac:dyDescent="0.2">
      <c r="A32" s="466"/>
      <c r="B32" s="184"/>
      <c r="C32" s="184"/>
      <c r="D32" s="184"/>
      <c r="E32" s="184"/>
      <c r="F32" s="187"/>
      <c r="G32" s="184"/>
      <c r="H32" s="184"/>
      <c r="I32" s="184"/>
      <c r="J32" s="184"/>
      <c r="K32" s="184"/>
      <c r="L32" s="184"/>
      <c r="M32" s="184"/>
      <c r="N32" s="184"/>
      <c r="O32" s="184"/>
      <c r="P32" s="184"/>
      <c r="Q32" s="184"/>
      <c r="R32" s="184"/>
      <c r="S32" s="183"/>
      <c r="V32" s="453"/>
    </row>
    <row r="33" spans="1:37" ht="15" customHeight="1" x14ac:dyDescent="0.2">
      <c r="A33" s="466" t="s">
        <v>257</v>
      </c>
      <c r="B33" s="537" t="str">
        <f>IFERROR(IF(ReinType="Split Pipe","Split Pipe Data",IF(ReinType="Form Fit",CONCATENATE("Form Fit Part # ",A33),"Reinforcement Data")),"Reinforcement Data")</f>
        <v>Split Pipe Data</v>
      </c>
      <c r="C33" s="538"/>
      <c r="D33" s="538"/>
      <c r="E33" s="538"/>
      <c r="F33" s="538"/>
      <c r="G33" s="538"/>
      <c r="H33" s="538"/>
      <c r="I33" s="538"/>
      <c r="J33" s="184"/>
      <c r="K33" s="184"/>
      <c r="L33" s="184"/>
      <c r="M33" s="184"/>
      <c r="N33" s="184"/>
      <c r="O33" s="184"/>
      <c r="P33" s="184"/>
      <c r="Q33" s="184"/>
      <c r="R33" s="184"/>
      <c r="S33" s="183"/>
      <c r="V33" s="453"/>
    </row>
    <row r="34" spans="1:37" ht="15" customHeight="1" x14ac:dyDescent="0.2">
      <c r="A34" s="466"/>
      <c r="B34" s="534" t="str">
        <f>IF(ReinType="Form Fit","Inside Width:","Outside Diameter:")</f>
        <v>Outside Diameter:</v>
      </c>
      <c r="C34" s="535"/>
      <c r="D34" s="535"/>
      <c r="E34" s="535"/>
      <c r="F34" s="536"/>
      <c r="G34" s="518"/>
      <c r="H34" s="519"/>
      <c r="I34" s="185" t="s">
        <v>1</v>
      </c>
      <c r="J34" s="184"/>
      <c r="K34" s="184"/>
      <c r="L34" s="184"/>
      <c r="M34" s="184"/>
      <c r="N34" s="184"/>
      <c r="O34" s="184"/>
      <c r="P34" s="184"/>
      <c r="Q34" s="184"/>
      <c r="R34" s="184"/>
      <c r="S34" s="183"/>
      <c r="V34" s="453"/>
      <c r="W34" s="349"/>
      <c r="X34" s="349"/>
      <c r="Y34" s="349"/>
      <c r="Z34" s="349"/>
    </row>
    <row r="35" spans="1:37" ht="15" customHeight="1" x14ac:dyDescent="0.2">
      <c r="A35" s="466"/>
      <c r="B35" s="529" t="s">
        <v>26</v>
      </c>
      <c r="C35" s="530"/>
      <c r="D35" s="530"/>
      <c r="E35" s="530"/>
      <c r="F35" s="531"/>
      <c r="G35" s="518"/>
      <c r="H35" s="519"/>
      <c r="I35" s="186" t="s">
        <v>1</v>
      </c>
      <c r="J35" s="184"/>
      <c r="K35" s="184"/>
      <c r="L35" s="184"/>
      <c r="M35" s="184"/>
      <c r="N35" s="184"/>
      <c r="O35" s="184"/>
      <c r="P35" s="184"/>
      <c r="Q35" s="184"/>
      <c r="R35" s="184"/>
      <c r="S35" s="183"/>
      <c r="V35" s="453"/>
      <c r="W35" s="349"/>
      <c r="X35" s="349"/>
      <c r="Y35" s="349"/>
      <c r="Z35" s="349"/>
    </row>
    <row r="36" spans="1:37" ht="15" customHeight="1" x14ac:dyDescent="0.2">
      <c r="A36" s="466"/>
      <c r="B36" s="529" t="s">
        <v>25</v>
      </c>
      <c r="C36" s="530"/>
      <c r="D36" s="530"/>
      <c r="E36" s="530"/>
      <c r="F36" s="531"/>
      <c r="G36" s="518"/>
      <c r="H36" s="519"/>
      <c r="I36" s="186" t="s">
        <v>0</v>
      </c>
      <c r="J36" s="184"/>
      <c r="K36" s="561" t="s">
        <v>1052</v>
      </c>
      <c r="L36" s="561"/>
      <c r="M36" s="561"/>
      <c r="N36" s="561"/>
      <c r="O36" s="561"/>
      <c r="P36" s="526" t="str">
        <f>IFERROR(IF(OR(AND(TIA="H",'Rev. H'!$G$29="Original Leg"),AND(TIA="G",'Rev. G'!$G$32="Original Leg"),AND(TIA="F",'Rev. F'!$G$33="Original Leg")),"Original Leg Controls",IFERROR(IF(TIA="H",'Rev. H'!$D$18,IF(TIA="G",'Rev. G'!$D$21,IF(TIA="F",'Rev. F'!$D$25,""))) / IF(ReinType="Split Pipe",IF(TIA="H",'Rev. H'!$O$5,IF(TIA="G",'Rev. G'!$O$5,IF(TIA="F",'Rev. F'!$P$5,""))),""),IF(ReinType="Form Fit",IF(TIA="H",'Rev. H'!$O$8,IF(TIA="G",'Rev. G'!$O$8,IF(TIA="F",'Rev. F'!$P$8,""))),""))),"")</f>
        <v/>
      </c>
      <c r="Q36" s="527"/>
      <c r="R36" s="528"/>
      <c r="S36" s="183"/>
      <c r="V36" s="453"/>
      <c r="W36" s="349"/>
      <c r="X36" s="349"/>
      <c r="Y36" s="349"/>
      <c r="Z36" s="349"/>
    </row>
    <row r="37" spans="1:37" ht="15" customHeight="1" x14ac:dyDescent="0.2">
      <c r="A37" s="466"/>
      <c r="B37" s="353"/>
      <c r="C37" s="353"/>
      <c r="D37" s="353"/>
      <c r="E37" s="353"/>
      <c r="F37" s="353"/>
      <c r="G37" s="184"/>
      <c r="H37" s="184"/>
      <c r="I37" s="354"/>
      <c r="J37" s="184"/>
      <c r="K37" s="184"/>
      <c r="L37" s="184"/>
      <c r="M37" s="184"/>
      <c r="N37" s="184"/>
      <c r="O37" s="184"/>
      <c r="P37" s="184"/>
      <c r="Q37" s="184"/>
      <c r="R37" s="184"/>
      <c r="S37" s="183"/>
      <c r="V37" s="453"/>
      <c r="W37" s="349"/>
      <c r="X37" s="349"/>
      <c r="Y37" s="349"/>
      <c r="Z37" s="349"/>
    </row>
    <row r="38" spans="1:37" ht="15" customHeight="1" x14ac:dyDescent="0.2">
      <c r="A38" s="466"/>
      <c r="B38" s="545" t="s">
        <v>297</v>
      </c>
      <c r="C38" s="546"/>
      <c r="D38" s="546"/>
      <c r="E38" s="546"/>
      <c r="F38" s="546"/>
      <c r="G38" s="546"/>
      <c r="H38" s="546"/>
      <c r="I38" s="546"/>
      <c r="J38" s="546"/>
      <c r="K38" s="546"/>
      <c r="L38" s="546"/>
      <c r="M38" s="546"/>
      <c r="N38" s="546"/>
      <c r="O38" s="546"/>
      <c r="P38" s="546"/>
      <c r="Q38" s="546"/>
      <c r="R38" s="547"/>
      <c r="S38" s="184"/>
      <c r="V38" s="453"/>
    </row>
    <row r="39" spans="1:37" ht="15.75" customHeight="1" x14ac:dyDescent="0.2">
      <c r="A39" s="466"/>
      <c r="B39" s="548" t="s">
        <v>144</v>
      </c>
      <c r="C39" s="549"/>
      <c r="D39" s="549"/>
      <c r="E39" s="549"/>
      <c r="F39" s="550"/>
      <c r="G39" s="532" t="str">
        <f>IF(W69,"",IF(ReinType="Form Fit",FFPtotArea,IF(ReinType="Split Pipe",Atot,"")))</f>
        <v/>
      </c>
      <c r="H39" s="533"/>
      <c r="I39" s="180" t="s">
        <v>145</v>
      </c>
      <c r="J39" s="181"/>
      <c r="K39" s="529" t="s">
        <v>146</v>
      </c>
      <c r="L39" s="530"/>
      <c r="M39" s="530"/>
      <c r="N39" s="530"/>
      <c r="O39" s="531"/>
      <c r="P39" s="532" t="str">
        <f>IF(W69,"",AF84)</f>
        <v/>
      </c>
      <c r="Q39" s="533"/>
      <c r="R39" s="180" t="s">
        <v>139</v>
      </c>
      <c r="S39" s="193"/>
      <c r="T39" s="440"/>
      <c r="V39" s="453"/>
    </row>
    <row r="40" spans="1:37" ht="15" customHeight="1" x14ac:dyDescent="0.2">
      <c r="A40" s="466"/>
      <c r="B40" s="548" t="s">
        <v>150</v>
      </c>
      <c r="C40" s="549"/>
      <c r="D40" s="549"/>
      <c r="E40" s="549"/>
      <c r="F40" s="550"/>
      <c r="G40" s="532" t="str">
        <f>IF(W69,"",IF(ReinType="Form Fit",ItotFFP,IF(ReinType="Split Pipe",Itot,"")))</f>
        <v/>
      </c>
      <c r="H40" s="533"/>
      <c r="I40" s="182" t="s">
        <v>139</v>
      </c>
      <c r="J40" s="183"/>
      <c r="K40" s="548" t="s">
        <v>151</v>
      </c>
      <c r="L40" s="549"/>
      <c r="M40" s="549"/>
      <c r="N40" s="549"/>
      <c r="O40" s="550"/>
      <c r="P40" s="532" t="str">
        <f>IF(W69,"",IF(ReinType="Split Pipe",AF94,IF(ReinType="Form Fit",Ilegf+FFPI,"")))</f>
        <v/>
      </c>
      <c r="Q40" s="533"/>
      <c r="R40" s="182" t="s">
        <v>139</v>
      </c>
      <c r="S40" s="184"/>
      <c r="T40" s="440"/>
      <c r="V40" s="453"/>
    </row>
    <row r="41" spans="1:37" ht="17.25" customHeight="1" x14ac:dyDescent="0.2">
      <c r="A41" s="466"/>
      <c r="B41" s="548" t="s">
        <v>149</v>
      </c>
      <c r="C41" s="549"/>
      <c r="D41" s="549"/>
      <c r="E41" s="549"/>
      <c r="F41" s="550"/>
      <c r="G41" s="532" t="str">
        <f>IF(W69,"",IF(ReinType="Form Fit",Ycf,IF(ReinType="Split Pipe",Yc,"")))</f>
        <v/>
      </c>
      <c r="H41" s="533"/>
      <c r="I41" s="182" t="s">
        <v>1</v>
      </c>
      <c r="J41" s="184"/>
      <c r="K41" s="551" t="s">
        <v>148</v>
      </c>
      <c r="L41" s="552"/>
      <c r="M41" s="552"/>
      <c r="N41" s="552"/>
      <c r="O41" s="553"/>
      <c r="P41" s="532" t="str">
        <f>IF(W69,"",PNA)</f>
        <v/>
      </c>
      <c r="Q41" s="533"/>
      <c r="R41" s="182" t="s">
        <v>1</v>
      </c>
      <c r="S41" s="184"/>
      <c r="T41" s="440"/>
      <c r="V41" s="453"/>
    </row>
    <row r="42" spans="1:37" ht="15" customHeight="1" x14ac:dyDescent="0.2">
      <c r="A42" s="466">
        <f>ROW()</f>
        <v>42</v>
      </c>
      <c r="B42" s="184"/>
      <c r="C42" s="184"/>
      <c r="D42" s="184"/>
      <c r="E42" s="184"/>
      <c r="F42" s="187"/>
      <c r="G42" s="184"/>
      <c r="H42" s="184"/>
      <c r="I42" s="184"/>
      <c r="J42" s="184"/>
      <c r="K42" s="184"/>
      <c r="L42" s="184"/>
      <c r="M42" s="184"/>
      <c r="N42" s="184"/>
      <c r="O42" s="184"/>
      <c r="P42" s="184"/>
      <c r="Q42" s="184"/>
      <c r="R42" s="184"/>
      <c r="S42" s="184"/>
      <c r="T42" s="440"/>
      <c r="V42" s="453"/>
    </row>
    <row r="43" spans="1:37" ht="17.25" hidden="1" customHeight="1" x14ac:dyDescent="0.25">
      <c r="A43" s="466">
        <f>IFERROR(IF(AND(ReinType="Split Pipe",TIA="H",G18&lt;&gt;"",G19&lt;&gt;"",G20&lt;&gt;"",G22&lt;&gt;"",G23&lt;&gt;"",G24&lt;&gt;"",G28&lt;&gt;"",G29&lt;&gt;"",G30&lt;&gt;"",G31&lt;&gt;"",G34&lt;&gt;"",G35&lt;&gt;"",G36&lt;&gt;""),1,0),0)</f>
        <v>0</v>
      </c>
      <c r="B43" s="554" t="s">
        <v>833</v>
      </c>
      <c r="C43" s="555"/>
      <c r="D43" s="555"/>
      <c r="E43" s="555"/>
      <c r="F43" s="555"/>
      <c r="G43" s="555"/>
      <c r="H43" s="555"/>
      <c r="I43" s="555"/>
      <c r="J43" s="555"/>
      <c r="K43" s="555"/>
      <c r="L43" s="310"/>
      <c r="M43" s="184"/>
      <c r="N43" s="184"/>
      <c r="O43" s="184"/>
      <c r="P43" s="184"/>
      <c r="Q43" s="184"/>
      <c r="R43" s="184"/>
      <c r="S43" s="193"/>
      <c r="T43" s="440"/>
      <c r="V43" s="453"/>
    </row>
    <row r="44" spans="1:37" ht="17.25" customHeight="1" x14ac:dyDescent="0.2">
      <c r="A44" s="466"/>
      <c r="B44" s="184"/>
      <c r="C44" s="184"/>
      <c r="D44" s="184"/>
      <c r="E44" s="184"/>
      <c r="F44" s="187"/>
      <c r="G44" s="311"/>
      <c r="H44" s="311"/>
      <c r="I44" s="311"/>
      <c r="J44" s="311"/>
      <c r="K44" s="184"/>
      <c r="L44" s="312"/>
      <c r="M44" s="311"/>
      <c r="N44" s="193"/>
      <c r="O44" s="193"/>
      <c r="P44" s="193"/>
      <c r="Q44" s="193"/>
      <c r="R44" s="193"/>
      <c r="S44" s="184"/>
      <c r="V44" s="453"/>
      <c r="AI44" s="141" t="s">
        <v>196</v>
      </c>
      <c r="AJ44" s="141" t="e">
        <f>AJ107+AM107</f>
        <v>#DIV/0!</v>
      </c>
      <c r="AK44" s="141" t="s">
        <v>191</v>
      </c>
    </row>
    <row r="45" spans="1:37" ht="15" customHeight="1" x14ac:dyDescent="0.2">
      <c r="A45" s="466"/>
      <c r="B45" s="184"/>
      <c r="C45" s="184"/>
      <c r="D45" s="184"/>
      <c r="E45" s="184"/>
      <c r="F45" s="187"/>
      <c r="G45" s="184"/>
      <c r="H45" s="184"/>
      <c r="I45" s="184"/>
      <c r="J45" s="184"/>
      <c r="K45" s="184"/>
      <c r="L45" s="184"/>
      <c r="M45" s="184"/>
      <c r="N45" s="184"/>
      <c r="O45" s="184"/>
      <c r="P45" s="184"/>
      <c r="Q45" s="184"/>
      <c r="R45" s="184"/>
      <c r="S45" s="184"/>
      <c r="V45" s="453"/>
    </row>
    <row r="46" spans="1:37" ht="15" hidden="1" customHeight="1" x14ac:dyDescent="0.2">
      <c r="A46" s="466"/>
      <c r="B46" s="184"/>
      <c r="C46" s="184"/>
      <c r="D46" s="184"/>
      <c r="E46" s="184"/>
      <c r="F46" s="187"/>
      <c r="G46" s="184"/>
      <c r="H46" s="184"/>
      <c r="I46" s="184"/>
      <c r="J46" s="184"/>
      <c r="K46" s="184"/>
      <c r="L46" s="184"/>
      <c r="M46" s="184"/>
      <c r="N46" s="184"/>
      <c r="O46" s="184"/>
      <c r="P46" s="184"/>
      <c r="Q46" s="184"/>
      <c r="R46" s="184"/>
      <c r="S46" s="184"/>
    </row>
    <row r="47" spans="1:37" ht="15" hidden="1" customHeight="1" x14ac:dyDescent="0.2">
      <c r="A47" s="466"/>
      <c r="B47" s="184"/>
      <c r="C47" s="184"/>
      <c r="D47" s="184"/>
      <c r="E47" s="184"/>
      <c r="F47" s="187"/>
      <c r="G47" s="184"/>
      <c r="H47" s="184"/>
      <c r="I47" s="184"/>
      <c r="J47" s="184"/>
      <c r="K47" s="184"/>
      <c r="L47" s="184"/>
      <c r="M47" s="184"/>
      <c r="N47" s="184"/>
      <c r="O47" s="184"/>
      <c r="P47" s="184"/>
      <c r="Q47" s="184"/>
      <c r="R47" s="184"/>
      <c r="S47" s="184"/>
    </row>
    <row r="48" spans="1:37" ht="14.25" hidden="1" customHeight="1" x14ac:dyDescent="0.2">
      <c r="A48" s="466"/>
      <c r="B48" s="184"/>
      <c r="C48" s="184"/>
      <c r="D48" s="184"/>
      <c r="E48" s="184"/>
      <c r="F48" s="187"/>
      <c r="G48" s="184"/>
      <c r="H48" s="184"/>
      <c r="I48" s="184"/>
      <c r="J48" s="184"/>
      <c r="K48" s="184"/>
      <c r="L48" s="184"/>
      <c r="M48" s="184"/>
      <c r="N48" s="184"/>
      <c r="O48" s="184"/>
      <c r="P48" s="184"/>
      <c r="Q48" s="184"/>
      <c r="R48" s="184"/>
      <c r="S48" s="184"/>
    </row>
    <row r="49" spans="1:19" ht="15" hidden="1" customHeight="1" x14ac:dyDescent="0.2">
      <c r="A49" s="466"/>
      <c r="B49" s="184"/>
      <c r="C49" s="184"/>
      <c r="D49" s="184"/>
      <c r="E49" s="184"/>
      <c r="F49" s="187"/>
      <c r="G49" s="184"/>
      <c r="H49" s="184"/>
      <c r="I49" s="184"/>
      <c r="J49" s="184"/>
      <c r="K49" s="184"/>
      <c r="L49" s="184"/>
      <c r="M49" s="184"/>
      <c r="N49" s="184"/>
      <c r="O49" s="184"/>
      <c r="P49" s="184"/>
      <c r="Q49" s="184"/>
      <c r="R49" s="184"/>
      <c r="S49" s="184"/>
    </row>
    <row r="50" spans="1:19" ht="15" hidden="1" customHeight="1" x14ac:dyDescent="0.2"/>
    <row r="51" spans="1:19" ht="15" hidden="1" customHeight="1" x14ac:dyDescent="0.2"/>
    <row r="52" spans="1:19" ht="15.75" hidden="1" customHeight="1" x14ac:dyDescent="0.2"/>
    <row r="53" spans="1:19" ht="14.25" hidden="1" customHeight="1" x14ac:dyDescent="0.2"/>
    <row r="54" spans="1:19" ht="15.75" hidden="1" customHeight="1" x14ac:dyDescent="0.2"/>
    <row r="55" spans="1:19" ht="15" hidden="1" customHeight="1" x14ac:dyDescent="0.2"/>
    <row r="56" spans="1:19" ht="15" hidden="1" customHeight="1" x14ac:dyDescent="0.2"/>
    <row r="57" spans="1:19" ht="15" hidden="1" customHeight="1" x14ac:dyDescent="0.2"/>
    <row r="58" spans="1:19" ht="15" hidden="1" customHeight="1" x14ac:dyDescent="0.2"/>
    <row r="59" spans="1:19" ht="15" hidden="1" customHeight="1" x14ac:dyDescent="0.2"/>
    <row r="60" spans="1:19" ht="15" hidden="1" customHeight="1" x14ac:dyDescent="0.2"/>
    <row r="61" spans="1:19" ht="15.75" hidden="1" customHeight="1" x14ac:dyDescent="0.2"/>
    <row r="69" spans="19:38" hidden="1" x14ac:dyDescent="0.2">
      <c r="S69" s="139">
        <v>5</v>
      </c>
      <c r="W69" s="140" t="b">
        <f>OR(Dleg="",Tleg="",Gleg="",Diameter="",Trein="",Grein="",)</f>
        <v>1</v>
      </c>
    </row>
    <row r="70" spans="19:38" hidden="1" x14ac:dyDescent="0.2">
      <c r="S70" s="139">
        <v>6</v>
      </c>
      <c r="U70" s="144"/>
      <c r="W70" s="140" t="b">
        <f>OR(ai="",Dleg="",Tleg="",Gleg="",Lu_leg="",Diameter="",Trein="",Grein="")</f>
        <v>1</v>
      </c>
      <c r="AI70" s="142" t="s">
        <v>231</v>
      </c>
    </row>
    <row r="71" spans="19:38" hidden="1" x14ac:dyDescent="0.2">
      <c r="S71" s="139">
        <v>7</v>
      </c>
      <c r="V71" s="456" t="s">
        <v>33</v>
      </c>
      <c r="W71" s="441" t="e">
        <f>Grein/Gleg</f>
        <v>#DIV/0!</v>
      </c>
      <c r="X71" s="147"/>
      <c r="Y71" s="145" t="s">
        <v>33</v>
      </c>
      <c r="Z71" s="146" t="e">
        <f>Grein/Gleg</f>
        <v>#DIV/0!</v>
      </c>
    </row>
    <row r="72" spans="19:38" hidden="1" x14ac:dyDescent="0.2">
      <c r="S72" s="139">
        <v>8</v>
      </c>
      <c r="U72" s="542" t="s">
        <v>169</v>
      </c>
      <c r="V72" s="457" t="s">
        <v>34</v>
      </c>
      <c r="W72" s="442">
        <f>Dleg/2</f>
        <v>0</v>
      </c>
      <c r="X72" s="576" t="s">
        <v>169</v>
      </c>
      <c r="Y72" s="149" t="s">
        <v>34</v>
      </c>
      <c r="Z72" s="148">
        <f>Rleg</f>
        <v>0</v>
      </c>
      <c r="AI72" s="141" t="s">
        <v>223</v>
      </c>
    </row>
    <row r="73" spans="19:38" hidden="1" x14ac:dyDescent="0.2">
      <c r="S73" s="139">
        <v>9</v>
      </c>
      <c r="U73" s="543"/>
      <c r="V73" s="457" t="s">
        <v>35</v>
      </c>
      <c r="W73" s="443">
        <f>Rleg-Tleg</f>
        <v>0</v>
      </c>
      <c r="X73" s="577"/>
      <c r="Y73" s="151" t="s">
        <v>35</v>
      </c>
      <c r="Z73" s="150">
        <f>Rleg-Tleg</f>
        <v>0</v>
      </c>
    </row>
    <row r="74" spans="19:38" hidden="1" x14ac:dyDescent="0.2">
      <c r="S74" s="139">
        <v>10</v>
      </c>
      <c r="U74" s="543"/>
      <c r="V74" s="458" t="s">
        <v>36</v>
      </c>
      <c r="W74" s="444">
        <f>Drein/2</f>
        <v>0</v>
      </c>
      <c r="X74" s="577"/>
      <c r="Y74" s="153" t="s">
        <v>36</v>
      </c>
      <c r="Z74" s="152">
        <f>Drein/2</f>
        <v>0</v>
      </c>
    </row>
    <row r="75" spans="19:38" hidden="1" x14ac:dyDescent="0.2">
      <c r="S75" s="139">
        <v>11</v>
      </c>
      <c r="U75" s="543"/>
      <c r="V75" s="458" t="s">
        <v>37</v>
      </c>
      <c r="W75" s="444">
        <f>W74-Trein</f>
        <v>0</v>
      </c>
      <c r="X75" s="577"/>
      <c r="Y75" s="153" t="s">
        <v>37</v>
      </c>
      <c r="Z75" s="152">
        <f>Z74-Trein</f>
        <v>0</v>
      </c>
      <c r="AI75" s="141" t="s">
        <v>182</v>
      </c>
    </row>
    <row r="76" spans="19:38" hidden="1" x14ac:dyDescent="0.2">
      <c r="S76" s="139">
        <v>12</v>
      </c>
      <c r="U76" s="543"/>
      <c r="V76" s="458" t="s">
        <v>38</v>
      </c>
      <c r="W76" s="444">
        <f>IF(Rreinin&lt;=Rleg,SQRT(Rleg^2-Rreinin^2),Rleg-Rreinin)</f>
        <v>0</v>
      </c>
      <c r="X76" s="577"/>
      <c r="Y76" s="154" t="s">
        <v>38</v>
      </c>
      <c r="Z76" s="152">
        <f>IF(Rreinin&lt;=Rleg,SQRT(Rleg^2-Rreinin^2),Rleg-Rreinin)</f>
        <v>0</v>
      </c>
      <c r="AI76" s="141" t="s">
        <v>170</v>
      </c>
      <c r="AJ76" s="141">
        <v>90</v>
      </c>
      <c r="AK76" s="141" t="s">
        <v>172</v>
      </c>
      <c r="AL76" s="141" t="s">
        <v>192</v>
      </c>
    </row>
    <row r="77" spans="19:38" hidden="1" x14ac:dyDescent="0.2">
      <c r="S77" s="139">
        <v>13</v>
      </c>
      <c r="U77" s="543"/>
      <c r="V77" s="457" t="s">
        <v>39</v>
      </c>
      <c r="W77" s="443">
        <f>PI()*((Rleg^2)-(Rlegin^2))</f>
        <v>0</v>
      </c>
      <c r="X77" s="577"/>
      <c r="Y77" s="151" t="s">
        <v>39</v>
      </c>
      <c r="Z77" s="150">
        <f>PI()*((rlegf^2)-(Rleginf^2))</f>
        <v>0</v>
      </c>
      <c r="AI77" s="141" t="s">
        <v>170</v>
      </c>
      <c r="AJ77" s="141">
        <f>RADIANS(AJ76)</f>
        <v>1.5707963267948966</v>
      </c>
      <c r="AK77" s="141" t="s">
        <v>174</v>
      </c>
    </row>
    <row r="78" spans="19:38" ht="16.5" hidden="1" x14ac:dyDescent="0.2">
      <c r="S78" s="139">
        <v>14</v>
      </c>
      <c r="U78" s="543"/>
      <c r="V78" s="459" t="s">
        <v>40</v>
      </c>
      <c r="W78" s="445">
        <f>AJ78</f>
        <v>0</v>
      </c>
      <c r="X78" s="577"/>
      <c r="Y78" s="156" t="s">
        <v>276</v>
      </c>
      <c r="Z78" s="199" t="e">
        <f t="array" ref="Z78">INDEX('Form Fit Reference'!$F$3:$F$35,MATCH(1,(Summary!$A$33='Form Fit Reference'!$C$3:$C$35)*(Diameter=RFF_Actual)*(Dleg='Form Fit Reference'!$A$3:$A$35)*(Trein='Form Fit Reference'!$L$3:$L$35),0))</f>
        <v>#N/A</v>
      </c>
      <c r="AI78" s="141" t="s">
        <v>171</v>
      </c>
      <c r="AJ78" s="141">
        <f>AJ77*Trein*(2*Rrein-Trein)</f>
        <v>0</v>
      </c>
      <c r="AK78" s="141" t="s">
        <v>175</v>
      </c>
    </row>
    <row r="79" spans="19:38" ht="16.5" hidden="1" x14ac:dyDescent="0.2">
      <c r="S79" s="139">
        <v>15</v>
      </c>
      <c r="U79" s="543"/>
      <c r="V79" s="460" t="s">
        <v>3</v>
      </c>
      <c r="W79" s="446">
        <f>Aleg+Arein</f>
        <v>0</v>
      </c>
      <c r="X79" s="577"/>
      <c r="Y79" s="158" t="s">
        <v>275</v>
      </c>
      <c r="Z79" s="159" t="e">
        <f>Aleg +Areinf</f>
        <v>#N/A</v>
      </c>
      <c r="AI79" s="141" t="s">
        <v>173</v>
      </c>
      <c r="AJ79" s="141" t="e">
        <f>Rrein^3*Trein*((1-3*Trein/(2*Rrein)+Trein^2/Rrein^2-Trein^3/(4*Rrein^3))*(AJ77+SIN(AJ77)*COS(AJ77)-2*SIN(AJ77)^2/AJ77)+Trein^2*SIN(AJ77)^2/(3*Rrein^2*AJ77*(2-Trein/Rrein))*(1-Trein/Rrein+Trein^2/(6*Rrein^2)))</f>
        <v>#DIV/0!</v>
      </c>
      <c r="AK79" s="141" t="s">
        <v>185</v>
      </c>
    </row>
    <row r="80" spans="19:38" ht="16.5" hidden="1" x14ac:dyDescent="0.2">
      <c r="S80" s="139">
        <v>16</v>
      </c>
      <c r="U80" s="543"/>
      <c r="V80" s="457" t="s">
        <v>41</v>
      </c>
      <c r="W80" s="443">
        <f>(PI()/4)*((Rleg^4)-(Rlegin^4))</f>
        <v>0</v>
      </c>
      <c r="X80" s="577"/>
      <c r="Y80" s="151" t="s">
        <v>41</v>
      </c>
      <c r="Z80" s="150">
        <f>(PI()/4)*((rlegf^4)-(Rleginf^4))</f>
        <v>0</v>
      </c>
      <c r="AI80" s="141" t="s">
        <v>198</v>
      </c>
      <c r="AJ80" s="141" t="e">
        <f>Rrein^3*Trein*(1-3*Trein/(2*Rrein)+Trein^2/Rrein^2-Trein^3/(4*Rrein^3))*(AJ77-SIN(AJ77)*COS(AJ77))</f>
        <v>#DIV/0!</v>
      </c>
      <c r="AK80" s="141" t="s">
        <v>185</v>
      </c>
    </row>
    <row r="81" spans="19:43" hidden="1" x14ac:dyDescent="0.2">
      <c r="S81" s="139">
        <v>17</v>
      </c>
      <c r="U81" s="543"/>
      <c r="V81" s="459" t="s">
        <v>42</v>
      </c>
      <c r="W81" s="445">
        <f>0.5*PI()*Rrein^2</f>
        <v>0</v>
      </c>
      <c r="X81" s="577"/>
      <c r="Y81" s="154" t="s">
        <v>48</v>
      </c>
      <c r="Z81" s="155" t="e">
        <f>INDEX('Form Fit Reference'!B3:P35,MATCH(Diameter,RFF_Actual,0),7)</f>
        <v>#N/A</v>
      </c>
      <c r="AI81" s="141" t="s">
        <v>176</v>
      </c>
      <c r="AJ81" s="141" t="e">
        <f>Rrein*(1-2*SIN(AJ77)/(3*AJ77)*(1-Trein/Rrein+1/(2-Trein/Rrein)))</f>
        <v>#DIV/0!</v>
      </c>
      <c r="AK81" s="141" t="s">
        <v>177</v>
      </c>
    </row>
    <row r="82" spans="19:43" hidden="1" x14ac:dyDescent="0.2">
      <c r="S82" s="139">
        <v>18</v>
      </c>
      <c r="U82" s="543"/>
      <c r="V82" s="460" t="s">
        <v>43</v>
      </c>
      <c r="W82" s="446">
        <f>(4*Rrein)/(3*PI())+Yoff</f>
        <v>0</v>
      </c>
      <c r="X82" s="577"/>
      <c r="Y82" s="154" t="s">
        <v>277</v>
      </c>
      <c r="Z82" s="155" t="e">
        <f>INDEX('Form Fit Reference'!B3:P35,MATCH(Diameter,RFF_Actual,0),9)</f>
        <v>#N/A</v>
      </c>
      <c r="AI82" s="141" t="s">
        <v>178</v>
      </c>
      <c r="AJ82" s="141" t="e">
        <f>Rrein-AJ81</f>
        <v>#DIV/0!</v>
      </c>
      <c r="AK82" s="141" t="s">
        <v>177</v>
      </c>
      <c r="AL82" s="141" t="s">
        <v>179</v>
      </c>
    </row>
    <row r="83" spans="19:43" ht="15" hidden="1" thickBot="1" x14ac:dyDescent="0.25">
      <c r="S83" s="139">
        <v>19</v>
      </c>
      <c r="U83" s="543"/>
      <c r="V83" s="459" t="s">
        <v>44</v>
      </c>
      <c r="W83" s="445">
        <f>0.5*PI()*Rreinin^2</f>
        <v>0</v>
      </c>
      <c r="X83" s="578"/>
      <c r="Y83" s="161" t="s">
        <v>278</v>
      </c>
      <c r="Z83" s="162" t="e">
        <f>INDEX('Form Fit Reference'!B3:P35,MATCH(Diameter,RFF_Actual,0),8)</f>
        <v>#N/A</v>
      </c>
      <c r="AI83" s="141" t="s">
        <v>178</v>
      </c>
      <c r="AJ83" s="141" t="e">
        <f>Rleg+Trein-AJ81</f>
        <v>#DIV/0!</v>
      </c>
      <c r="AK83" s="141" t="s">
        <v>177</v>
      </c>
      <c r="AL83" s="141" t="s">
        <v>181</v>
      </c>
    </row>
    <row r="84" spans="19:43" hidden="1" x14ac:dyDescent="0.2">
      <c r="S84" s="139">
        <v>20</v>
      </c>
      <c r="U84" s="543"/>
      <c r="V84" s="460" t="s">
        <v>45</v>
      </c>
      <c r="W84" s="446">
        <f>(4*Rreinin)/(3*PI())+Yoff</f>
        <v>0</v>
      </c>
      <c r="X84" s="576" t="s">
        <v>282</v>
      </c>
      <c r="Y84" s="163" t="s">
        <v>279</v>
      </c>
      <c r="Z84" s="164" t="e">
        <f>(((rlegf+Yreinf)*Areinf)+(rlegf*Alegf))/Atotf</f>
        <v>#N/A</v>
      </c>
      <c r="AB84" s="574" t="s">
        <v>143</v>
      </c>
      <c r="AC84" s="574"/>
      <c r="AD84" s="574"/>
      <c r="AE84" s="574"/>
      <c r="AF84" s="575">
        <f>Ileg*2</f>
        <v>0</v>
      </c>
      <c r="AG84" s="575"/>
      <c r="AI84" s="141" t="s">
        <v>180</v>
      </c>
      <c r="AJ84" s="141">
        <f>Yoff</f>
        <v>0</v>
      </c>
      <c r="AK84" s="141" t="s">
        <v>177</v>
      </c>
    </row>
    <row r="85" spans="19:43" hidden="1" x14ac:dyDescent="0.2">
      <c r="S85" s="139">
        <v>21</v>
      </c>
      <c r="U85" s="543"/>
      <c r="V85" s="460" t="s">
        <v>46</v>
      </c>
      <c r="W85" s="446">
        <f>((PI()/8)-(8/(9*PI())))*(Rrein^4)</f>
        <v>0</v>
      </c>
      <c r="X85" s="577"/>
      <c r="Y85" s="166" t="s">
        <v>50</v>
      </c>
      <c r="Z85" s="159">
        <f>IFERROR(Z84-rlegf,0)</f>
        <v>0</v>
      </c>
    </row>
    <row r="86" spans="19:43" hidden="1" x14ac:dyDescent="0.2">
      <c r="S86" s="139">
        <v>22</v>
      </c>
      <c r="U86" s="543"/>
      <c r="V86" s="460" t="s">
        <v>47</v>
      </c>
      <c r="W86" s="446">
        <f>((PI()/8)-(8/(9*PI())))*(Rreinin^4)</f>
        <v>0</v>
      </c>
      <c r="X86" s="577"/>
      <c r="Y86" s="167" t="s">
        <v>280</v>
      </c>
      <c r="Z86" s="157" t="e">
        <f>rlegf+Yreinf-Z84</f>
        <v>#N/A</v>
      </c>
      <c r="AI86" s="141" t="s">
        <v>50</v>
      </c>
      <c r="AJ86" s="141" t="e">
        <f>(Aleg*0+Arein*AJ83)/Atot</f>
        <v>#DIV/0!</v>
      </c>
      <c r="AK86" s="141" t="s">
        <v>177</v>
      </c>
    </row>
    <row r="87" spans="19:43" ht="17.25" hidden="1" thickBot="1" x14ac:dyDescent="0.25">
      <c r="S87" s="139">
        <v>23</v>
      </c>
      <c r="U87" s="543"/>
      <c r="V87" s="459" t="s">
        <v>48</v>
      </c>
      <c r="W87" s="445" t="e">
        <f>(Aouter*Youter-Ainner*Yinner)/(Arein)</f>
        <v>#DIV/0!</v>
      </c>
      <c r="X87" s="578"/>
      <c r="Y87" s="168" t="s">
        <v>281</v>
      </c>
      <c r="Z87" s="169" t="e">
        <f>Ilegf+(Alegf*(Ycf)^2)+Z83+(Areinf*(Z86)^2)</f>
        <v>#N/A</v>
      </c>
      <c r="AI87" s="141" t="s">
        <v>183</v>
      </c>
      <c r="AJ87" s="141" t="e">
        <f>Ileg+Aleg*AJ86^2+AJ79+AJ78*(AJ83-AJ86)^2</f>
        <v>#DIV/0!</v>
      </c>
      <c r="AK87" s="141" t="s">
        <v>185</v>
      </c>
    </row>
    <row r="88" spans="19:43" ht="17.25" hidden="1" thickBot="1" x14ac:dyDescent="0.25">
      <c r="S88" s="139">
        <v>24</v>
      </c>
      <c r="U88" s="544"/>
      <c r="V88" s="459" t="s">
        <v>49</v>
      </c>
      <c r="W88" s="447" t="e">
        <f>Iouter+Aouter*(Yrein-Youter)^2-Iinner-Ainner*(Yrein-Yinner)^2</f>
        <v>#DIV/0!</v>
      </c>
      <c r="Y88" s="171" t="s">
        <v>283</v>
      </c>
      <c r="Z88" s="172" t="e">
        <f>INDEX('Form Fit Reference'!$B$3:$L$35,MATCH(Diameter,RFF_Actual, 0),10)</f>
        <v>#N/A</v>
      </c>
      <c r="AI88" s="165" t="s">
        <v>197</v>
      </c>
      <c r="AJ88" s="165" t="e">
        <f>Ileg+AJ80</f>
        <v>#DIV/0!</v>
      </c>
      <c r="AK88" s="165" t="s">
        <v>226</v>
      </c>
      <c r="AL88" s="165"/>
      <c r="AM88" s="165"/>
      <c r="AN88" s="165"/>
      <c r="AO88" s="165"/>
      <c r="AP88" s="165"/>
      <c r="AQ88" s="165"/>
    </row>
    <row r="89" spans="19:43" ht="16.5" hidden="1" x14ac:dyDescent="0.2">
      <c r="S89" s="139">
        <v>25</v>
      </c>
      <c r="V89" s="460" t="s">
        <v>50</v>
      </c>
      <c r="W89" s="448">
        <f>IF(W69,0,(Arein*Yrein)/Atot)</f>
        <v>0</v>
      </c>
      <c r="Z89" s="173"/>
      <c r="AI89" s="165" t="s">
        <v>199</v>
      </c>
      <c r="AJ89" s="165" t="e">
        <f>AJ87+AJ88</f>
        <v>#DIV/0!</v>
      </c>
      <c r="AK89" s="165" t="s">
        <v>226</v>
      </c>
      <c r="AL89" s="165"/>
      <c r="AM89" s="165"/>
      <c r="AN89" s="165"/>
      <c r="AO89" s="165"/>
      <c r="AP89" s="165"/>
      <c r="AQ89" s="165"/>
    </row>
    <row r="90" spans="19:43" hidden="1" x14ac:dyDescent="0.2">
      <c r="S90" s="139">
        <v>26</v>
      </c>
      <c r="V90" s="460" t="s">
        <v>140</v>
      </c>
      <c r="W90" s="448" t="e">
        <f>Ileg+Aleg*(Yc)^2+Irein+Arein*(Yrein-Yc)^2</f>
        <v>#DIV/0!</v>
      </c>
      <c r="X90" s="174"/>
      <c r="Y90" s="175"/>
      <c r="Z90" s="176"/>
      <c r="AI90" s="165"/>
      <c r="AJ90" s="165"/>
      <c r="AK90" s="165"/>
      <c r="AL90" s="165"/>
      <c r="AM90" s="165"/>
      <c r="AN90" s="165"/>
      <c r="AO90" s="165"/>
      <c r="AP90" s="165"/>
      <c r="AQ90" s="165"/>
    </row>
    <row r="91" spans="19:43" ht="15" hidden="1" x14ac:dyDescent="0.25">
      <c r="S91" s="139">
        <v>27</v>
      </c>
      <c r="V91" s="460" t="s">
        <v>51</v>
      </c>
      <c r="W91" s="441">
        <v>0.39166548416202462</v>
      </c>
      <c r="X91" s="177"/>
      <c r="Y91" s="178"/>
      <c r="Z91" s="176"/>
      <c r="AI91" s="170" t="s">
        <v>51</v>
      </c>
      <c r="AJ91" s="165"/>
      <c r="AK91" s="165"/>
      <c r="AL91" s="165"/>
      <c r="AM91" s="165"/>
      <c r="AN91" s="165"/>
      <c r="AO91" s="165"/>
      <c r="AP91" s="165"/>
      <c r="AQ91" s="165"/>
    </row>
    <row r="92" spans="19:43" ht="16.5" hidden="1" x14ac:dyDescent="0.2">
      <c r="S92" s="139">
        <v>28</v>
      </c>
      <c r="U92" s="542" t="s">
        <v>84</v>
      </c>
      <c r="V92" s="457" t="s">
        <v>52</v>
      </c>
      <c r="W92" s="442">
        <f>IF(PNA&gt;Rleg,0,2*SQRT(Rleg^2-PNA^2))</f>
        <v>0</v>
      </c>
      <c r="X92" s="179"/>
      <c r="Y92" s="178"/>
      <c r="Z92" s="176"/>
      <c r="AI92" s="165" t="s">
        <v>184</v>
      </c>
      <c r="AJ92" s="165">
        <f>(Aleg+Arein)/2</f>
        <v>0</v>
      </c>
      <c r="AK92" s="165" t="s">
        <v>227</v>
      </c>
      <c r="AL92" s="165" t="s">
        <v>222</v>
      </c>
      <c r="AM92" s="165"/>
      <c r="AN92" s="165"/>
      <c r="AO92" s="165"/>
      <c r="AP92" s="165"/>
      <c r="AQ92" s="165"/>
    </row>
    <row r="93" spans="19:43" hidden="1" x14ac:dyDescent="0.2">
      <c r="S93" s="139">
        <v>29</v>
      </c>
      <c r="U93" s="543"/>
      <c r="V93" s="457" t="s">
        <v>53</v>
      </c>
      <c r="W93" s="443">
        <f>2*ATAN(Wleg/(2*PNA))</f>
        <v>0</v>
      </c>
      <c r="X93" s="179"/>
      <c r="Y93" s="178"/>
      <c r="Z93" s="176"/>
      <c r="AB93" s="574" t="s">
        <v>142</v>
      </c>
      <c r="AC93" s="574"/>
      <c r="AD93" s="574"/>
      <c r="AE93" s="574"/>
      <c r="AF93" s="575">
        <f>(PI()/4)*((Rrein^4)-(Rreinin^4))/2</f>
        <v>0</v>
      </c>
      <c r="AG93" s="575"/>
      <c r="AI93" s="165"/>
      <c r="AJ93" s="165"/>
      <c r="AK93" s="165"/>
      <c r="AL93" s="165"/>
      <c r="AM93" s="165"/>
      <c r="AN93" s="165"/>
      <c r="AO93" s="165"/>
      <c r="AP93" s="165"/>
      <c r="AQ93" s="165"/>
    </row>
    <row r="94" spans="19:43" hidden="1" x14ac:dyDescent="0.2">
      <c r="S94" s="139">
        <v>30</v>
      </c>
      <c r="U94" s="543"/>
      <c r="V94" s="457" t="s">
        <v>54</v>
      </c>
      <c r="W94" s="443">
        <f>IF(PNA&gt;Rlegin,0,2*SQRT(Rlegin^2-PNA^2))</f>
        <v>0</v>
      </c>
      <c r="X94" s="179"/>
      <c r="Y94" s="178"/>
      <c r="Z94" s="176"/>
      <c r="AB94" s="574" t="s">
        <v>141</v>
      </c>
      <c r="AC94" s="574"/>
      <c r="AD94" s="574"/>
      <c r="AE94" s="574"/>
      <c r="AF94" s="575">
        <f>Ileg+AF93</f>
        <v>0</v>
      </c>
      <c r="AG94" s="575"/>
      <c r="AI94" s="165" t="s">
        <v>188</v>
      </c>
      <c r="AJ94" s="165"/>
      <c r="AK94" s="165"/>
      <c r="AL94" s="165" t="s">
        <v>189</v>
      </c>
      <c r="AM94" s="165"/>
      <c r="AN94" s="165"/>
      <c r="AO94" s="165"/>
      <c r="AP94" s="165"/>
      <c r="AQ94" s="165"/>
    </row>
    <row r="95" spans="19:43" hidden="1" x14ac:dyDescent="0.2">
      <c r="S95" s="139">
        <v>31</v>
      </c>
      <c r="U95" s="543"/>
      <c r="V95" s="457" t="s">
        <v>55</v>
      </c>
      <c r="W95" s="443">
        <f>2*ATAN(Wlegin/(2*PNA))</f>
        <v>0</v>
      </c>
      <c r="X95" s="179"/>
      <c r="Y95" s="178"/>
      <c r="Z95" s="176"/>
      <c r="AI95" s="165" t="s">
        <v>170</v>
      </c>
      <c r="AJ95" s="165">
        <v>1.3979688874401861</v>
      </c>
      <c r="AK95" s="165" t="s">
        <v>174</v>
      </c>
      <c r="AL95" s="165" t="s">
        <v>225</v>
      </c>
      <c r="AM95" s="165"/>
      <c r="AN95" s="165"/>
      <c r="AO95" s="165"/>
      <c r="AP95" s="165"/>
      <c r="AQ95" s="165"/>
    </row>
    <row r="96" spans="19:43" hidden="1" x14ac:dyDescent="0.2">
      <c r="S96" s="139">
        <v>32</v>
      </c>
      <c r="U96" s="543"/>
      <c r="V96" s="459" t="s">
        <v>83</v>
      </c>
      <c r="W96" s="445" t="e">
        <f>2*SQRT(Rrein^2-(PNA-Yoff)^2)</f>
        <v>#NUM!</v>
      </c>
      <c r="X96" s="179"/>
      <c r="Y96" s="178"/>
      <c r="Z96" s="176"/>
      <c r="AI96" s="165"/>
      <c r="AJ96" s="165">
        <f>DEGREES(AJ95)</f>
        <v>80.097717140921901</v>
      </c>
      <c r="AK96" s="165" t="s">
        <v>172</v>
      </c>
      <c r="AL96" s="165"/>
      <c r="AM96" s="165"/>
      <c r="AN96" s="165"/>
      <c r="AO96" s="165"/>
      <c r="AP96" s="165"/>
      <c r="AQ96" s="165"/>
    </row>
    <row r="97" spans="19:43" hidden="1" x14ac:dyDescent="0.2">
      <c r="S97" s="139">
        <v>33</v>
      </c>
      <c r="U97" s="543"/>
      <c r="V97" s="459" t="s">
        <v>56</v>
      </c>
      <c r="W97" s="445" t="e">
        <f>2*ATAN(Wrein/(2*(PNA-Yoff)))</f>
        <v>#NUM!</v>
      </c>
      <c r="X97" s="179"/>
      <c r="Y97" s="178"/>
      <c r="Z97" s="176"/>
      <c r="AI97" s="165" t="s">
        <v>51</v>
      </c>
      <c r="AJ97" s="165">
        <f>ABS((Rleg-Tleg/2)*COS(AJ95))</f>
        <v>0</v>
      </c>
      <c r="AK97" s="165" t="s">
        <v>177</v>
      </c>
      <c r="AL97" s="165"/>
      <c r="AM97" s="165"/>
      <c r="AN97" s="165"/>
      <c r="AO97" s="165" t="s">
        <v>181</v>
      </c>
      <c r="AP97" s="165"/>
      <c r="AQ97" s="165"/>
    </row>
    <row r="98" spans="19:43" ht="16.5" hidden="1" x14ac:dyDescent="0.2">
      <c r="S98" s="139">
        <v>34</v>
      </c>
      <c r="U98" s="543"/>
      <c r="V98" s="459" t="s">
        <v>57</v>
      </c>
      <c r="W98" s="445" t="e">
        <f>2*SQRT(Rreinin^2-(PNA-Yoff)^2)</f>
        <v>#NUM!</v>
      </c>
      <c r="X98" s="179"/>
      <c r="Y98" s="178"/>
      <c r="Z98" s="176"/>
      <c r="AI98" s="165" t="s">
        <v>186</v>
      </c>
      <c r="AJ98" s="165">
        <f>AJ95*Tleg*(2*Rleg-Tleg)</f>
        <v>0</v>
      </c>
      <c r="AK98" s="165" t="s">
        <v>227</v>
      </c>
      <c r="AL98" s="165" t="s">
        <v>186</v>
      </c>
      <c r="AM98" s="165">
        <f>Aleg-AJ98</f>
        <v>0</v>
      </c>
      <c r="AN98" s="165" t="s">
        <v>227</v>
      </c>
      <c r="AO98" s="165"/>
      <c r="AP98" s="165"/>
      <c r="AQ98" s="165"/>
    </row>
    <row r="99" spans="19:43" ht="17.25" hidden="1" thickBot="1" x14ac:dyDescent="0.25">
      <c r="S99" s="139">
        <v>35</v>
      </c>
      <c r="U99" s="544"/>
      <c r="V99" s="459" t="s">
        <v>58</v>
      </c>
      <c r="W99" s="449" t="e">
        <f>2*ATAN(Wreinin/(2*(PNA-Yoff)))</f>
        <v>#NUM!</v>
      </c>
      <c r="X99" s="179"/>
      <c r="Y99" s="178"/>
      <c r="Z99" s="176"/>
      <c r="AI99" s="165" t="s">
        <v>187</v>
      </c>
      <c r="AJ99" s="165">
        <f>IF(AJ95&gt;=AJ77,AJ78,AJ95*Trein*(2*Rrein-Trein))</f>
        <v>0</v>
      </c>
      <c r="AK99" s="165" t="s">
        <v>227</v>
      </c>
      <c r="AL99" s="165" t="s">
        <v>187</v>
      </c>
      <c r="AM99" s="165">
        <f>(Arein-AJ99)</f>
        <v>0</v>
      </c>
      <c r="AN99" s="165" t="s">
        <v>227</v>
      </c>
      <c r="AO99" s="165"/>
      <c r="AP99" s="165"/>
      <c r="AQ99" s="165"/>
    </row>
    <row r="100" spans="19:43" hidden="1" x14ac:dyDescent="0.2">
      <c r="S100" s="139">
        <v>36</v>
      </c>
      <c r="U100" s="539" t="s">
        <v>85</v>
      </c>
      <c r="V100" s="457" t="s">
        <v>59</v>
      </c>
      <c r="W100" s="442">
        <f>(Rleg^2)*(THleg-SIN(THleg))/2</f>
        <v>0</v>
      </c>
      <c r="X100" s="179"/>
      <c r="Y100" s="178"/>
      <c r="Z100" s="176"/>
      <c r="AI100" s="165" t="s">
        <v>194</v>
      </c>
      <c r="AJ100" s="165" t="e">
        <f>Rleg-Rleg*(1-2*SIN(AJ95)/(3*AJ95)*(1-Tleg/Rleg+1/(2-Tleg/Rleg)))</f>
        <v>#DIV/0!</v>
      </c>
      <c r="AK100" s="165" t="s">
        <v>177</v>
      </c>
      <c r="AL100" s="165" t="s">
        <v>194</v>
      </c>
      <c r="AM100" s="165" t="e">
        <f>(Aleg*0-AJ98*AJ100)/(Aleg-AJ98)</f>
        <v>#DIV/0!</v>
      </c>
      <c r="AN100" s="165" t="s">
        <v>177</v>
      </c>
      <c r="AO100" s="165" t="s">
        <v>181</v>
      </c>
      <c r="AP100" s="165"/>
      <c r="AQ100" s="165"/>
    </row>
    <row r="101" spans="19:43" hidden="1" x14ac:dyDescent="0.2">
      <c r="S101" s="139">
        <v>37</v>
      </c>
      <c r="U101" s="540"/>
      <c r="V101" s="457" t="s">
        <v>60</v>
      </c>
      <c r="W101" s="443" t="e">
        <f>(4*Rleg*SIN(THleg/2)^3)/(3*(THleg-SIN(THleg)))</f>
        <v>#DIV/0!</v>
      </c>
      <c r="X101" s="179"/>
      <c r="Y101" s="178"/>
      <c r="Z101" s="176"/>
      <c r="AI101" s="165" t="s">
        <v>195</v>
      </c>
      <c r="AJ101" s="165" t="e">
        <f>IF(AJ95&gt;=AJ77,AJ83,Rleg+Trein-Rrein*(1-2*SIN(AJ95)/(3*AJ95)*(1-Trein/Rrein+1/(2-Trein/Rrein))))</f>
        <v>#DIV/0!</v>
      </c>
      <c r="AK101" s="165" t="s">
        <v>177</v>
      </c>
      <c r="AL101" s="165" t="s">
        <v>195</v>
      </c>
      <c r="AM101" s="165" t="e">
        <f>IF(AM99=0,0,(AJ78*AJ83-AJ99*AJ101)/(AJ78-AJ99))*GR</f>
        <v>#DIV/0!</v>
      </c>
      <c r="AN101" s="165" t="s">
        <v>177</v>
      </c>
      <c r="AO101" s="165" t="s">
        <v>181</v>
      </c>
      <c r="AP101" s="165"/>
      <c r="AQ101" s="165"/>
    </row>
    <row r="102" spans="19:43" hidden="1" x14ac:dyDescent="0.2">
      <c r="S102" s="139">
        <v>38</v>
      </c>
      <c r="U102" s="540"/>
      <c r="V102" s="457" t="s">
        <v>61</v>
      </c>
      <c r="W102" s="443">
        <f>(Rlegin^2)*(THlegin-SIN(THlegin))/2</f>
        <v>0</v>
      </c>
      <c r="X102" s="179"/>
      <c r="Y102" s="178"/>
      <c r="Z102" s="176"/>
      <c r="AI102" s="165" t="s">
        <v>194</v>
      </c>
      <c r="AJ102" s="165" t="e">
        <f>ABS(AJ100-AJ97)</f>
        <v>#DIV/0!</v>
      </c>
      <c r="AK102" s="165" t="s">
        <v>177</v>
      </c>
      <c r="AL102" s="165" t="s">
        <v>194</v>
      </c>
      <c r="AM102" s="165" t="e">
        <f>ABS(AM100-AJ97)</f>
        <v>#DIV/0!</v>
      </c>
      <c r="AN102" s="165" t="s">
        <v>177</v>
      </c>
      <c r="AO102" s="165" t="s">
        <v>193</v>
      </c>
      <c r="AP102" s="165"/>
      <c r="AQ102" s="165"/>
    </row>
    <row r="103" spans="19:43" hidden="1" x14ac:dyDescent="0.2">
      <c r="S103" s="139">
        <v>39</v>
      </c>
      <c r="U103" s="540"/>
      <c r="V103" s="457" t="s">
        <v>62</v>
      </c>
      <c r="W103" s="443">
        <f>IF(PNA&gt;Rlegin,0,(4*Rlegin*SIN(THlegin/2)^3)/(3*(THlegin-SIN(THlegin))))</f>
        <v>0</v>
      </c>
      <c r="X103" s="179"/>
      <c r="Y103" s="178"/>
      <c r="Z103" s="176"/>
      <c r="AI103" s="165" t="s">
        <v>195</v>
      </c>
      <c r="AJ103" s="165" t="e">
        <f>ABS(AJ101-AJ97)</f>
        <v>#DIV/0!</v>
      </c>
      <c r="AK103" s="165" t="s">
        <v>177</v>
      </c>
      <c r="AL103" s="165" t="s">
        <v>195</v>
      </c>
      <c r="AM103" s="165" t="e">
        <f>ABS(AM101-AJ97)</f>
        <v>#DIV/0!</v>
      </c>
      <c r="AN103" s="165" t="s">
        <v>177</v>
      </c>
      <c r="AO103" s="165" t="s">
        <v>193</v>
      </c>
      <c r="AP103" s="165"/>
      <c r="AQ103" s="165"/>
    </row>
    <row r="104" spans="19:43" hidden="1" x14ac:dyDescent="0.2">
      <c r="S104" s="139">
        <v>40</v>
      </c>
      <c r="U104" s="540"/>
      <c r="V104" s="457" t="s">
        <v>63</v>
      </c>
      <c r="W104" s="443">
        <f>ACleg-AClegin</f>
        <v>0</v>
      </c>
      <c r="X104" s="179"/>
      <c r="Y104" s="178"/>
      <c r="Z104" s="176"/>
      <c r="AI104" s="165"/>
      <c r="AJ104" s="165"/>
      <c r="AK104" s="165"/>
      <c r="AL104" s="165"/>
      <c r="AM104" s="165"/>
      <c r="AN104" s="165"/>
      <c r="AO104" s="165"/>
      <c r="AP104" s="165"/>
      <c r="AQ104" s="165"/>
    </row>
    <row r="105" spans="19:43" ht="16.5" hidden="1" x14ac:dyDescent="0.2">
      <c r="S105" s="139">
        <v>41</v>
      </c>
      <c r="U105" s="540"/>
      <c r="V105" s="457" t="s">
        <v>64</v>
      </c>
      <c r="W105" s="443" t="e">
        <f>(YCleg*ACleg-YClegin*AClegin)/AClegtot</f>
        <v>#DIV/0!</v>
      </c>
      <c r="X105" s="179"/>
      <c r="Y105" s="178"/>
      <c r="Z105" s="176"/>
      <c r="AI105" s="165" t="s">
        <v>224</v>
      </c>
      <c r="AJ105" s="165" t="e">
        <f>AJ98+GR*AJ99</f>
        <v>#DIV/0!</v>
      </c>
      <c r="AK105" s="165" t="s">
        <v>227</v>
      </c>
      <c r="AL105" s="165" t="s">
        <v>224</v>
      </c>
      <c r="AM105" s="165" t="e">
        <f>AM98+GR*AM99</f>
        <v>#DIV/0!</v>
      </c>
      <c r="AN105" s="165" t="s">
        <v>227</v>
      </c>
      <c r="AO105" s="165"/>
      <c r="AP105" s="165"/>
      <c r="AQ105" s="165"/>
    </row>
    <row r="106" spans="19:43" hidden="1" x14ac:dyDescent="0.2">
      <c r="S106" s="139">
        <v>42</v>
      </c>
      <c r="U106" s="540"/>
      <c r="V106" s="459" t="s">
        <v>65</v>
      </c>
      <c r="W106" s="445" t="e">
        <f>(Rrein^2)*(THrein-SIN(THrein))/2</f>
        <v>#NUM!</v>
      </c>
      <c r="X106" s="179"/>
      <c r="Y106" s="178"/>
      <c r="Z106" s="176"/>
      <c r="AI106" s="165"/>
      <c r="AJ106" s="165"/>
      <c r="AK106" s="165"/>
      <c r="AL106" s="165"/>
      <c r="AM106" s="165"/>
      <c r="AN106" s="165"/>
      <c r="AO106" s="165"/>
      <c r="AP106" s="165"/>
      <c r="AQ106" s="165"/>
    </row>
    <row r="107" spans="19:43" ht="16.5" hidden="1" x14ac:dyDescent="0.2">
      <c r="S107" s="139">
        <v>43</v>
      </c>
      <c r="U107" s="540"/>
      <c r="V107" s="459" t="s">
        <v>66</v>
      </c>
      <c r="W107" s="445" t="e">
        <f>(4*Rrein*SIN(THrein/2)^3)/(3*(THrein-SIN(THrein)))+Yoff</f>
        <v>#NUM!</v>
      </c>
      <c r="X107" s="179"/>
      <c r="Y107" s="178"/>
      <c r="Z107" s="176"/>
      <c r="AI107" s="141" t="s">
        <v>190</v>
      </c>
      <c r="AJ107" s="141" t="e">
        <f>AJ98*AJ102+AJ99*AJ103*GR</f>
        <v>#DIV/0!</v>
      </c>
      <c r="AK107" s="141" t="s">
        <v>191</v>
      </c>
      <c r="AL107" s="141" t="s">
        <v>190</v>
      </c>
      <c r="AM107" s="141" t="e">
        <f>AM98*AM102+AM99*AM103*GR</f>
        <v>#DIV/0!</v>
      </c>
      <c r="AN107" s="141" t="s">
        <v>191</v>
      </c>
      <c r="AO107" s="141" t="e">
        <f>AJ107-AM107</f>
        <v>#DIV/0!</v>
      </c>
    </row>
    <row r="108" spans="19:43" hidden="1" x14ac:dyDescent="0.2">
      <c r="S108" s="139">
        <v>44</v>
      </c>
      <c r="U108" s="540"/>
      <c r="V108" s="459" t="s">
        <v>67</v>
      </c>
      <c r="W108" s="445" t="e">
        <f>(Rreinin^2)*(THreinin-SIN(THreinin))/2</f>
        <v>#NUM!</v>
      </c>
      <c r="X108" s="179"/>
      <c r="Y108" s="178"/>
      <c r="Z108" s="176"/>
    </row>
    <row r="109" spans="19:43" hidden="1" x14ac:dyDescent="0.2">
      <c r="S109" s="139">
        <v>45</v>
      </c>
      <c r="U109" s="540"/>
      <c r="V109" s="459" t="s">
        <v>68</v>
      </c>
      <c r="W109" s="445" t="e">
        <f>(4*Rreinin*SIN(THreinin/2)^3)/(3*(THreinin-SIN(THreinin)))+Yoff</f>
        <v>#NUM!</v>
      </c>
      <c r="X109" s="179"/>
      <c r="Y109" s="178"/>
      <c r="Z109" s="176"/>
    </row>
    <row r="110" spans="19:43" hidden="1" x14ac:dyDescent="0.2">
      <c r="S110" s="139">
        <v>46</v>
      </c>
      <c r="U110" s="540"/>
      <c r="V110" s="459" t="s">
        <v>69</v>
      </c>
      <c r="W110" s="445" t="e">
        <f>IF(Yoff&gt;=PNA,Arein,ACrein-ACreinin)</f>
        <v>#NUM!</v>
      </c>
      <c r="X110" s="179"/>
      <c r="Y110" s="178"/>
      <c r="Z110" s="176"/>
    </row>
    <row r="111" spans="19:43" hidden="1" x14ac:dyDescent="0.2">
      <c r="S111" s="139">
        <v>47</v>
      </c>
      <c r="U111" s="540"/>
      <c r="V111" s="459" t="s">
        <v>70</v>
      </c>
      <c r="W111" s="445" t="e">
        <f>IF(Yoff&gt;=PNA,Yrein+PNA,(YCrein*ACrein-YCreinin*ACreinin)/ACreintot)</f>
        <v>#NUM!</v>
      </c>
      <c r="X111" s="179"/>
      <c r="Y111" s="178"/>
      <c r="Z111" s="176"/>
    </row>
    <row r="112" spans="19:43" hidden="1" x14ac:dyDescent="0.2">
      <c r="S112" s="139">
        <v>48</v>
      </c>
      <c r="U112" s="540"/>
      <c r="V112" s="460" t="s">
        <v>71</v>
      </c>
      <c r="W112" s="446" t="e">
        <f>AClegtot+GR*ACreintot</f>
        <v>#DIV/0!</v>
      </c>
      <c r="X112" s="179"/>
      <c r="Y112" s="178"/>
      <c r="Z112" s="176"/>
    </row>
    <row r="113" spans="19:26" hidden="1" x14ac:dyDescent="0.2">
      <c r="S113" s="139">
        <v>49</v>
      </c>
      <c r="U113" s="540"/>
      <c r="V113" s="460" t="s">
        <v>72</v>
      </c>
      <c r="W113" s="446" t="e">
        <f>(YClegtot*AClegtot+YCreintot*GR*ACreintot)/ACtot-PNA</f>
        <v>#DIV/0!</v>
      </c>
      <c r="X113" s="179"/>
      <c r="Y113" s="178"/>
      <c r="Z113" s="176"/>
    </row>
    <row r="114" spans="19:26" ht="15" hidden="1" thickBot="1" x14ac:dyDescent="0.25">
      <c r="S114" s="139">
        <v>50</v>
      </c>
      <c r="U114" s="541"/>
      <c r="V114" s="460" t="s">
        <v>73</v>
      </c>
      <c r="W114" s="450" t="e">
        <f>ACtot*YCtot</f>
        <v>#DIV/0!</v>
      </c>
      <c r="X114" s="179"/>
      <c r="Y114" s="178"/>
      <c r="Z114" s="176"/>
    </row>
    <row r="115" spans="19:26" hidden="1" x14ac:dyDescent="0.2">
      <c r="S115" s="139">
        <v>51</v>
      </c>
      <c r="U115" s="542" t="s">
        <v>86</v>
      </c>
      <c r="V115" s="457" t="s">
        <v>74</v>
      </c>
      <c r="W115" s="442">
        <f>Aleg-AClegtot</f>
        <v>0</v>
      </c>
      <c r="X115" s="179"/>
      <c r="Y115" s="178"/>
      <c r="Z115" s="176"/>
    </row>
    <row r="116" spans="19:26" hidden="1" x14ac:dyDescent="0.2">
      <c r="S116" s="139">
        <v>52</v>
      </c>
      <c r="U116" s="543"/>
      <c r="V116" s="457" t="s">
        <v>75</v>
      </c>
      <c r="W116" s="443" t="e">
        <f>(-YClegtot*AClegtot)/ATlegtot</f>
        <v>#DIV/0!</v>
      </c>
      <c r="X116" s="179"/>
      <c r="Y116" s="178"/>
      <c r="Z116" s="176"/>
    </row>
    <row r="117" spans="19:26" hidden="1" x14ac:dyDescent="0.2">
      <c r="S117" s="139">
        <v>53</v>
      </c>
      <c r="U117" s="543"/>
      <c r="V117" s="459" t="s">
        <v>89</v>
      </c>
      <c r="W117" s="445" t="e">
        <f>Arein-ACreintot</f>
        <v>#NUM!</v>
      </c>
      <c r="X117" s="179"/>
      <c r="Y117" s="178"/>
      <c r="Z117" s="176"/>
    </row>
    <row r="118" spans="19:26" hidden="1" x14ac:dyDescent="0.2">
      <c r="S118" s="139">
        <v>54</v>
      </c>
      <c r="U118" s="543"/>
      <c r="V118" s="459" t="s">
        <v>76</v>
      </c>
      <c r="W118" s="445" t="e">
        <f>IF(Yoff&gt;=PNA,0,(Yrein*Arein-YCreintot*ACreintot)/ATreintot)</f>
        <v>#DIV/0!</v>
      </c>
      <c r="X118" s="179"/>
      <c r="Y118" s="178"/>
      <c r="Z118" s="176"/>
    </row>
    <row r="119" spans="19:26" hidden="1" x14ac:dyDescent="0.2">
      <c r="S119" s="139">
        <v>55</v>
      </c>
      <c r="U119" s="543"/>
      <c r="V119" s="460" t="s">
        <v>77</v>
      </c>
      <c r="W119" s="446" t="e">
        <f>ATlegtot+GR*ATreintot</f>
        <v>#DIV/0!</v>
      </c>
      <c r="X119" s="179"/>
      <c r="Y119" s="178"/>
      <c r="Z119" s="176"/>
    </row>
    <row r="120" spans="19:26" hidden="1" x14ac:dyDescent="0.2">
      <c r="S120" s="139">
        <v>56</v>
      </c>
      <c r="U120" s="543"/>
      <c r="V120" s="460" t="s">
        <v>78</v>
      </c>
      <c r="W120" s="446" t="e">
        <f>(YTlegtot*ATlegtot+YTreintot*GR*ATreintot)/ATtot-PNA</f>
        <v>#DIV/0!</v>
      </c>
      <c r="X120" s="179"/>
      <c r="Y120" s="178"/>
      <c r="Z120" s="176"/>
    </row>
    <row r="121" spans="19:26" ht="15" hidden="1" thickBot="1" x14ac:dyDescent="0.25">
      <c r="S121" s="139">
        <v>57</v>
      </c>
      <c r="U121" s="544"/>
      <c r="V121" s="460" t="s">
        <v>79</v>
      </c>
      <c r="W121" s="450" t="e">
        <f>ATtot*(-W120)</f>
        <v>#DIV/0!</v>
      </c>
      <c r="X121" s="179"/>
      <c r="Y121" s="178"/>
      <c r="Z121" s="176"/>
    </row>
    <row r="122" spans="19:26" hidden="1" x14ac:dyDescent="0.2">
      <c r="S122" s="139">
        <v>58</v>
      </c>
      <c r="V122" s="460" t="s">
        <v>80</v>
      </c>
      <c r="W122" s="451" t="e">
        <f>Zc-Zt</f>
        <v>#DIV/0!</v>
      </c>
      <c r="X122" s="178"/>
      <c r="Y122" s="178"/>
      <c r="Z122" s="176"/>
    </row>
    <row r="123" spans="19:26" hidden="1" x14ac:dyDescent="0.2">
      <c r="S123" s="139">
        <v>59</v>
      </c>
      <c r="V123" s="460" t="s">
        <v>81</v>
      </c>
      <c r="W123" s="448" t="e">
        <f>Zc+Zt</f>
        <v>#DIV/0!</v>
      </c>
      <c r="X123" s="178"/>
      <c r="Y123" s="178"/>
      <c r="Z123" s="176"/>
    </row>
  </sheetData>
  <sheetProtection sheet="1" objects="1" scenarios="1" selectLockedCells="1"/>
  <customSheetViews>
    <customSheetView guid="{47553E05-005A-459E-BBCC-799C7F4EBE26}" showPageBreaks="1" fitToPage="1" printArea="1" topLeftCell="B10">
      <selection activeCell="P39" sqref="P39"/>
      <pageMargins left="0.7" right="0.7" top="0.75" bottom="0.75" header="0.3" footer="0.3"/>
      <printOptions horizontalCentered="1"/>
      <pageSetup scale="98" fitToHeight="0" orientation="portrait" r:id="rId1"/>
      <headerFooter>
        <oddFooter>&amp;LVersion 8.0.1</oddFooter>
      </headerFooter>
    </customSheetView>
    <customSheetView guid="{9A54679E-64D7-44E9-AABE-4253818C5C4B}" fitToPage="1" topLeftCell="A7">
      <selection activeCell="C26" sqref="C26:J26"/>
      <pageMargins left="0.7" right="0.7" top="0.75" bottom="0.75" header="0.3" footer="0.3"/>
      <printOptions horizontalCentered="1"/>
      <pageSetup scale="98" fitToHeight="0" orientation="portrait" r:id="rId2"/>
      <headerFooter>
        <oddFooter>&amp;LVersion 8.0.1</oddFooter>
      </headerFooter>
    </customSheetView>
  </customSheetViews>
  <mergeCells count="101">
    <mergeCell ref="B28:F28"/>
    <mergeCell ref="B20:F20"/>
    <mergeCell ref="B21:F21"/>
    <mergeCell ref="G20:I20"/>
    <mergeCell ref="G28:H28"/>
    <mergeCell ref="B27:I27"/>
    <mergeCell ref="G16:I16"/>
    <mergeCell ref="B16:F16"/>
    <mergeCell ref="B19:F19"/>
    <mergeCell ref="G18:I18"/>
    <mergeCell ref="B17:F17"/>
    <mergeCell ref="G17:I17"/>
    <mergeCell ref="AB94:AE94"/>
    <mergeCell ref="AF94:AG94"/>
    <mergeCell ref="AB93:AE93"/>
    <mergeCell ref="AF93:AG93"/>
    <mergeCell ref="G41:H41"/>
    <mergeCell ref="P41:Q41"/>
    <mergeCell ref="AB84:AE84"/>
    <mergeCell ref="AF84:AG84"/>
    <mergeCell ref="X72:X83"/>
    <mergeCell ref="X84:X87"/>
    <mergeCell ref="U72:U88"/>
    <mergeCell ref="B1:K2"/>
    <mergeCell ref="K11:R11"/>
    <mergeCell ref="K7:R7"/>
    <mergeCell ref="K8:N8"/>
    <mergeCell ref="O8:P8"/>
    <mergeCell ref="Q8:R8"/>
    <mergeCell ref="B4:I4"/>
    <mergeCell ref="B11:I11"/>
    <mergeCell ref="B5:D5"/>
    <mergeCell ref="B6:D6"/>
    <mergeCell ref="B7:D7"/>
    <mergeCell ref="B8:D8"/>
    <mergeCell ref="E5:I5"/>
    <mergeCell ref="E6:I6"/>
    <mergeCell ref="E7:I7"/>
    <mergeCell ref="E8:I8"/>
    <mergeCell ref="K9:N9"/>
    <mergeCell ref="O9:P9"/>
    <mergeCell ref="Q9:R9"/>
    <mergeCell ref="U100:U114"/>
    <mergeCell ref="U115:U121"/>
    <mergeCell ref="B29:F29"/>
    <mergeCell ref="G29:H29"/>
    <mergeCell ref="G15:I15"/>
    <mergeCell ref="B15:F15"/>
    <mergeCell ref="B18:F18"/>
    <mergeCell ref="B14:I14"/>
    <mergeCell ref="B41:F41"/>
    <mergeCell ref="K41:O41"/>
    <mergeCell ref="B43:K43"/>
    <mergeCell ref="G40:H40"/>
    <mergeCell ref="B40:F40"/>
    <mergeCell ref="U92:U99"/>
    <mergeCell ref="P14:R14"/>
    <mergeCell ref="K15:R16"/>
    <mergeCell ref="N14:O14"/>
    <mergeCell ref="B38:R38"/>
    <mergeCell ref="P40:Q40"/>
    <mergeCell ref="K40:O40"/>
    <mergeCell ref="B39:F39"/>
    <mergeCell ref="G39:H39"/>
    <mergeCell ref="K36:O36"/>
    <mergeCell ref="G19:I19"/>
    <mergeCell ref="P36:R36"/>
    <mergeCell ref="K39:O39"/>
    <mergeCell ref="P39:Q39"/>
    <mergeCell ref="G35:H35"/>
    <mergeCell ref="B35:F35"/>
    <mergeCell ref="B36:F36"/>
    <mergeCell ref="G36:H36"/>
    <mergeCell ref="B30:F30"/>
    <mergeCell ref="B31:F31"/>
    <mergeCell ref="G30:H30"/>
    <mergeCell ref="G31:H31"/>
    <mergeCell ref="B34:F34"/>
    <mergeCell ref="G34:H34"/>
    <mergeCell ref="B33:I33"/>
    <mergeCell ref="B12:I12"/>
    <mergeCell ref="N12:R12"/>
    <mergeCell ref="K12:M12"/>
    <mergeCell ref="B22:F22"/>
    <mergeCell ref="G21:I21"/>
    <mergeCell ref="B25:F25"/>
    <mergeCell ref="G25:I25"/>
    <mergeCell ref="B23:F23"/>
    <mergeCell ref="B24:F24"/>
    <mergeCell ref="G22:I22"/>
    <mergeCell ref="G23:I23"/>
    <mergeCell ref="G24:H24"/>
    <mergeCell ref="N13:O13"/>
    <mergeCell ref="P13:R13"/>
    <mergeCell ref="K13:M13"/>
    <mergeCell ref="K17:R17"/>
    <mergeCell ref="K18:P18"/>
    <mergeCell ref="Q18:R18"/>
    <mergeCell ref="K19:P19"/>
    <mergeCell ref="Q19:R19"/>
    <mergeCell ref="K14:M14"/>
  </mergeCells>
  <conditionalFormatting sqref="P13">
    <cfRule type="expression" dxfId="48" priority="36">
      <formula>$P$13="Pass"</formula>
    </cfRule>
    <cfRule type="expression" dxfId="47" priority="38">
      <formula>$P$13="Fail"</formula>
    </cfRule>
  </conditionalFormatting>
  <conditionalFormatting sqref="P13">
    <cfRule type="expression" dxfId="46" priority="20">
      <formula>$P$13="Acceptable"</formula>
    </cfRule>
  </conditionalFormatting>
  <conditionalFormatting sqref="G35:H35 G34 G36">
    <cfRule type="expression" dxfId="45" priority="13">
      <formula>IF(ReinType="Form Fit",1,0)</formula>
    </cfRule>
  </conditionalFormatting>
  <conditionalFormatting sqref="K41:R41">
    <cfRule type="expression" dxfId="44" priority="12">
      <formula>IF(ReinType&lt;&gt;"Split Pipe",1,0)</formula>
    </cfRule>
  </conditionalFormatting>
  <conditionalFormatting sqref="P13:R13">
    <cfRule type="expression" dxfId="43" priority="7">
      <formula>IF($P$13="NO GOOD",1,0)</formula>
    </cfRule>
  </conditionalFormatting>
  <conditionalFormatting sqref="L12:R14">
    <cfRule type="expression" dxfId="42" priority="6">
      <formula>IF($O$8="",1,0)</formula>
    </cfRule>
  </conditionalFormatting>
  <conditionalFormatting sqref="K14:R14">
    <cfRule type="expression" dxfId="41" priority="85">
      <formula>OR($G$19="No",$G$19="")</formula>
    </cfRule>
  </conditionalFormatting>
  <conditionalFormatting sqref="P14">
    <cfRule type="expression" dxfId="40" priority="86">
      <formula>AND($P$14="Fail",$G$19="Yes")</formula>
    </cfRule>
    <cfRule type="expression" dxfId="39" priority="87">
      <formula>AND($P$14="Pass",$G$19="Yes")</formula>
    </cfRule>
  </conditionalFormatting>
  <conditionalFormatting sqref="G21:I21">
    <cfRule type="expression" dxfId="38" priority="92">
      <formula>IF($G$20&lt;&gt;"Eccentric",1,0)</formula>
    </cfRule>
    <cfRule type="expression" dxfId="37" priority="93">
      <formula>IF($G$20&lt;&gt;"Eccentric",1,0)</formula>
    </cfRule>
  </conditionalFormatting>
  <conditionalFormatting sqref="O9:P9">
    <cfRule type="expression" dxfId="36" priority="3">
      <formula>IF(AND(OR(TowerTypeInput&lt;&gt;"Guyed",ConsiderLegLoadatTimeofMod&lt;&gt;"Yes"),OR(PrintBoltOnConnectionInfo=FALSE,TIA&lt;&gt;"H")),1,0)</formula>
    </cfRule>
  </conditionalFormatting>
  <conditionalFormatting sqref="G17:I17">
    <cfRule type="expression" dxfId="35" priority="2">
      <formula>IF(TowerTypeInput&lt;&gt;"Guyed",1,0)</formula>
    </cfRule>
  </conditionalFormatting>
  <dataValidations count="15">
    <dataValidation type="list" allowBlank="1" showInputMessage="1" showErrorMessage="1" sqref="G23" xr:uid="{00000000-0002-0000-0000-000001000000}">
      <formula1>"Bolted,Welded"</formula1>
    </dataValidation>
    <dataValidation type="list" allowBlank="1" showInputMessage="1" showErrorMessage="1" sqref="G18" xr:uid="{00000000-0002-0000-0000-000002000000}">
      <formula1>"Fixed,Free"</formula1>
    </dataValidation>
    <dataValidation type="custom" allowBlank="1" showInputMessage="1" showErrorMessage="1" errorTitle="Leg Thickness" error="The section properties entered do not fall within the calculation limitations of this program. Please check the dimensions." sqref="G29" xr:uid="{00000000-0002-0000-0000-000004000000}">
      <formula1>AND(Tleg&gt;0,Tleg&lt;=Dleg/2)</formula1>
    </dataValidation>
    <dataValidation type="custom" allowBlank="1" showInputMessage="1" showErrorMessage="1" errorTitle="Reinforcement Thickness" error="The thickness value entered is not possible. Please Verify." sqref="G35" xr:uid="{00000000-0002-0000-0000-000005000000}">
      <formula1>AND(Trein&gt;0,Trein&lt;=Drein/2)</formula1>
    </dataValidation>
    <dataValidation type="list" allowBlank="1" showInputMessage="1" showErrorMessage="1" sqref="G21" xr:uid="{00000000-0002-0000-0000-000006000000}">
      <formula1>"N/A,P-Delta"</formula1>
    </dataValidation>
    <dataValidation type="list" allowBlank="1" showInputMessage="1" showErrorMessage="1" sqref="G22" xr:uid="{00000000-0002-0000-0000-000007000000}">
      <formula1>Fixed2</formula1>
    </dataValidation>
    <dataValidation type="list" allowBlank="1" showInputMessage="1" showErrorMessage="1" sqref="B12:I12" xr:uid="{00000000-0002-0000-0000-000008000000}">
      <formula1>"Split Pipe,Form Fit"</formula1>
    </dataValidation>
    <dataValidation type="list" allowBlank="1" showInputMessage="1" showErrorMessage="1" sqref="G15:I15" xr:uid="{00000000-0002-0000-0000-00000A000000}">
      <formula1>"H,G,F"</formula1>
    </dataValidation>
    <dataValidation type="decimal" operator="greaterThanOrEqual" allowBlank="1" showInputMessage="1" showErrorMessage="1" errorTitle="Leg Axial Load" error="The compression cannot be a negative value. Please enter a positive value." sqref="O8:P9" xr:uid="{00000000-0002-0000-0000-00000B000000}">
      <formula1>0</formula1>
    </dataValidation>
    <dataValidation type="list" allowBlank="1" showInputMessage="1" showErrorMessage="1" sqref="G17:I17" xr:uid="{4A4EC2C9-3FC2-4DDB-84E1-BF82D6577F46}">
      <formula1>"Yes,No"</formula1>
    </dataValidation>
    <dataValidation type="list" allowBlank="1" showInputMessage="1" showErrorMessage="1" sqref="G16:I16" xr:uid="{AA3555F7-88CE-4F93-B9D5-5DADA1EEB68F}">
      <formula1>"Self Support,Guyed"</formula1>
    </dataValidation>
    <dataValidation type="list" allowBlank="1" showInputMessage="1" showErrorMessage="1" sqref="G19:I19" xr:uid="{00000000-0002-0000-0000-000009000000}">
      <formula1>"No,Yes"</formula1>
    </dataValidation>
    <dataValidation type="list" allowBlank="1" showInputMessage="1" showErrorMessage="1" sqref="G20" xr:uid="{00000000-0002-0000-0000-000003000000}">
      <formula1>INDIRECT($G$18)</formula1>
    </dataValidation>
    <dataValidation type="list" allowBlank="1" showInputMessage="1" showErrorMessage="1" sqref="E8:I8" xr:uid="{A5972299-F670-46D5-A431-FDE97BD89BE2}">
      <formula1>ListIndex</formula1>
    </dataValidation>
    <dataValidation type="list" allowBlank="1" showInputMessage="1" showErrorMessage="1" sqref="G30:H30 G36:H36" xr:uid="{8E9F181D-74A4-4C07-9908-3431FE2B0CAE}">
      <formula1>"35,36,40,42,46,50,55,60,65"</formula1>
    </dataValidation>
  </dataValidations>
  <hyperlinks>
    <hyperlink ref="B43:K43" location="'Bolt-On Split Pipe Connections'!A1" tooltip="Bolt-On Split Pipe Tab" display="Design Bolt-On Split Pipe Connections" xr:uid="{D53C3BDE-424B-4E03-BB4F-394D536AD98F}"/>
  </hyperlinks>
  <printOptions horizontalCentered="1"/>
  <pageMargins left="0.7" right="0.7" top="0.75" bottom="0.75" header="0.3" footer="0.3"/>
  <pageSetup scale="94" fitToHeight="0" orientation="portrait" r:id="rId3"/>
  <headerFooter>
    <oddFooter>&amp;LVersion 10.0.4</oddFooter>
  </headerFooter>
  <drawing r:id="rId4"/>
  <legacyDrawing r:id="rId5"/>
  <mc:AlternateContent xmlns:mc="http://schemas.openxmlformats.org/markup-compatibility/2006">
    <mc:Choice Requires="x14">
      <controls>
        <mc:AlternateContent xmlns:mc="http://schemas.openxmlformats.org/markup-compatibility/2006">
          <mc:Choice Requires="x14">
            <control shapeId="351261" r:id="rId6" name="Check Box 29">
              <controlPr defaultSize="0" autoFill="0" autoLine="0" autoPict="0">
                <anchor moveWithCells="1">
                  <from>
                    <xdr:col>16</xdr:col>
                    <xdr:colOff>228600</xdr:colOff>
                    <xdr:row>17</xdr:row>
                    <xdr:rowOff>0</xdr:rowOff>
                  </from>
                  <to>
                    <xdr:col>17</xdr:col>
                    <xdr:colOff>161925</xdr:colOff>
                    <xdr:row>17</xdr:row>
                    <xdr:rowOff>180975</xdr:rowOff>
                  </to>
                </anchor>
              </controlPr>
            </control>
          </mc:Choice>
        </mc:AlternateContent>
        <mc:AlternateContent xmlns:mc="http://schemas.openxmlformats.org/markup-compatibility/2006">
          <mc:Choice Requires="x14">
            <control shapeId="351433" r:id="rId7" name="Check Box 201">
              <controlPr defaultSize="0" autoFill="0" autoLine="0" autoPict="0">
                <anchor moveWithCells="1">
                  <from>
                    <xdr:col>16</xdr:col>
                    <xdr:colOff>228600</xdr:colOff>
                    <xdr:row>17</xdr:row>
                    <xdr:rowOff>171450</xdr:rowOff>
                  </from>
                  <to>
                    <xdr:col>17</xdr:col>
                    <xdr:colOff>219075</xdr:colOff>
                    <xdr:row>19</xdr:row>
                    <xdr:rowOff>9525</xdr:rowOff>
                  </to>
                </anchor>
              </controlPr>
            </control>
          </mc:Choice>
        </mc:AlternateContent>
        <mc:AlternateContent xmlns:mc="http://schemas.openxmlformats.org/markup-compatibility/2006">
          <mc:Choice Requires="x14">
            <control shapeId="351435" r:id="rId8" name="Check Box 203">
              <controlPr defaultSize="0" print="0" autoFill="0" autoLine="0" autoPict="0" altText="Print Bolt-On Design Information">
                <anchor moveWithCells="1">
                  <from>
                    <xdr:col>11</xdr:col>
                    <xdr:colOff>85725</xdr:colOff>
                    <xdr:row>42</xdr:row>
                    <xdr:rowOff>0</xdr:rowOff>
                  </from>
                  <to>
                    <xdr:col>16</xdr:col>
                    <xdr:colOff>28575</xdr:colOff>
                    <xdr:row>43</xdr:row>
                    <xdr:rowOff>180975</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expression" priority="91" id="{00000000-000E-0000-0000-000058000000}">
            <xm:f>IF($G$20="Eccentric",IF(TIA="H",IF('Rev. H'!$D$30&gt;1,TRUE,IF(TIA="G",IF('Rev. G'!$D$33&gt;1,TRUE,IF(TIA="F",IF('Rev. F'!$D$35&gt;1,TRUE,FALSE)))))),FALSE)</xm:f>
            <x14:dxf>
              <font>
                <color rgb="FFFF0000"/>
              </font>
              <border>
                <left/>
                <right/>
                <top/>
                <bottom/>
              </border>
            </x14:dxf>
          </x14:cfRule>
          <xm:sqref>K15</xm:sqref>
        </x14:conditionalFormatting>
        <x14:conditionalFormatting xmlns:xm="http://schemas.microsoft.com/office/excel/2006/main">
          <x14:cfRule type="expression" priority="9" id="{BDC2FB77-7AE0-443B-B27C-C08F848656C3}">
            <xm:f>IF(OR($N$12='Rev. H'!$E$20,$N$12='Rev. G'!$E$23),1,0)</xm:f>
            <x14:dxf>
              <font>
                <color rgb="FFFF0000"/>
              </font>
            </x14:dxf>
          </x14:cfRule>
          <xm:sqref>N12:R12</xm:sqref>
        </x14:conditionalFormatting>
        <x14:conditionalFormatting xmlns:xm="http://schemas.microsoft.com/office/excel/2006/main">
          <x14:cfRule type="expression" priority="8" id="{8756465F-0391-4C65-99A7-549FDA9D4BC6}">
            <xm:f>IF(OR($N$12='Rev. H'!$E$20,$N$12='Rev. G'!$E$23),1,0)</xm:f>
            <x14:dxf>
              <font>
                <b val="0"/>
                <i val="0"/>
                <color theme="1"/>
              </font>
            </x14:dxf>
          </x14:cfRule>
          <xm:sqref>P13:R13</xm:sqref>
        </x14:conditionalFormatting>
      </x14:conditionalFormattings>
    </ext>
  </extLs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1DB7741-D447-4511-A386-8D49CA26D402}">
  <sheetPr codeName="Sheet2">
    <pageSetUpPr fitToPage="1"/>
  </sheetPr>
  <dimension ref="A1:AG706"/>
  <sheetViews>
    <sheetView showGridLines="0" showRowColHeaders="0" topLeftCell="A4" zoomScaleNormal="100" workbookViewId="0"/>
  </sheetViews>
  <sheetFormatPr defaultColWidth="0" defaultRowHeight="15" zeroHeight="1" x14ac:dyDescent="0.25"/>
  <cols>
    <col min="1" max="3" width="9.140625" style="218" customWidth="1"/>
    <col min="4" max="4" width="9.140625" style="219" customWidth="1"/>
    <col min="5" max="5" width="9.140625" style="220" customWidth="1"/>
    <col min="6" max="6" width="9.140625" style="218" customWidth="1"/>
    <col min="7" max="7" width="9.140625" style="219" customWidth="1"/>
    <col min="8" max="15" width="9.140625" style="218" customWidth="1"/>
    <col min="16" max="16" width="10.7109375" style="218" customWidth="1"/>
    <col min="17" max="17" width="12.85546875" style="219" bestFit="1" customWidth="1"/>
    <col min="18" max="18" width="9.140625" style="221" customWidth="1"/>
    <col min="19" max="26" width="9.140625" style="218" customWidth="1"/>
    <col min="27" max="27" width="9.140625" style="221" hidden="1" customWidth="1"/>
    <col min="28" max="28" width="10.5703125" style="218" customWidth="1"/>
    <col min="29" max="31" width="9.140625" style="218" customWidth="1"/>
    <col min="32" max="33" width="0" style="218" hidden="1" customWidth="1"/>
    <col min="34" max="16384" width="9.140625" style="218" hidden="1"/>
  </cols>
  <sheetData>
    <row r="1" spans="2:27" x14ac:dyDescent="0.25"/>
    <row r="2" spans="2:27" x14ac:dyDescent="0.25"/>
    <row r="3" spans="2:27" ht="18" x14ac:dyDescent="0.25">
      <c r="B3" s="305" t="s">
        <v>829</v>
      </c>
      <c r="C3" s="217"/>
      <c r="D3" s="217"/>
      <c r="E3" s="217"/>
      <c r="F3" s="217"/>
      <c r="G3" s="217"/>
      <c r="H3" s="217"/>
      <c r="I3" s="217"/>
      <c r="J3" s="217"/>
      <c r="K3" s="217"/>
      <c r="L3" s="217"/>
      <c r="M3" s="217"/>
      <c r="N3" s="217"/>
      <c r="O3" s="217"/>
      <c r="P3" s="217"/>
      <c r="Q3" s="308" t="s">
        <v>831</v>
      </c>
      <c r="R3" s="217"/>
      <c r="S3" s="217"/>
      <c r="T3" s="217"/>
    </row>
    <row r="4" spans="2:27" x14ac:dyDescent="0.25">
      <c r="Y4" s="219"/>
      <c r="Z4" s="219"/>
    </row>
    <row r="5" spans="2:27" s="222" customFormat="1" x14ac:dyDescent="0.25">
      <c r="E5" s="317" t="s">
        <v>858</v>
      </c>
      <c r="G5" s="222" t="s">
        <v>893</v>
      </c>
      <c r="H5" s="223"/>
      <c r="I5" s="223"/>
      <c r="J5" s="223"/>
      <c r="K5" s="223"/>
      <c r="L5" s="223"/>
      <c r="P5" s="234" t="s">
        <v>858</v>
      </c>
      <c r="Q5" s="251">
        <f>TowerTypeInput</f>
        <v>0</v>
      </c>
      <c r="Y5" s="224"/>
      <c r="Z5" s="224"/>
    </row>
    <row r="6" spans="2:27" x14ac:dyDescent="0.25">
      <c r="Y6" s="219"/>
      <c r="Z6" s="219"/>
    </row>
    <row r="7" spans="2:27" ht="18" x14ac:dyDescent="0.25">
      <c r="E7" s="220" t="s">
        <v>894</v>
      </c>
      <c r="P7" s="219" t="s">
        <v>863</v>
      </c>
      <c r="Q7" s="319">
        <v>240</v>
      </c>
      <c r="R7" s="218" t="s">
        <v>1</v>
      </c>
      <c r="Y7" s="219"/>
      <c r="Z7" s="219"/>
    </row>
    <row r="8" spans="2:27" x14ac:dyDescent="0.25">
      <c r="P8" s="219"/>
      <c r="Q8" s="221"/>
      <c r="R8" s="218"/>
      <c r="Y8" s="219"/>
      <c r="Z8" s="219"/>
    </row>
    <row r="9" spans="2:27" ht="18" x14ac:dyDescent="0.25">
      <c r="E9" s="220" t="s">
        <v>895</v>
      </c>
      <c r="P9" s="219" t="s">
        <v>862</v>
      </c>
      <c r="Q9" s="319">
        <v>228</v>
      </c>
      <c r="R9" s="218" t="s">
        <v>1</v>
      </c>
      <c r="Y9" s="219"/>
      <c r="Z9" s="219"/>
    </row>
    <row r="10" spans="2:27" x14ac:dyDescent="0.25">
      <c r="G10" s="218"/>
      <c r="U10" s="219"/>
      <c r="V10" s="221"/>
      <c r="Y10" s="219"/>
      <c r="Z10" s="219"/>
    </row>
    <row r="11" spans="2:27" ht="18" x14ac:dyDescent="0.25">
      <c r="E11" s="220" t="s">
        <v>896</v>
      </c>
      <c r="G11" s="241" t="s">
        <v>897</v>
      </c>
      <c r="P11" s="219" t="s">
        <v>864</v>
      </c>
      <c r="Q11" s="251">
        <f>Pdead</f>
        <v>0</v>
      </c>
      <c r="R11" s="218" t="s">
        <v>385</v>
      </c>
      <c r="Y11" s="219"/>
      <c r="Z11" s="219"/>
    </row>
    <row r="12" spans="2:27" x14ac:dyDescent="0.25">
      <c r="Y12" s="219"/>
      <c r="Z12" s="219"/>
    </row>
    <row r="13" spans="2:27" x14ac:dyDescent="0.25">
      <c r="M13" s="223"/>
      <c r="N13" s="222"/>
      <c r="O13" s="222"/>
      <c r="P13" s="281" t="s">
        <v>827</v>
      </c>
      <c r="Q13" s="225"/>
      <c r="Y13" s="219"/>
      <c r="Z13" s="219"/>
      <c r="AA13" s="313" t="b">
        <v>1</v>
      </c>
    </row>
    <row r="14" spans="2:27" x14ac:dyDescent="0.25">
      <c r="Y14" s="219"/>
      <c r="Z14" s="219"/>
      <c r="AA14" s="221" t="b">
        <v>1</v>
      </c>
    </row>
    <row r="15" spans="2:27" x14ac:dyDescent="0.25">
      <c r="B15" s="627" t="s">
        <v>788</v>
      </c>
      <c r="C15" s="628"/>
      <c r="D15" s="628"/>
      <c r="E15" s="628"/>
      <c r="F15" s="628"/>
      <c r="G15" s="628"/>
      <c r="H15" s="628"/>
      <c r="I15" s="628"/>
      <c r="J15" s="628"/>
      <c r="K15" s="628"/>
      <c r="L15" s="628"/>
      <c r="M15" s="628"/>
      <c r="N15" s="628"/>
      <c r="O15" s="628"/>
      <c r="P15" s="628"/>
      <c r="Q15" s="628"/>
      <c r="R15" s="628"/>
      <c r="S15" s="628"/>
      <c r="T15" s="629"/>
    </row>
    <row r="16" spans="2:27" x14ac:dyDescent="0.25">
      <c r="B16" s="226"/>
      <c r="C16" s="227"/>
      <c r="D16" s="228"/>
      <c r="E16" s="229"/>
      <c r="F16" s="227"/>
      <c r="G16" s="228"/>
      <c r="H16" s="227"/>
      <c r="I16" s="227"/>
      <c r="J16" s="227"/>
      <c r="K16" s="227"/>
      <c r="L16" s="227"/>
      <c r="M16" s="227"/>
      <c r="N16" s="227"/>
      <c r="O16" s="227"/>
      <c r="P16" s="227"/>
      <c r="Q16" s="228"/>
      <c r="R16" s="230"/>
      <c r="S16" s="227"/>
      <c r="T16" s="231"/>
    </row>
    <row r="17" spans="2:31" x14ac:dyDescent="0.25">
      <c r="B17" s="232"/>
      <c r="C17" s="233"/>
      <c r="D17" s="234"/>
      <c r="E17" s="235"/>
      <c r="F17" s="233"/>
      <c r="G17" s="234"/>
      <c r="H17" s="233"/>
      <c r="I17" s="233"/>
      <c r="J17" s="233"/>
      <c r="K17" s="233"/>
      <c r="L17" s="233"/>
      <c r="M17" s="233"/>
      <c r="N17" s="233"/>
      <c r="O17" s="233"/>
      <c r="Q17" s="218"/>
      <c r="R17" s="218"/>
      <c r="S17" s="233"/>
      <c r="T17" s="237"/>
    </row>
    <row r="18" spans="2:31" x14ac:dyDescent="0.25">
      <c r="B18" s="232"/>
      <c r="C18" s="233"/>
      <c r="D18" s="234"/>
      <c r="E18" s="235"/>
      <c r="F18" s="233"/>
      <c r="G18" s="234"/>
      <c r="H18" s="233"/>
      <c r="I18" s="233"/>
      <c r="J18" s="233"/>
      <c r="K18" s="233"/>
      <c r="L18" s="233"/>
      <c r="M18" s="233"/>
      <c r="N18" s="233"/>
      <c r="O18" s="233"/>
      <c r="P18" s="233"/>
      <c r="Q18" s="234"/>
      <c r="R18" s="236"/>
      <c r="S18" s="233"/>
      <c r="T18" s="237"/>
    </row>
    <row r="19" spans="2:31" x14ac:dyDescent="0.25">
      <c r="B19" s="232"/>
      <c r="C19" s="233"/>
      <c r="D19" s="234"/>
      <c r="E19" s="235"/>
      <c r="F19" s="233"/>
      <c r="G19" s="234"/>
      <c r="H19" s="233"/>
      <c r="I19" s="233"/>
      <c r="J19" s="233"/>
      <c r="K19" s="233"/>
      <c r="L19" s="233"/>
      <c r="M19" s="630" t="s">
        <v>785</v>
      </c>
      <c r="N19" s="631"/>
      <c r="O19" s="631"/>
      <c r="P19" s="631"/>
      <c r="Q19" s="631"/>
      <c r="R19" s="632"/>
      <c r="S19" s="233"/>
      <c r="T19" s="237"/>
    </row>
    <row r="20" spans="2:31" x14ac:dyDescent="0.25">
      <c r="B20" s="232"/>
      <c r="C20" s="233"/>
      <c r="D20" s="234"/>
      <c r="E20" s="235"/>
      <c r="F20" s="233"/>
      <c r="G20" s="234"/>
      <c r="H20" s="233"/>
      <c r="I20" s="233"/>
      <c r="J20" s="233"/>
      <c r="K20" s="233"/>
      <c r="L20" s="233"/>
      <c r="M20" s="633" t="s">
        <v>779</v>
      </c>
      <c r="N20" s="634"/>
      <c r="O20" s="634"/>
      <c r="P20" s="635"/>
      <c r="Q20" s="238">
        <v>6</v>
      </c>
      <c r="R20" s="239"/>
      <c r="S20" s="233"/>
      <c r="T20" s="237"/>
    </row>
    <row r="21" spans="2:31" x14ac:dyDescent="0.25">
      <c r="B21" s="232"/>
      <c r="C21" s="233"/>
      <c r="D21" s="234"/>
      <c r="E21" s="235"/>
      <c r="F21" s="233"/>
      <c r="G21" s="234"/>
      <c r="H21" s="233"/>
      <c r="I21" s="233"/>
      <c r="J21" s="233"/>
      <c r="K21" s="233"/>
      <c r="L21" s="233"/>
      <c r="M21" s="633" t="s">
        <v>345</v>
      </c>
      <c r="N21" s="634"/>
      <c r="O21" s="634"/>
      <c r="P21" s="635"/>
      <c r="Q21" s="238">
        <v>12</v>
      </c>
      <c r="R21" s="239" t="s">
        <v>1</v>
      </c>
      <c r="S21" s="233"/>
      <c r="T21" s="237"/>
    </row>
    <row r="22" spans="2:31" x14ac:dyDescent="0.25">
      <c r="B22" s="232"/>
      <c r="C22" s="233"/>
      <c r="D22" s="234"/>
      <c r="E22" s="235"/>
      <c r="F22" s="233"/>
      <c r="G22" s="234"/>
      <c r="H22" s="233"/>
      <c r="I22" s="233"/>
      <c r="J22" s="233"/>
      <c r="K22" s="233"/>
      <c r="L22" s="233"/>
      <c r="M22" s="633" t="s">
        <v>784</v>
      </c>
      <c r="N22" s="634"/>
      <c r="O22" s="634"/>
      <c r="P22" s="635"/>
      <c r="Q22" s="238">
        <v>1</v>
      </c>
      <c r="R22" s="239"/>
      <c r="S22" s="233"/>
      <c r="T22" s="237"/>
    </row>
    <row r="23" spans="2:31" x14ac:dyDescent="0.25">
      <c r="B23" s="232"/>
      <c r="C23" s="233"/>
      <c r="D23" s="234"/>
      <c r="E23" s="235"/>
      <c r="F23" s="233"/>
      <c r="G23" s="234"/>
      <c r="H23" s="233"/>
      <c r="I23" s="233"/>
      <c r="J23" s="233"/>
      <c r="K23" s="233"/>
      <c r="L23" s="233"/>
      <c r="M23" s="630" t="s">
        <v>786</v>
      </c>
      <c r="N23" s="631"/>
      <c r="O23" s="631"/>
      <c r="P23" s="631"/>
      <c r="Q23" s="631"/>
      <c r="R23" s="632"/>
      <c r="S23" s="233"/>
      <c r="T23" s="237"/>
    </row>
    <row r="24" spans="2:31" x14ac:dyDescent="0.25">
      <c r="B24" s="232"/>
      <c r="C24" s="233"/>
      <c r="D24" s="234"/>
      <c r="E24" s="235"/>
      <c r="F24" s="233"/>
      <c r="G24" s="234"/>
      <c r="H24" s="233"/>
      <c r="I24" s="233"/>
      <c r="J24" s="233"/>
      <c r="K24" s="233"/>
      <c r="L24" s="233"/>
      <c r="M24" s="633" t="s">
        <v>779</v>
      </c>
      <c r="N24" s="634"/>
      <c r="O24" s="634"/>
      <c r="P24" s="635"/>
      <c r="Q24" s="303">
        <f>QuantityofFlangeBoltsInput_Bot</f>
        <v>6</v>
      </c>
      <c r="R24" s="239"/>
      <c r="S24" s="233"/>
      <c r="T24" s="237"/>
    </row>
    <row r="25" spans="2:31" x14ac:dyDescent="0.25">
      <c r="B25" s="232"/>
      <c r="C25" s="233"/>
      <c r="D25" s="234"/>
      <c r="E25" s="235"/>
      <c r="F25" s="233"/>
      <c r="G25" s="234"/>
      <c r="H25" s="233"/>
      <c r="I25" s="233"/>
      <c r="J25" s="233"/>
      <c r="K25" s="233"/>
      <c r="L25" s="233"/>
      <c r="M25" s="633" t="s">
        <v>345</v>
      </c>
      <c r="N25" s="634"/>
      <c r="O25" s="634"/>
      <c r="P25" s="635"/>
      <c r="Q25" s="303">
        <f>BoltCircleInput_Bot</f>
        <v>12</v>
      </c>
      <c r="R25" s="239" t="s">
        <v>1</v>
      </c>
      <c r="S25" s="233"/>
      <c r="T25" s="237"/>
    </row>
    <row r="26" spans="2:31" x14ac:dyDescent="0.25">
      <c r="B26" s="232"/>
      <c r="C26" s="233"/>
      <c r="D26" s="234"/>
      <c r="E26" s="235"/>
      <c r="F26" s="233"/>
      <c r="G26" s="234"/>
      <c r="H26" s="233"/>
      <c r="I26" s="233"/>
      <c r="J26" s="233"/>
      <c r="K26" s="233"/>
      <c r="L26" s="233"/>
      <c r="M26" s="633" t="s">
        <v>784</v>
      </c>
      <c r="N26" s="634"/>
      <c r="O26" s="634"/>
      <c r="P26" s="635"/>
      <c r="Q26" s="303">
        <f>BoltOrientationInput_Bot</f>
        <v>1</v>
      </c>
      <c r="R26" s="239"/>
      <c r="S26" s="233"/>
      <c r="T26" s="237"/>
    </row>
    <row r="27" spans="2:31" x14ac:dyDescent="0.25">
      <c r="B27" s="232"/>
      <c r="C27" s="233"/>
      <c r="D27" s="234"/>
      <c r="E27" s="235"/>
      <c r="F27" s="233"/>
      <c r="G27" s="234"/>
      <c r="H27" s="233"/>
      <c r="I27" s="233"/>
      <c r="J27" s="233"/>
      <c r="K27" s="233"/>
      <c r="L27" s="233"/>
      <c r="M27" s="233"/>
      <c r="N27" s="233"/>
      <c r="O27" s="233"/>
      <c r="P27" s="233"/>
      <c r="Q27" s="234"/>
      <c r="R27" s="236"/>
      <c r="S27" s="233"/>
      <c r="T27" s="237"/>
    </row>
    <row r="28" spans="2:31" x14ac:dyDescent="0.25">
      <c r="B28" s="232"/>
      <c r="C28" s="233"/>
      <c r="D28" s="234"/>
      <c r="E28" s="235"/>
      <c r="F28" s="233"/>
      <c r="G28" s="234"/>
      <c r="H28" s="233"/>
      <c r="I28" s="233"/>
      <c r="J28" s="233"/>
      <c r="K28" s="233"/>
      <c r="L28" s="233"/>
      <c r="M28" s="233"/>
      <c r="N28" s="233"/>
      <c r="O28" s="233"/>
      <c r="P28" s="233"/>
      <c r="Q28" s="234"/>
      <c r="R28" s="236"/>
      <c r="S28" s="233"/>
      <c r="T28" s="237"/>
      <c r="V28" s="240"/>
      <c r="W28" s="219"/>
      <c r="X28" s="241"/>
      <c r="AB28" s="219"/>
      <c r="AC28" s="240"/>
      <c r="AD28" s="219"/>
      <c r="AE28" s="241"/>
    </row>
    <row r="29" spans="2:31" x14ac:dyDescent="0.25">
      <c r="B29" s="242"/>
      <c r="C29" s="243"/>
      <c r="D29" s="244"/>
      <c r="E29" s="245"/>
      <c r="F29" s="243"/>
      <c r="G29" s="244"/>
      <c r="H29" s="243"/>
      <c r="I29" s="243"/>
      <c r="J29" s="243"/>
      <c r="K29" s="243"/>
      <c r="L29" s="243"/>
      <c r="M29" s="243"/>
      <c r="N29" s="243"/>
      <c r="O29" s="243"/>
      <c r="P29" s="243"/>
      <c r="Q29" s="244"/>
      <c r="R29" s="246"/>
      <c r="S29" s="243"/>
      <c r="T29" s="247"/>
      <c r="V29" s="240"/>
      <c r="W29" s="219"/>
      <c r="X29" s="241"/>
      <c r="AB29" s="219"/>
      <c r="AC29" s="240"/>
      <c r="AD29" s="219"/>
      <c r="AE29" s="241"/>
    </row>
    <row r="30" spans="2:31" x14ac:dyDescent="0.25"/>
    <row r="31" spans="2:31" x14ac:dyDescent="0.25"/>
    <row r="32" spans="2:31" x14ac:dyDescent="0.25">
      <c r="G32" s="248"/>
    </row>
    <row r="33" spans="2:20" x14ac:dyDescent="0.25">
      <c r="B33" s="627" t="s">
        <v>790</v>
      </c>
      <c r="C33" s="628"/>
      <c r="D33" s="628"/>
      <c r="E33" s="628"/>
      <c r="F33" s="628"/>
      <c r="G33" s="628"/>
      <c r="H33" s="628"/>
      <c r="I33" s="628"/>
      <c r="J33" s="628"/>
      <c r="K33" s="628"/>
      <c r="L33" s="628"/>
      <c r="M33" s="628"/>
      <c r="N33" s="628"/>
      <c r="O33" s="628"/>
      <c r="P33" s="628"/>
      <c r="Q33" s="628"/>
      <c r="R33" s="628"/>
      <c r="S33" s="628"/>
      <c r="T33" s="629"/>
    </row>
    <row r="34" spans="2:20" x14ac:dyDescent="0.25">
      <c r="B34" s="226"/>
      <c r="C34" s="227"/>
      <c r="D34" s="228"/>
      <c r="E34" s="229"/>
      <c r="F34" s="227"/>
      <c r="G34" s="228"/>
      <c r="H34" s="227"/>
      <c r="I34" s="227"/>
      <c r="J34" s="227"/>
      <c r="K34" s="227"/>
      <c r="L34" s="227"/>
      <c r="M34" s="227"/>
      <c r="N34" s="227"/>
      <c r="O34" s="227"/>
      <c r="P34" s="227"/>
      <c r="Q34" s="228"/>
      <c r="R34" s="230"/>
      <c r="S34" s="227"/>
      <c r="T34" s="231"/>
    </row>
    <row r="35" spans="2:20" x14ac:dyDescent="0.25">
      <c r="B35" s="232"/>
      <c r="C35" s="233"/>
      <c r="D35" s="234"/>
      <c r="E35" s="235"/>
      <c r="F35" s="233"/>
      <c r="G35" s="234"/>
      <c r="H35" s="233"/>
      <c r="I35" s="233"/>
      <c r="J35" s="233"/>
      <c r="K35" s="233"/>
      <c r="L35" s="233"/>
      <c r="M35" s="233"/>
      <c r="N35" s="233"/>
      <c r="O35" s="233"/>
      <c r="P35" s="233"/>
      <c r="Q35" s="234"/>
      <c r="R35" s="236"/>
      <c r="S35" s="233"/>
      <c r="T35" s="237"/>
    </row>
    <row r="36" spans="2:20" x14ac:dyDescent="0.25">
      <c r="B36" s="232"/>
      <c r="C36" s="233"/>
      <c r="D36" s="234"/>
      <c r="E36" s="235"/>
      <c r="F36" s="233"/>
      <c r="G36" s="234"/>
      <c r="H36" s="233"/>
      <c r="I36" s="233"/>
      <c r="J36" s="233"/>
      <c r="K36" s="233"/>
      <c r="L36" s="233"/>
      <c r="M36" s="233"/>
      <c r="N36" s="233"/>
      <c r="O36" s="233"/>
      <c r="P36" s="233"/>
      <c r="Q36" s="234"/>
      <c r="R36" s="236"/>
      <c r="S36" s="233"/>
      <c r="T36" s="237"/>
    </row>
    <row r="37" spans="2:20" x14ac:dyDescent="0.25">
      <c r="B37" s="232"/>
      <c r="C37" s="233"/>
      <c r="D37" s="234"/>
      <c r="E37" s="235"/>
      <c r="F37" s="233"/>
      <c r="G37" s="234"/>
      <c r="H37" s="233"/>
      <c r="I37" s="233"/>
      <c r="J37" s="233"/>
      <c r="K37" s="233"/>
      <c r="L37" s="233"/>
      <c r="M37" s="630" t="s">
        <v>785</v>
      </c>
      <c r="N37" s="631"/>
      <c r="O37" s="631"/>
      <c r="P37" s="631"/>
      <c r="Q37" s="631"/>
      <c r="R37" s="632"/>
      <c r="S37" s="233"/>
      <c r="T37" s="237"/>
    </row>
    <row r="38" spans="2:20" x14ac:dyDescent="0.25">
      <c r="B38" s="232"/>
      <c r="C38" s="233"/>
      <c r="D38" s="234"/>
      <c r="E38" s="235"/>
      <c r="F38" s="233"/>
      <c r="G38" s="234"/>
      <c r="H38" s="233"/>
      <c r="I38" s="233"/>
      <c r="J38" s="233"/>
      <c r="K38" s="233"/>
      <c r="L38" s="233"/>
      <c r="M38" s="633" t="s">
        <v>540</v>
      </c>
      <c r="N38" s="634"/>
      <c r="O38" s="634"/>
      <c r="P38" s="635"/>
      <c r="Q38" s="238" t="s">
        <v>558</v>
      </c>
      <c r="R38" s="239"/>
      <c r="S38" s="233"/>
      <c r="T38" s="237"/>
    </row>
    <row r="39" spans="2:20" x14ac:dyDescent="0.25">
      <c r="B39" s="232"/>
      <c r="C39" s="233"/>
      <c r="D39" s="234"/>
      <c r="E39" s="235"/>
      <c r="F39" s="233"/>
      <c r="G39" s="234"/>
      <c r="H39" s="233"/>
      <c r="I39" s="233"/>
      <c r="J39" s="233"/>
      <c r="K39" s="233"/>
      <c r="L39" s="233"/>
      <c r="M39" s="633" t="s">
        <v>544</v>
      </c>
      <c r="N39" s="634"/>
      <c r="O39" s="634"/>
      <c r="P39" s="635"/>
      <c r="Q39" s="238" t="s">
        <v>337</v>
      </c>
      <c r="R39" s="239"/>
      <c r="S39" s="74"/>
      <c r="T39" s="237"/>
    </row>
    <row r="40" spans="2:20" x14ac:dyDescent="0.25">
      <c r="B40" s="232"/>
      <c r="C40" s="233"/>
      <c r="D40" s="234"/>
      <c r="E40" s="235"/>
      <c r="F40" s="233"/>
      <c r="G40" s="234"/>
      <c r="H40" s="233"/>
      <c r="I40" s="233"/>
      <c r="J40" s="233"/>
      <c r="K40" s="233"/>
      <c r="L40" s="233"/>
      <c r="M40" s="633" t="s">
        <v>341</v>
      </c>
      <c r="N40" s="634"/>
      <c r="O40" s="634"/>
      <c r="P40" s="635"/>
      <c r="Q40" s="238">
        <v>3</v>
      </c>
      <c r="R40" s="239"/>
      <c r="S40" s="233"/>
      <c r="T40" s="237"/>
    </row>
    <row r="41" spans="2:20" x14ac:dyDescent="0.25">
      <c r="B41" s="232"/>
      <c r="C41" s="233"/>
      <c r="D41" s="234"/>
      <c r="E41" s="235"/>
      <c r="F41" s="233"/>
      <c r="G41" s="234"/>
      <c r="H41" s="233"/>
      <c r="I41" s="233"/>
      <c r="J41" s="233"/>
      <c r="K41" s="233"/>
      <c r="L41" s="233"/>
      <c r="M41" s="633" t="s">
        <v>346</v>
      </c>
      <c r="N41" s="634"/>
      <c r="O41" s="634"/>
      <c r="P41" s="635"/>
      <c r="Q41" s="238">
        <v>12</v>
      </c>
      <c r="R41" s="239" t="s">
        <v>1</v>
      </c>
      <c r="S41" s="233"/>
      <c r="T41" s="237"/>
    </row>
    <row r="42" spans="2:20" x14ac:dyDescent="0.25">
      <c r="B42" s="232"/>
      <c r="C42" s="233"/>
      <c r="D42" s="234"/>
      <c r="E42" s="235"/>
      <c r="F42" s="233"/>
      <c r="G42" s="234"/>
      <c r="H42" s="233"/>
      <c r="I42" s="233"/>
      <c r="J42" s="233"/>
      <c r="K42" s="233"/>
      <c r="L42" s="233"/>
      <c r="M42" s="630" t="s">
        <v>786</v>
      </c>
      <c r="N42" s="631"/>
      <c r="O42" s="631"/>
      <c r="P42" s="631"/>
      <c r="Q42" s="631"/>
      <c r="R42" s="632"/>
      <c r="S42" s="233"/>
      <c r="T42" s="237"/>
    </row>
    <row r="43" spans="2:20" x14ac:dyDescent="0.25">
      <c r="B43" s="232"/>
      <c r="C43" s="233"/>
      <c r="D43" s="234"/>
      <c r="E43" s="235"/>
      <c r="F43" s="233"/>
      <c r="G43" s="234"/>
      <c r="H43" s="233"/>
      <c r="I43" s="233"/>
      <c r="J43" s="233"/>
      <c r="K43" s="233"/>
      <c r="L43" s="233"/>
      <c r="M43" s="633" t="s">
        <v>540</v>
      </c>
      <c r="N43" s="634"/>
      <c r="O43" s="634"/>
      <c r="P43" s="635"/>
      <c r="Q43" s="303" t="str">
        <f>ThreadedRodSizeInput_Bot</f>
        <v>1-3/8"</v>
      </c>
      <c r="R43" s="239"/>
      <c r="S43" s="74"/>
      <c r="T43" s="237"/>
    </row>
    <row r="44" spans="2:20" x14ac:dyDescent="0.25">
      <c r="B44" s="232"/>
      <c r="C44" s="233"/>
      <c r="D44" s="234"/>
      <c r="E44" s="235"/>
      <c r="F44" s="233"/>
      <c r="G44" s="234"/>
      <c r="H44" s="233"/>
      <c r="I44" s="233"/>
      <c r="J44" s="233"/>
      <c r="K44" s="233"/>
      <c r="L44" s="233"/>
      <c r="M44" s="633" t="s">
        <v>544</v>
      </c>
      <c r="N44" s="634"/>
      <c r="O44" s="634"/>
      <c r="P44" s="635"/>
      <c r="Q44" s="303" t="str">
        <f>ThreadedRodMaterialInput_Bot</f>
        <v>A193 B7</v>
      </c>
      <c r="R44" s="239"/>
      <c r="S44" s="74"/>
      <c r="T44" s="237"/>
    </row>
    <row r="45" spans="2:20" x14ac:dyDescent="0.25">
      <c r="B45" s="232"/>
      <c r="C45" s="233"/>
      <c r="D45" s="234"/>
      <c r="E45" s="235"/>
      <c r="F45" s="233"/>
      <c r="G45" s="234"/>
      <c r="H45" s="233"/>
      <c r="I45" s="233"/>
      <c r="J45" s="233"/>
      <c r="K45" s="233"/>
      <c r="L45" s="233"/>
      <c r="M45" s="633" t="s">
        <v>341</v>
      </c>
      <c r="N45" s="634"/>
      <c r="O45" s="634"/>
      <c r="P45" s="635"/>
      <c r="Q45" s="303">
        <f>QuantityofThreadedRodsInput_Bot</f>
        <v>3</v>
      </c>
      <c r="R45" s="239"/>
      <c r="S45" s="233"/>
      <c r="T45" s="237"/>
    </row>
    <row r="46" spans="2:20" x14ac:dyDescent="0.25">
      <c r="B46" s="232"/>
      <c r="C46" s="233"/>
      <c r="D46" s="234"/>
      <c r="E46" s="235"/>
      <c r="F46" s="233"/>
      <c r="G46" s="234"/>
      <c r="H46" s="233"/>
      <c r="I46" s="233"/>
      <c r="J46" s="233"/>
      <c r="K46" s="233"/>
      <c r="L46" s="233"/>
      <c r="M46" s="633" t="s">
        <v>346</v>
      </c>
      <c r="N46" s="634"/>
      <c r="O46" s="634"/>
      <c r="P46" s="635"/>
      <c r="Q46" s="303">
        <f>UnbracedLengthofThreadedRodsInput_Bot</f>
        <v>12</v>
      </c>
      <c r="R46" s="239" t="s">
        <v>1</v>
      </c>
      <c r="S46" s="233"/>
      <c r="T46" s="237"/>
    </row>
    <row r="47" spans="2:20" x14ac:dyDescent="0.25">
      <c r="B47" s="232"/>
      <c r="C47" s="233"/>
      <c r="D47" s="234"/>
      <c r="E47" s="235"/>
      <c r="F47" s="233"/>
      <c r="G47" s="234"/>
      <c r="H47" s="233"/>
      <c r="I47" s="233"/>
      <c r="J47" s="233"/>
      <c r="K47" s="233"/>
      <c r="L47" s="233"/>
      <c r="M47" s="233"/>
      <c r="N47" s="233"/>
      <c r="O47" s="233"/>
      <c r="P47" s="233"/>
      <c r="Q47" s="234"/>
      <c r="R47" s="236"/>
      <c r="S47" s="233"/>
      <c r="T47" s="237"/>
    </row>
    <row r="48" spans="2:20" ht="18" x14ac:dyDescent="0.25">
      <c r="B48" s="232"/>
      <c r="C48" s="233"/>
      <c r="D48" s="234"/>
      <c r="E48" s="235"/>
      <c r="F48" s="233"/>
      <c r="G48" s="234"/>
      <c r="H48" s="233"/>
      <c r="I48" s="233"/>
      <c r="J48" s="233"/>
      <c r="K48" s="233"/>
      <c r="L48" s="233"/>
      <c r="M48" s="233"/>
      <c r="N48" s="233"/>
      <c r="O48" s="233"/>
      <c r="P48" s="233"/>
      <c r="Q48" s="315" t="s">
        <v>830</v>
      </c>
      <c r="R48" s="233"/>
      <c r="S48" s="233"/>
      <c r="T48" s="237"/>
    </row>
    <row r="49" spans="2:20" x14ac:dyDescent="0.25">
      <c r="B49" s="242"/>
      <c r="C49" s="243"/>
      <c r="D49" s="244"/>
      <c r="E49" s="245"/>
      <c r="F49" s="243"/>
      <c r="G49" s="244"/>
      <c r="H49" s="243"/>
      <c r="I49" s="243"/>
      <c r="J49" s="243"/>
      <c r="K49" s="243"/>
      <c r="L49" s="243"/>
      <c r="M49" s="243"/>
      <c r="N49" s="243"/>
      <c r="O49" s="243"/>
      <c r="P49" s="243"/>
      <c r="Q49" s="244"/>
      <c r="R49" s="246"/>
      <c r="S49" s="243"/>
      <c r="T49" s="247"/>
    </row>
    <row r="50" spans="2:20" x14ac:dyDescent="0.25"/>
    <row r="51" spans="2:20" x14ac:dyDescent="0.25"/>
    <row r="52" spans="2:20" x14ac:dyDescent="0.25"/>
    <row r="53" spans="2:20" x14ac:dyDescent="0.25">
      <c r="B53" s="636" t="s">
        <v>789</v>
      </c>
      <c r="C53" s="637"/>
      <c r="D53" s="637"/>
      <c r="E53" s="637"/>
      <c r="F53" s="637"/>
      <c r="G53" s="637"/>
      <c r="H53" s="637"/>
      <c r="I53" s="637"/>
      <c r="J53" s="637"/>
      <c r="K53" s="637"/>
      <c r="L53" s="637"/>
      <c r="M53" s="637"/>
      <c r="N53" s="637"/>
      <c r="O53" s="637"/>
      <c r="P53" s="637"/>
      <c r="Q53" s="637"/>
      <c r="R53" s="637"/>
      <c r="S53" s="637"/>
      <c r="T53" s="638"/>
    </row>
    <row r="54" spans="2:20" x14ac:dyDescent="0.25">
      <c r="B54" s="232"/>
      <c r="C54" s="233"/>
      <c r="D54" s="234"/>
      <c r="E54" s="235"/>
      <c r="F54" s="233"/>
      <c r="G54" s="234"/>
      <c r="H54" s="233"/>
      <c r="I54" s="233"/>
      <c r="J54" s="233"/>
      <c r="K54" s="233"/>
      <c r="L54" s="233"/>
      <c r="M54" s="233"/>
      <c r="N54" s="233"/>
      <c r="O54" s="233"/>
      <c r="P54" s="233"/>
      <c r="Q54" s="234"/>
      <c r="R54" s="236"/>
      <c r="S54" s="233"/>
      <c r="T54" s="237"/>
    </row>
    <row r="55" spans="2:20" x14ac:dyDescent="0.25">
      <c r="B55" s="232"/>
      <c r="C55" s="233"/>
      <c r="D55" s="234"/>
      <c r="E55" s="235"/>
      <c r="F55" s="233"/>
      <c r="G55" s="234"/>
      <c r="H55" s="233"/>
      <c r="I55" s="233"/>
      <c r="J55" s="233"/>
      <c r="K55" s="233"/>
      <c r="L55" s="233"/>
      <c r="M55" s="233"/>
      <c r="N55" s="233"/>
      <c r="O55" s="233"/>
      <c r="P55" s="234"/>
      <c r="Q55" s="234"/>
      <c r="R55" s="236"/>
      <c r="S55" s="233"/>
      <c r="T55" s="237"/>
    </row>
    <row r="56" spans="2:20" x14ac:dyDescent="0.25">
      <c r="B56" s="232"/>
      <c r="C56" s="233"/>
      <c r="D56" s="234"/>
      <c r="E56" s="235"/>
      <c r="F56" s="233"/>
      <c r="G56" s="234"/>
      <c r="H56" s="233"/>
      <c r="I56" s="233"/>
      <c r="J56" s="233"/>
      <c r="K56" s="233"/>
      <c r="L56" s="233"/>
      <c r="M56" s="233"/>
      <c r="N56" s="233"/>
      <c r="O56" s="233"/>
      <c r="P56" s="234"/>
      <c r="Q56" s="234"/>
      <c r="R56" s="236"/>
      <c r="S56" s="233"/>
      <c r="T56" s="237"/>
    </row>
    <row r="57" spans="2:20" x14ac:dyDescent="0.25">
      <c r="B57" s="232"/>
      <c r="C57" s="233"/>
      <c r="D57" s="234"/>
      <c r="E57" s="235"/>
      <c r="F57" s="233"/>
      <c r="G57" s="234"/>
      <c r="H57" s="233"/>
      <c r="I57" s="233"/>
      <c r="J57" s="233"/>
      <c r="K57" s="233"/>
      <c r="L57" s="233"/>
      <c r="M57" s="233"/>
      <c r="N57" s="233"/>
      <c r="O57" s="233"/>
      <c r="P57" s="234"/>
      <c r="Q57" s="234"/>
      <c r="R57" s="236"/>
      <c r="S57" s="233"/>
      <c r="T57" s="237"/>
    </row>
    <row r="58" spans="2:20" x14ac:dyDescent="0.25">
      <c r="B58" s="232"/>
      <c r="C58" s="233"/>
      <c r="D58" s="234"/>
      <c r="E58" s="235"/>
      <c r="F58" s="233"/>
      <c r="G58" s="234"/>
      <c r="H58" s="233"/>
      <c r="I58" s="233"/>
      <c r="J58" s="233"/>
      <c r="K58" s="233"/>
      <c r="L58" s="233"/>
      <c r="M58" s="233"/>
      <c r="N58" s="233"/>
      <c r="O58" s="233"/>
      <c r="P58" s="234"/>
      <c r="Q58" s="249"/>
      <c r="R58" s="236"/>
      <c r="S58" s="233"/>
      <c r="T58" s="237"/>
    </row>
    <row r="59" spans="2:20" x14ac:dyDescent="0.25">
      <c r="B59" s="232"/>
      <c r="C59" s="233"/>
      <c r="D59" s="234"/>
      <c r="E59" s="235"/>
      <c r="F59" s="233"/>
      <c r="G59" s="234"/>
      <c r="H59" s="233"/>
      <c r="I59" s="233"/>
      <c r="J59" s="233"/>
      <c r="K59" s="233"/>
      <c r="L59" s="233"/>
      <c r="M59" s="630" t="s">
        <v>785</v>
      </c>
      <c r="N59" s="631"/>
      <c r="O59" s="631"/>
      <c r="P59" s="631"/>
      <c r="Q59" s="631"/>
      <c r="R59" s="632"/>
      <c r="S59" s="250"/>
      <c r="T59" s="237"/>
    </row>
    <row r="60" spans="2:20" x14ac:dyDescent="0.25">
      <c r="B60" s="232"/>
      <c r="C60" s="233"/>
      <c r="D60" s="234"/>
      <c r="E60" s="235"/>
      <c r="F60" s="233"/>
      <c r="G60" s="234"/>
      <c r="H60" s="233"/>
      <c r="I60" s="233"/>
      <c r="J60" s="233"/>
      <c r="K60" s="233"/>
      <c r="L60" s="233"/>
      <c r="M60" s="633" t="s">
        <v>399</v>
      </c>
      <c r="N60" s="634"/>
      <c r="O60" s="634"/>
      <c r="P60" s="635"/>
      <c r="Q60" s="238">
        <v>8</v>
      </c>
      <c r="R60" s="239" t="s">
        <v>1</v>
      </c>
      <c r="S60" s="250"/>
      <c r="T60" s="237"/>
    </row>
    <row r="61" spans="2:20" x14ac:dyDescent="0.25">
      <c r="B61" s="232"/>
      <c r="C61" s="233"/>
      <c r="D61" s="234"/>
      <c r="E61" s="235"/>
      <c r="F61" s="233"/>
      <c r="G61" s="234"/>
      <c r="H61" s="233"/>
      <c r="I61" s="233"/>
      <c r="J61" s="233"/>
      <c r="K61" s="233"/>
      <c r="L61" s="233"/>
      <c r="M61" s="633" t="s">
        <v>401</v>
      </c>
      <c r="N61" s="634"/>
      <c r="O61" s="634"/>
      <c r="P61" s="635"/>
      <c r="Q61" s="238">
        <v>4</v>
      </c>
      <c r="R61" s="239" t="s">
        <v>1</v>
      </c>
      <c r="S61" s="233"/>
      <c r="T61" s="237"/>
    </row>
    <row r="62" spans="2:20" x14ac:dyDescent="0.25">
      <c r="B62" s="232"/>
      <c r="C62" s="233"/>
      <c r="D62" s="234"/>
      <c r="E62" s="235"/>
      <c r="F62" s="233"/>
      <c r="G62" s="234"/>
      <c r="H62" s="233"/>
      <c r="I62" s="233"/>
      <c r="J62" s="233"/>
      <c r="K62" s="233"/>
      <c r="L62" s="233"/>
      <c r="M62" s="633" t="s">
        <v>777</v>
      </c>
      <c r="N62" s="634"/>
      <c r="O62" s="634"/>
      <c r="P62" s="635"/>
      <c r="Q62" s="238">
        <v>8</v>
      </c>
      <c r="R62" s="239" t="s">
        <v>414</v>
      </c>
      <c r="S62" s="233"/>
      <c r="T62" s="237"/>
    </row>
    <row r="63" spans="2:20" x14ac:dyDescent="0.25">
      <c r="B63" s="232"/>
      <c r="C63" s="233"/>
      <c r="D63" s="234"/>
      <c r="E63" s="235"/>
      <c r="F63" s="233"/>
      <c r="G63" s="234"/>
      <c r="H63" s="233"/>
      <c r="I63" s="233"/>
      <c r="J63" s="233"/>
      <c r="K63" s="233"/>
      <c r="L63" s="233"/>
      <c r="M63" s="633" t="s">
        <v>413</v>
      </c>
      <c r="N63" s="634"/>
      <c r="O63" s="634"/>
      <c r="P63" s="635"/>
      <c r="Q63" s="238">
        <v>70</v>
      </c>
      <c r="R63" s="239" t="s">
        <v>0</v>
      </c>
      <c r="S63" s="233"/>
      <c r="T63" s="237"/>
    </row>
    <row r="64" spans="2:20" x14ac:dyDescent="0.25">
      <c r="B64" s="232"/>
      <c r="C64" s="233"/>
      <c r="D64" s="234"/>
      <c r="E64" s="235"/>
      <c r="F64" s="233"/>
      <c r="G64" s="234"/>
      <c r="H64" s="233"/>
      <c r="I64" s="233"/>
      <c r="J64" s="233"/>
      <c r="K64" s="233"/>
      <c r="L64" s="233"/>
      <c r="M64" s="633" t="s">
        <v>783</v>
      </c>
      <c r="N64" s="634"/>
      <c r="O64" s="634"/>
      <c r="P64" s="635"/>
      <c r="Q64" s="238">
        <v>1</v>
      </c>
      <c r="R64" s="239" t="s">
        <v>1</v>
      </c>
      <c r="S64" s="233"/>
      <c r="T64" s="237"/>
    </row>
    <row r="65" spans="2:30" x14ac:dyDescent="0.25">
      <c r="B65" s="232"/>
      <c r="C65" s="233"/>
      <c r="D65" s="234"/>
      <c r="E65" s="235"/>
      <c r="F65" s="233"/>
      <c r="G65" s="234"/>
      <c r="H65" s="233"/>
      <c r="I65" s="233"/>
      <c r="J65" s="233"/>
      <c r="K65" s="233"/>
      <c r="L65" s="233"/>
      <c r="M65" s="630" t="s">
        <v>786</v>
      </c>
      <c r="N65" s="631"/>
      <c r="O65" s="631"/>
      <c r="P65" s="631"/>
      <c r="Q65" s="631"/>
      <c r="R65" s="632"/>
      <c r="S65" s="233"/>
      <c r="T65" s="237"/>
    </row>
    <row r="66" spans="2:30" x14ac:dyDescent="0.25">
      <c r="B66" s="232"/>
      <c r="C66" s="233"/>
      <c r="D66" s="234"/>
      <c r="E66" s="235"/>
      <c r="F66" s="233"/>
      <c r="G66" s="234"/>
      <c r="H66" s="233"/>
      <c r="I66" s="233"/>
      <c r="J66" s="233"/>
      <c r="K66" s="233"/>
      <c r="L66" s="233"/>
      <c r="M66" s="633" t="s">
        <v>399</v>
      </c>
      <c r="N66" s="634"/>
      <c r="O66" s="634"/>
      <c r="P66" s="635"/>
      <c r="Q66" s="303">
        <f>HeightofStiffenersInput_Bot</f>
        <v>8</v>
      </c>
      <c r="R66" s="239" t="s">
        <v>1</v>
      </c>
      <c r="S66" s="233"/>
      <c r="T66" s="237"/>
    </row>
    <row r="67" spans="2:30" x14ac:dyDescent="0.25">
      <c r="B67" s="232"/>
      <c r="C67" s="233"/>
      <c r="D67" s="234"/>
      <c r="E67" s="235"/>
      <c r="F67" s="233"/>
      <c r="G67" s="234"/>
      <c r="H67" s="233"/>
      <c r="I67" s="233"/>
      <c r="J67" s="233"/>
      <c r="K67" s="233"/>
      <c r="L67" s="233"/>
      <c r="M67" s="633" t="s">
        <v>401</v>
      </c>
      <c r="N67" s="634"/>
      <c r="O67" s="634"/>
      <c r="P67" s="635"/>
      <c r="Q67" s="303">
        <f>LengthofStiffenersInput_Bot</f>
        <v>4</v>
      </c>
      <c r="R67" s="239" t="s">
        <v>1</v>
      </c>
      <c r="S67" s="233"/>
      <c r="T67" s="237"/>
    </row>
    <row r="68" spans="2:30" x14ac:dyDescent="0.25">
      <c r="B68" s="232"/>
      <c r="C68" s="233"/>
      <c r="D68" s="234"/>
      <c r="E68" s="235"/>
      <c r="F68" s="233"/>
      <c r="G68" s="234"/>
      <c r="H68" s="233"/>
      <c r="I68" s="233"/>
      <c r="J68" s="233"/>
      <c r="K68" s="233"/>
      <c r="L68" s="233"/>
      <c r="M68" s="633" t="s">
        <v>777</v>
      </c>
      <c r="N68" s="634"/>
      <c r="O68" s="634"/>
      <c r="P68" s="635"/>
      <c r="Q68" s="303">
        <f>FilletWeldSizeInput_Bot</f>
        <v>8</v>
      </c>
      <c r="R68" s="239" t="s">
        <v>414</v>
      </c>
      <c r="S68" s="233"/>
      <c r="T68" s="237"/>
    </row>
    <row r="69" spans="2:30" x14ac:dyDescent="0.25">
      <c r="B69" s="232"/>
      <c r="C69" s="233"/>
      <c r="D69" s="234"/>
      <c r="E69" s="235"/>
      <c r="F69" s="233"/>
      <c r="G69" s="234"/>
      <c r="H69" s="233"/>
      <c r="I69" s="233"/>
      <c r="J69" s="233"/>
      <c r="K69" s="233"/>
      <c r="L69" s="233"/>
      <c r="M69" s="633" t="s">
        <v>413</v>
      </c>
      <c r="N69" s="634"/>
      <c r="O69" s="634"/>
      <c r="P69" s="635"/>
      <c r="Q69" s="303">
        <f>ElectrodeStrengthInput_Bot</f>
        <v>70</v>
      </c>
      <c r="R69" s="239" t="s">
        <v>0</v>
      </c>
      <c r="S69" s="233"/>
      <c r="T69" s="237"/>
    </row>
    <row r="70" spans="2:30" x14ac:dyDescent="0.25">
      <c r="B70" s="232"/>
      <c r="C70" s="233"/>
      <c r="D70" s="234"/>
      <c r="E70" s="235"/>
      <c r="F70" s="233"/>
      <c r="G70" s="234"/>
      <c r="H70" s="233"/>
      <c r="I70" s="233"/>
      <c r="J70" s="233"/>
      <c r="K70" s="233"/>
      <c r="L70" s="233"/>
      <c r="M70" s="633" t="s">
        <v>783</v>
      </c>
      <c r="N70" s="634"/>
      <c r="O70" s="634"/>
      <c r="P70" s="635"/>
      <c r="Q70" s="303">
        <f>FlangeThicknessInput_Bot</f>
        <v>1</v>
      </c>
      <c r="R70" s="239" t="s">
        <v>1</v>
      </c>
      <c r="S70" s="233"/>
      <c r="T70" s="237"/>
    </row>
    <row r="71" spans="2:30" x14ac:dyDescent="0.25">
      <c r="B71" s="232"/>
      <c r="C71" s="233"/>
      <c r="D71" s="234"/>
      <c r="E71" s="235"/>
      <c r="F71" s="233"/>
      <c r="G71" s="234"/>
      <c r="H71" s="233"/>
      <c r="I71" s="233"/>
      <c r="J71" s="233"/>
      <c r="K71" s="233"/>
      <c r="L71" s="233"/>
      <c r="M71" s="233"/>
      <c r="N71" s="233"/>
      <c r="O71" s="233"/>
      <c r="P71" s="233"/>
      <c r="Q71" s="234"/>
      <c r="R71" s="236"/>
      <c r="S71" s="233"/>
      <c r="T71" s="237"/>
    </row>
    <row r="72" spans="2:30" x14ac:dyDescent="0.25">
      <c r="B72" s="232"/>
      <c r="C72" s="233"/>
      <c r="D72" s="234"/>
      <c r="E72" s="235"/>
      <c r="F72" s="233"/>
      <c r="G72" s="234"/>
      <c r="H72" s="233"/>
      <c r="I72" s="233"/>
      <c r="J72" s="233"/>
      <c r="K72" s="233"/>
      <c r="L72" s="233"/>
      <c r="M72" s="233"/>
      <c r="N72" s="233"/>
      <c r="O72" s="233"/>
      <c r="P72" s="233"/>
      <c r="Q72" s="234"/>
      <c r="R72" s="236"/>
      <c r="S72" s="233"/>
      <c r="T72" s="237"/>
    </row>
    <row r="73" spans="2:30" x14ac:dyDescent="0.25">
      <c r="B73" s="232"/>
      <c r="C73" s="233"/>
      <c r="D73" s="234"/>
      <c r="E73" s="235"/>
      <c r="F73" s="233"/>
      <c r="G73" s="234"/>
      <c r="H73" s="233"/>
      <c r="I73" s="233"/>
      <c r="J73" s="233"/>
      <c r="K73" s="233"/>
      <c r="L73" s="233"/>
      <c r="M73" s="233"/>
      <c r="N73" s="233"/>
      <c r="O73" s="233"/>
      <c r="P73" s="233"/>
      <c r="Q73" s="234"/>
      <c r="R73" s="236"/>
      <c r="S73" s="233"/>
      <c r="T73" s="237"/>
    </row>
    <row r="74" spans="2:30" x14ac:dyDescent="0.25">
      <c r="B74" s="232"/>
      <c r="C74" s="233"/>
      <c r="D74" s="234"/>
      <c r="E74" s="235"/>
      <c r="F74" s="233"/>
      <c r="G74" s="234"/>
      <c r="H74" s="233"/>
      <c r="I74" s="233"/>
      <c r="J74" s="233"/>
      <c r="K74" s="233"/>
      <c r="L74" s="233"/>
      <c r="M74" s="233"/>
      <c r="N74" s="233"/>
      <c r="O74" s="233"/>
      <c r="P74" s="233"/>
      <c r="Q74" s="234"/>
      <c r="R74" s="236"/>
      <c r="S74" s="233"/>
      <c r="T74" s="237"/>
      <c r="V74" s="249"/>
      <c r="W74" s="251"/>
      <c r="X74" s="250"/>
      <c r="AC74" s="252"/>
      <c r="AD74" s="250"/>
    </row>
    <row r="75" spans="2:30" x14ac:dyDescent="0.25">
      <c r="B75" s="232"/>
      <c r="C75" s="233"/>
      <c r="D75" s="234"/>
      <c r="E75" s="235"/>
      <c r="F75" s="233"/>
      <c r="G75" s="234"/>
      <c r="H75" s="233"/>
      <c r="I75" s="233"/>
      <c r="J75" s="233"/>
      <c r="K75" s="233"/>
      <c r="L75" s="233"/>
      <c r="M75" s="233"/>
      <c r="N75" s="233"/>
      <c r="O75" s="233"/>
      <c r="P75" s="233"/>
      <c r="Q75" s="234"/>
      <c r="R75" s="236"/>
      <c r="S75" s="233"/>
      <c r="T75" s="237"/>
      <c r="V75" s="251"/>
      <c r="W75" s="250"/>
      <c r="AC75" s="252"/>
      <c r="AD75" s="250"/>
    </row>
    <row r="76" spans="2:30" x14ac:dyDescent="0.25">
      <c r="B76" s="242"/>
      <c r="C76" s="243"/>
      <c r="D76" s="244"/>
      <c r="E76" s="245"/>
      <c r="F76" s="243"/>
      <c r="G76" s="244"/>
      <c r="H76" s="243"/>
      <c r="I76" s="243"/>
      <c r="J76" s="243"/>
      <c r="K76" s="243"/>
      <c r="L76" s="243"/>
      <c r="M76" s="243"/>
      <c r="N76" s="243"/>
      <c r="O76" s="243"/>
      <c r="P76" s="243"/>
      <c r="Q76" s="244"/>
      <c r="R76" s="246"/>
      <c r="S76" s="243"/>
      <c r="T76" s="247"/>
      <c r="Z76" s="250"/>
      <c r="AA76" s="251"/>
      <c r="AB76" s="252"/>
      <c r="AC76" s="252"/>
      <c r="AD76" s="250"/>
    </row>
    <row r="77" spans="2:30" x14ac:dyDescent="0.25">
      <c r="B77" s="233"/>
      <c r="C77" s="233"/>
      <c r="D77" s="234"/>
      <c r="E77" s="235"/>
      <c r="F77" s="233"/>
      <c r="G77" s="234"/>
      <c r="H77" s="233"/>
      <c r="I77" s="233"/>
      <c r="J77" s="233"/>
      <c r="K77" s="233"/>
      <c r="L77" s="233"/>
      <c r="M77" s="233"/>
      <c r="N77" s="233"/>
      <c r="O77" s="233"/>
      <c r="P77" s="233"/>
      <c r="Q77" s="234"/>
      <c r="R77" s="236"/>
      <c r="S77" s="233"/>
      <c r="T77" s="233"/>
      <c r="Z77" s="250"/>
      <c r="AA77" s="251"/>
      <c r="AB77" s="252"/>
      <c r="AC77" s="252"/>
      <c r="AD77" s="250"/>
    </row>
    <row r="78" spans="2:30" x14ac:dyDescent="0.25">
      <c r="B78" s="233"/>
      <c r="C78" s="233"/>
      <c r="D78" s="234"/>
      <c r="E78" s="235"/>
      <c r="F78" s="233"/>
      <c r="G78" s="234"/>
      <c r="H78" s="233"/>
      <c r="I78" s="233"/>
      <c r="J78" s="233"/>
      <c r="K78" s="233"/>
      <c r="L78" s="233"/>
      <c r="M78" s="233"/>
      <c r="N78" s="233"/>
      <c r="O78" s="233"/>
      <c r="P78" s="233"/>
      <c r="Q78" s="234"/>
      <c r="R78" s="236"/>
      <c r="S78" s="233"/>
      <c r="T78" s="233"/>
      <c r="Z78" s="250"/>
      <c r="AA78" s="251"/>
      <c r="AB78" s="252"/>
      <c r="AC78" s="252"/>
      <c r="AD78" s="250"/>
    </row>
    <row r="79" spans="2:30" x14ac:dyDescent="0.25">
      <c r="B79" s="625"/>
      <c r="C79" s="625"/>
      <c r="D79" s="625"/>
      <c r="E79" s="625"/>
      <c r="F79" s="233"/>
      <c r="G79" s="234"/>
      <c r="H79" s="233"/>
      <c r="I79" s="233"/>
      <c r="J79" s="233"/>
      <c r="K79" s="223"/>
      <c r="L79" s="223"/>
      <c r="M79" s="223"/>
      <c r="N79" s="222"/>
      <c r="O79" s="222"/>
      <c r="P79" s="281" t="s">
        <v>828</v>
      </c>
      <c r="Q79" s="225"/>
      <c r="R79" s="222"/>
      <c r="T79" s="233"/>
      <c r="Z79" s="250"/>
      <c r="AA79" s="251" t="b">
        <v>0</v>
      </c>
      <c r="AB79" s="252"/>
      <c r="AC79" s="252"/>
      <c r="AD79" s="250"/>
    </row>
    <row r="80" spans="2:30" x14ac:dyDescent="0.25">
      <c r="B80" s="233"/>
      <c r="C80" s="233"/>
      <c r="D80" s="234"/>
      <c r="E80" s="235"/>
      <c r="F80" s="233"/>
      <c r="G80" s="234"/>
      <c r="H80" s="233"/>
      <c r="I80" s="233"/>
      <c r="J80" s="233"/>
      <c r="K80" s="233"/>
      <c r="L80" s="233"/>
      <c r="M80" s="233"/>
      <c r="N80" s="233"/>
      <c r="O80" s="233"/>
      <c r="P80" s="233"/>
      <c r="Q80" s="234"/>
      <c r="R80" s="236"/>
      <c r="S80" s="233"/>
      <c r="T80" s="233"/>
      <c r="Z80" s="250"/>
      <c r="AA80" s="251"/>
      <c r="AB80" s="252"/>
      <c r="AC80" s="252"/>
      <c r="AD80" s="250"/>
    </row>
    <row r="81" spans="1:20" ht="18" hidden="1" x14ac:dyDescent="0.25">
      <c r="A81" s="323">
        <f>ROW()</f>
        <v>81</v>
      </c>
      <c r="B81" s="216" t="s">
        <v>822</v>
      </c>
    </row>
    <row r="83" spans="1:20" hidden="1" x14ac:dyDescent="0.25">
      <c r="B83" s="587" t="s">
        <v>316</v>
      </c>
      <c r="C83" s="587"/>
      <c r="D83" s="587"/>
      <c r="E83" s="587"/>
      <c r="F83" s="587"/>
      <c r="G83" s="587"/>
      <c r="H83" s="587"/>
      <c r="I83" s="587"/>
      <c r="J83" s="587"/>
      <c r="K83" s="587"/>
      <c r="L83" s="587"/>
      <c r="M83" s="587"/>
      <c r="N83" s="587"/>
      <c r="O83" s="587"/>
      <c r="P83" s="587"/>
      <c r="Q83" s="587"/>
      <c r="R83" s="587"/>
      <c r="S83" s="587"/>
      <c r="T83" s="587"/>
    </row>
    <row r="84" spans="1:20" hidden="1" x14ac:dyDescent="0.25">
      <c r="A84" s="253"/>
    </row>
    <row r="85" spans="1:20" ht="18" hidden="1" x14ac:dyDescent="0.25">
      <c r="A85" s="253"/>
      <c r="E85" s="220" t="s">
        <v>326</v>
      </c>
      <c r="G85" s="219" t="s">
        <v>329</v>
      </c>
      <c r="H85" s="218" t="s">
        <v>493</v>
      </c>
      <c r="Q85" s="219" t="s">
        <v>329</v>
      </c>
      <c r="R85" s="254">
        <f>Aleg</f>
        <v>0</v>
      </c>
      <c r="S85" s="218" t="s">
        <v>328</v>
      </c>
    </row>
    <row r="86" spans="1:20" hidden="1" x14ac:dyDescent="0.25">
      <c r="A86" s="253"/>
    </row>
    <row r="87" spans="1:20" ht="18" hidden="1" x14ac:dyDescent="0.25">
      <c r="A87" s="253"/>
      <c r="E87" s="220" t="s">
        <v>327</v>
      </c>
      <c r="G87" s="219" t="s">
        <v>330</v>
      </c>
      <c r="H87" s="218" t="s">
        <v>494</v>
      </c>
      <c r="Q87" s="219" t="s">
        <v>330</v>
      </c>
      <c r="R87" s="254">
        <f>Arein</f>
        <v>0</v>
      </c>
      <c r="S87" s="218" t="s">
        <v>328</v>
      </c>
    </row>
    <row r="88" spans="1:20" hidden="1" x14ac:dyDescent="0.25">
      <c r="A88" s="253"/>
    </row>
    <row r="89" spans="1:20" ht="18" hidden="1" x14ac:dyDescent="0.25">
      <c r="A89" s="253"/>
      <c r="E89" s="220" t="s">
        <v>489</v>
      </c>
      <c r="G89" s="219" t="s">
        <v>491</v>
      </c>
      <c r="H89" s="253" t="str">
        <f>IF(TowerType="Guyed","1 / (1 + (Lleg / (Aleg * E)) * (Arein * E) / (Lsp))","Aleg / (Aleg + Arein)")</f>
        <v>Aleg / (Aleg + Arein)</v>
      </c>
      <c r="I89" s="253"/>
      <c r="K89" s="253"/>
      <c r="L89" s="253"/>
      <c r="M89" s="253"/>
      <c r="N89" s="253"/>
      <c r="O89" s="253"/>
      <c r="P89" s="253"/>
      <c r="Q89" s="279" t="s">
        <v>491</v>
      </c>
      <c r="R89" s="291" t="e">
        <f>IF(TowerType="Guyed",1/(1+(Lleg/(Aleg*E))*(Arein*E)/(Lsp)),Aleg/(Aleg+Arein))</f>
        <v>#DIV/0!</v>
      </c>
    </row>
    <row r="90" spans="1:20" hidden="1" x14ac:dyDescent="0.25">
      <c r="A90" s="253"/>
      <c r="H90" s="253"/>
      <c r="I90" s="253"/>
      <c r="K90" s="253"/>
      <c r="L90" s="253"/>
      <c r="M90" s="253"/>
      <c r="N90" s="253"/>
      <c r="O90" s="253"/>
      <c r="P90" s="253"/>
      <c r="Q90" s="279"/>
      <c r="R90" s="260"/>
    </row>
    <row r="91" spans="1:20" ht="18" hidden="1" x14ac:dyDescent="0.25">
      <c r="A91" s="253"/>
      <c r="E91" s="220" t="s">
        <v>490</v>
      </c>
      <c r="G91" s="219" t="s">
        <v>492</v>
      </c>
      <c r="H91" s="253" t="str">
        <f>IF(TowerType="Guyed","1 / (1 + (Lsp / (Arein * E)) * (Aleg * E) / (Lleg))","Arein / (Aleg + Arein)")</f>
        <v>Arein / (Aleg + Arein)</v>
      </c>
      <c r="I91" s="253"/>
      <c r="K91" s="253"/>
      <c r="L91" s="253"/>
      <c r="M91" s="253"/>
      <c r="N91" s="253"/>
      <c r="O91" s="253"/>
      <c r="P91" s="253"/>
      <c r="Q91" s="279" t="s">
        <v>492</v>
      </c>
      <c r="R91" s="291" t="e">
        <f>IF(TowerType="Guyed",1/(1+(Lsp/(Arein*E))*(Aleg*E)/(Lleg)),Arein/(Aleg+Arein))</f>
        <v>#DIV/0!</v>
      </c>
    </row>
    <row r="92" spans="1:20" hidden="1" x14ac:dyDescent="0.25">
      <c r="A92" s="253"/>
    </row>
    <row r="93" spans="1:20" ht="18" hidden="1" x14ac:dyDescent="0.25">
      <c r="A93" s="253"/>
      <c r="E93" s="220" t="s">
        <v>325</v>
      </c>
      <c r="G93" s="255" t="s">
        <v>324</v>
      </c>
      <c r="H93" s="218">
        <f>IF(TIA="H","'Rev. H'!$D$26",IF(TIA="G","'Rev. G'!$D$28",IF(TIA="F","'Rev. F'!$D$28",0)))</f>
        <v>0</v>
      </c>
      <c r="Q93" s="255" t="s">
        <v>323</v>
      </c>
      <c r="R93" s="254">
        <f>IF(TIA="H",'Rev. H'!$D$28,IF(TIA="G",'Rev. G'!$D$31,IF(TIA="F",'Rev. F'!$D$32,0)))</f>
        <v>0</v>
      </c>
      <c r="S93" s="218" t="s">
        <v>385</v>
      </c>
    </row>
    <row r="94" spans="1:20" hidden="1" x14ac:dyDescent="0.25">
      <c r="A94" s="253"/>
    </row>
    <row r="95" spans="1:20" ht="18" hidden="1" x14ac:dyDescent="0.25">
      <c r="A95" s="253"/>
      <c r="E95" s="220" t="s">
        <v>317</v>
      </c>
      <c r="G95" s="219" t="s">
        <v>322</v>
      </c>
      <c r="H95" s="218" t="s">
        <v>498</v>
      </c>
      <c r="Q95" s="219" t="s">
        <v>322</v>
      </c>
      <c r="R95" s="291" t="e">
        <f>ΦPn*Ratioexisting</f>
        <v>#DIV/0!</v>
      </c>
      <c r="S95" s="218" t="s">
        <v>385</v>
      </c>
    </row>
    <row r="96" spans="1:20" hidden="1" x14ac:dyDescent="0.25">
      <c r="A96" s="253"/>
      <c r="R96" s="260"/>
    </row>
    <row r="97" spans="1:23" ht="18" hidden="1" x14ac:dyDescent="0.25">
      <c r="A97" s="253"/>
      <c r="E97" s="220" t="s">
        <v>318</v>
      </c>
      <c r="G97" s="219" t="s">
        <v>321</v>
      </c>
      <c r="H97" s="218" t="s">
        <v>499</v>
      </c>
      <c r="Q97" s="219" t="s">
        <v>321</v>
      </c>
      <c r="R97" s="291" t="e">
        <f>ΦPn*Ratiomod</f>
        <v>#DIV/0!</v>
      </c>
      <c r="S97" s="218" t="s">
        <v>385</v>
      </c>
    </row>
    <row r="98" spans="1:23" hidden="1" x14ac:dyDescent="0.25">
      <c r="A98" s="253"/>
    </row>
    <row r="99" spans="1:23" hidden="1" x14ac:dyDescent="0.25">
      <c r="A99" s="253"/>
    </row>
    <row r="100" spans="1:23" hidden="1" x14ac:dyDescent="0.25">
      <c r="B100" s="587" t="s">
        <v>331</v>
      </c>
      <c r="C100" s="587"/>
      <c r="D100" s="587"/>
      <c r="E100" s="587"/>
      <c r="F100" s="587"/>
      <c r="G100" s="587"/>
      <c r="H100" s="587"/>
      <c r="I100" s="587"/>
      <c r="J100" s="587"/>
      <c r="K100" s="587"/>
      <c r="L100" s="587"/>
      <c r="M100" s="587"/>
      <c r="N100" s="587"/>
      <c r="O100" s="587"/>
      <c r="P100" s="587"/>
      <c r="Q100" s="587"/>
      <c r="R100" s="587"/>
      <c r="S100" s="587"/>
      <c r="T100" s="587"/>
    </row>
    <row r="102" spans="1:23" hidden="1" x14ac:dyDescent="0.25">
      <c r="B102" s="608" t="s">
        <v>332</v>
      </c>
      <c r="C102" s="608"/>
      <c r="D102" s="608"/>
      <c r="E102" s="608"/>
      <c r="F102" s="608"/>
      <c r="G102" s="608"/>
      <c r="H102" s="608"/>
      <c r="I102" s="608"/>
      <c r="J102" s="608"/>
      <c r="K102" s="608"/>
      <c r="L102" s="608"/>
      <c r="M102" s="608"/>
      <c r="N102" s="608"/>
      <c r="O102" s="608"/>
      <c r="P102" s="608"/>
      <c r="Q102" s="608"/>
      <c r="R102" s="608"/>
      <c r="S102" s="608"/>
      <c r="T102" s="608"/>
    </row>
    <row r="104" spans="1:23" ht="18" hidden="1" x14ac:dyDescent="0.25">
      <c r="E104" s="220" t="s">
        <v>540</v>
      </c>
      <c r="G104" s="219" t="s">
        <v>541</v>
      </c>
      <c r="H104" s="257" t="s">
        <v>495</v>
      </c>
      <c r="Q104" s="219" t="s">
        <v>541</v>
      </c>
      <c r="R104" s="258" t="str">
        <f>$Q$38</f>
        <v>1-3/8"</v>
      </c>
    </row>
    <row r="106" spans="1:23" ht="18.75" hidden="1" customHeight="1" x14ac:dyDescent="0.25">
      <c r="E106" s="220" t="s">
        <v>340</v>
      </c>
      <c r="G106" s="219" t="s">
        <v>349</v>
      </c>
      <c r="H106" s="259" t="s">
        <v>542</v>
      </c>
      <c r="Q106" s="219" t="s">
        <v>349</v>
      </c>
      <c r="R106" s="260">
        <f>VLOOKUP(sizethreadedrod_bot,ThreadedRodSizes,2,0)</f>
        <v>1.375</v>
      </c>
      <c r="S106" s="218" t="s">
        <v>1</v>
      </c>
      <c r="W106" s="219"/>
    </row>
    <row r="107" spans="1:23" hidden="1" x14ac:dyDescent="0.25">
      <c r="W107" s="219"/>
    </row>
    <row r="108" spans="1:23" ht="18" hidden="1" x14ac:dyDescent="0.25">
      <c r="B108" s="602" t="s">
        <v>344</v>
      </c>
      <c r="C108" s="602"/>
      <c r="D108" s="602"/>
      <c r="E108" s="602"/>
      <c r="G108" s="219" t="s">
        <v>354</v>
      </c>
      <c r="H108" s="259" t="s">
        <v>543</v>
      </c>
      <c r="Q108" s="219" t="s">
        <v>354</v>
      </c>
      <c r="R108" s="260">
        <f>VLOOKUP(sizethreadedrod_bot,ThreadedRodSizes,3,0)</f>
        <v>6</v>
      </c>
      <c r="S108" s="218" t="s">
        <v>561</v>
      </c>
      <c r="T108" s="261"/>
    </row>
    <row r="109" spans="1:23" hidden="1" x14ac:dyDescent="0.25">
      <c r="B109" s="602"/>
      <c r="C109" s="602"/>
      <c r="D109" s="602"/>
      <c r="E109" s="602"/>
    </row>
    <row r="110" spans="1:23" ht="18" hidden="1" x14ac:dyDescent="0.25">
      <c r="E110" s="220" t="s">
        <v>544</v>
      </c>
      <c r="G110" s="219" t="s">
        <v>556</v>
      </c>
      <c r="H110" s="257" t="s">
        <v>495</v>
      </c>
      <c r="Q110" s="219" t="s">
        <v>556</v>
      </c>
      <c r="R110" s="258" t="str">
        <f>$Q$39</f>
        <v>A193 B7</v>
      </c>
    </row>
    <row r="112" spans="1:23" ht="18" hidden="1" x14ac:dyDescent="0.25">
      <c r="E112" s="220" t="s">
        <v>342</v>
      </c>
      <c r="G112" s="219" t="s">
        <v>350</v>
      </c>
      <c r="H112" s="259" t="str">
        <f>IF(AND(dthreadedrod_bot&gt;2.5,materialthreadedrod_bot="A354 BD"),"Ref!$J$12",IF(AND(dthreadedrod_bot&gt;2.5,materialthreadedrod_bot="A354 BC"),"Ref!$J$12",IF(AND(dthreadedrod_bot&gt;=1.125,materialthreadedrod_bot="A325"),"Ref!$J$9","VLOOKUP(materialthreadedrod_bot,ThreadedRodMaterials,3,0)")))</f>
        <v>VLOOKUP(materialthreadedrod_bot,ThreadedRodMaterials,3,0)</v>
      </c>
      <c r="Q112" s="219" t="s">
        <v>350</v>
      </c>
      <c r="R112" s="260">
        <f>IF(AND(dthreadedrod_bot&gt;2.5,materialthreadedrod_bot="A354 BD"),Ref!$K$12,IF(AND(dthreadedrod_bot&gt;2.5,materialthreadedrod_bot="A354 BC"),Ref!$K$12,IF(AND(dthreadedrod_bot&gt;=1.125,materialthreadedrod_bot="A325"),Ref!$K$9,VLOOKUP(materialthreadedrod_bot,ThreadedRodMaterials,3,0))))</f>
        <v>105</v>
      </c>
      <c r="S112" s="218" t="s">
        <v>0</v>
      </c>
      <c r="T112" s="262"/>
    </row>
    <row r="113" spans="2:20" hidden="1" x14ac:dyDescent="0.25">
      <c r="R113" s="260"/>
    </row>
    <row r="114" spans="2:20" ht="18" hidden="1" x14ac:dyDescent="0.25">
      <c r="E114" s="220" t="s">
        <v>343</v>
      </c>
      <c r="G114" s="219" t="s">
        <v>351</v>
      </c>
      <c r="H114" s="259" t="str">
        <f>IF(AND(dthreadedrod_bot&gt;2.5,materialthreadedrod_bot="A354 BD"),"Ref!$K$12",IF(AND(dthreadedrod_bot&gt;2.5,materialthreadedrod_bot="A354 BC"),"Ref!$K$12",IF(AND(dthreadedrod_bot&gt;=1.125,materialthreadedrod_bot="A325"),"Ref!$K$9","VLOOKUP(materialthreadedrod_bot,ThreadedRodMaterials,4,0)")))</f>
        <v>VLOOKUP(materialthreadedrod_bot,ThreadedRodMaterials,4,0)</v>
      </c>
      <c r="Q114" s="219" t="s">
        <v>351</v>
      </c>
      <c r="R114" s="260">
        <f>IF(AND(dthreadedrod_bot&gt;2.5,materialthreadedrod_bot="A354 BD"),Ref!$L$12,IF(AND(dthreadedrod_bot&gt;2.5,materialthreadedrod_bot="A354 BC"),Ref!$L$12,IF(AND(dthreadedrod_bot&gt;=1.125,materialthreadedrod_bot="A325"),Ref!$L$9,VLOOKUP(materialthreadedrod_bot,ThreadedRodMaterials,4,0))))</f>
        <v>125</v>
      </c>
      <c r="S114" s="218" t="s">
        <v>0</v>
      </c>
      <c r="T114" s="262"/>
    </row>
    <row r="116" spans="2:20" ht="18" hidden="1" x14ac:dyDescent="0.25">
      <c r="E116" s="220" t="s">
        <v>345</v>
      </c>
      <c r="G116" s="219" t="s">
        <v>352</v>
      </c>
      <c r="H116" s="257" t="s">
        <v>495</v>
      </c>
      <c r="Q116" s="219" t="s">
        <v>352</v>
      </c>
      <c r="R116" s="258">
        <f>$Q$21</f>
        <v>12</v>
      </c>
      <c r="S116" s="218" t="s">
        <v>1</v>
      </c>
    </row>
    <row r="118" spans="2:20" ht="18" hidden="1" x14ac:dyDescent="0.25">
      <c r="E118" s="220" t="s">
        <v>341</v>
      </c>
      <c r="G118" s="219" t="s">
        <v>353</v>
      </c>
      <c r="H118" s="257" t="s">
        <v>495</v>
      </c>
      <c r="Q118" s="219" t="s">
        <v>353</v>
      </c>
      <c r="R118" s="258">
        <f>$Q$40</f>
        <v>3</v>
      </c>
    </row>
    <row r="120" spans="2:20" ht="18" hidden="1" x14ac:dyDescent="0.25">
      <c r="E120" s="220" t="s">
        <v>346</v>
      </c>
      <c r="G120" s="219" t="s">
        <v>355</v>
      </c>
      <c r="H120" s="257" t="s">
        <v>495</v>
      </c>
      <c r="Q120" s="219" t="s">
        <v>355</v>
      </c>
      <c r="R120" s="258">
        <f>$Q$41</f>
        <v>12</v>
      </c>
      <c r="S120" s="218" t="s">
        <v>1</v>
      </c>
    </row>
    <row r="122" spans="2:20" ht="18" hidden="1" x14ac:dyDescent="0.25">
      <c r="E122" s="220" t="s">
        <v>347</v>
      </c>
      <c r="G122" s="219" t="s">
        <v>356</v>
      </c>
      <c r="H122" s="218" t="s">
        <v>497</v>
      </c>
      <c r="Q122" s="219" t="s">
        <v>356</v>
      </c>
      <c r="R122" s="254">
        <f>PI()/4*(dthreadedrod_bot^2)</f>
        <v>1.4848934026733007</v>
      </c>
      <c r="S122" s="218" t="s">
        <v>328</v>
      </c>
    </row>
    <row r="124" spans="2:20" ht="18" hidden="1" x14ac:dyDescent="0.25">
      <c r="E124" s="220" t="s">
        <v>348</v>
      </c>
      <c r="G124" s="219" t="s">
        <v>357</v>
      </c>
      <c r="H124" s="218" t="s">
        <v>496</v>
      </c>
      <c r="Q124" s="219" t="s">
        <v>357</v>
      </c>
      <c r="R124" s="254" t="e">
        <f>IF(TIA="H",PI()/4*(dthreadedrod_bot-(0.9347/nthreadedrod_threads_bot))^2,VLOOKUP(dthreadedrod_bot,ThreadedRodSizes,4,0))</f>
        <v>#N/A</v>
      </c>
      <c r="S124" s="218" t="s">
        <v>328</v>
      </c>
      <c r="T124" s="261"/>
    </row>
    <row r="126" spans="2:20" ht="18" hidden="1" x14ac:dyDescent="0.25">
      <c r="E126" s="220" t="s">
        <v>369</v>
      </c>
      <c r="G126" s="219" t="s">
        <v>368</v>
      </c>
      <c r="H126" s="218" t="s">
        <v>559</v>
      </c>
      <c r="Q126" s="219" t="s">
        <v>368</v>
      </c>
      <c r="R126" s="254" t="e">
        <f>SQRT(Athreadedrod_net_bot*4/PI())</f>
        <v>#N/A</v>
      </c>
      <c r="S126" s="218" t="s">
        <v>1</v>
      </c>
    </row>
    <row r="128" spans="2:20" ht="18" hidden="1" x14ac:dyDescent="0.25">
      <c r="B128" s="602" t="s">
        <v>902</v>
      </c>
      <c r="C128" s="602"/>
      <c r="D128" s="602"/>
      <c r="E128" s="602"/>
      <c r="G128" s="219" t="s">
        <v>901</v>
      </c>
      <c r="H128" s="218" t="s">
        <v>500</v>
      </c>
      <c r="Q128" s="219" t="s">
        <v>901</v>
      </c>
      <c r="R128" s="254">
        <f>dthreadedrod_bot/4</f>
        <v>0.34375</v>
      </c>
      <c r="S128" s="218" t="s">
        <v>1</v>
      </c>
    </row>
    <row r="129" spans="2:27" hidden="1" x14ac:dyDescent="0.25">
      <c r="B129" s="602"/>
      <c r="C129" s="602"/>
      <c r="D129" s="602"/>
      <c r="E129" s="602"/>
    </row>
    <row r="130" spans="2:27" hidden="1" x14ac:dyDescent="0.25">
      <c r="B130" s="608" t="s">
        <v>358</v>
      </c>
      <c r="C130" s="608"/>
      <c r="D130" s="608"/>
      <c r="E130" s="608"/>
      <c r="F130" s="608"/>
      <c r="G130" s="608"/>
      <c r="H130" s="608"/>
      <c r="I130" s="608"/>
      <c r="J130" s="608"/>
      <c r="K130" s="608"/>
      <c r="L130" s="608"/>
      <c r="M130" s="608"/>
      <c r="N130" s="608"/>
      <c r="O130" s="608"/>
      <c r="P130" s="608"/>
      <c r="Q130" s="608"/>
      <c r="R130" s="608"/>
      <c r="S130" s="608"/>
      <c r="T130" s="608"/>
    </row>
    <row r="131" spans="2:27" hidden="1" x14ac:dyDescent="0.25">
      <c r="AA131" s="301"/>
    </row>
    <row r="132" spans="2:27" ht="18" hidden="1" x14ac:dyDescent="0.25">
      <c r="E132" s="220" t="s">
        <v>540</v>
      </c>
      <c r="G132" s="219" t="s">
        <v>541</v>
      </c>
      <c r="H132" s="257" t="s">
        <v>495</v>
      </c>
      <c r="Q132" s="219" t="s">
        <v>560</v>
      </c>
      <c r="R132" s="258" t="str">
        <f>$Q$43</f>
        <v>1-3/8"</v>
      </c>
    </row>
    <row r="134" spans="2:27" ht="18" hidden="1" x14ac:dyDescent="0.25">
      <c r="E134" s="220" t="s">
        <v>340</v>
      </c>
      <c r="G134" s="219" t="s">
        <v>359</v>
      </c>
      <c r="H134" s="259" t="s">
        <v>562</v>
      </c>
      <c r="Q134" s="219" t="s">
        <v>359</v>
      </c>
      <c r="R134" s="260">
        <f>VLOOKUP(sizethreadedrod_top,ThreadedRodSizes,2,0)</f>
        <v>1.375</v>
      </c>
      <c r="S134" s="218" t="s">
        <v>1</v>
      </c>
    </row>
    <row r="136" spans="2:27" ht="18" hidden="1" x14ac:dyDescent="0.25">
      <c r="E136" s="220" t="s">
        <v>344</v>
      </c>
      <c r="G136" s="219" t="s">
        <v>360</v>
      </c>
      <c r="H136" s="259" t="s">
        <v>563</v>
      </c>
      <c r="Q136" s="219" t="s">
        <v>360</v>
      </c>
      <c r="R136" s="260">
        <f>VLOOKUP(sizethreadedrod_top,ThreadedRodSizes,3,0)</f>
        <v>6</v>
      </c>
      <c r="S136" s="218" t="s">
        <v>561</v>
      </c>
    </row>
    <row r="138" spans="2:27" ht="18" hidden="1" x14ac:dyDescent="0.25">
      <c r="E138" s="220" t="s">
        <v>544</v>
      </c>
      <c r="G138" s="219" t="s">
        <v>564</v>
      </c>
      <c r="H138" s="257" t="s">
        <v>495</v>
      </c>
      <c r="Q138" s="219" t="s">
        <v>564</v>
      </c>
      <c r="R138" s="258" t="str">
        <f>$Q$44</f>
        <v>A193 B7</v>
      </c>
    </row>
    <row r="140" spans="2:27" ht="18" hidden="1" x14ac:dyDescent="0.25">
      <c r="E140" s="220" t="s">
        <v>342</v>
      </c>
      <c r="G140" s="219" t="s">
        <v>361</v>
      </c>
      <c r="H140" s="259" t="str">
        <f>IF(AND(dthreadedrod_top&gt;2.5,materialthreadedrod_top="A354 BD"),"Ref!$K$12",IF(AND(dthreadedrod_top&gt;2.5,materialthreadedrod_top="A354 BC"),"Ref!$K$12",IF(AND(dthreadedrod_top&gt;=1.125,materialthreadedrod_top="A325"),"Ref!$K$9","VLOOKUP(materialthreadedrod_top,ThreadedRodMaterials,3,0)")))</f>
        <v>VLOOKUP(materialthreadedrod_top,ThreadedRodMaterials,3,0)</v>
      </c>
      <c r="Q140" s="219" t="s">
        <v>361</v>
      </c>
      <c r="R140" s="260">
        <f>IF(AND(dthreadedrod_top&gt;2.5,materialthreadedrod_top="A354 BD"),Ref!$K$12,IF(AND(dthreadedrod_top&gt;2.5,materialthreadedrod_top="A354 BC"),Ref!$K$12,IF(AND(dthreadedrod_top&gt;=1.125,materialthreadedrod_top="A325"),Ref!$K$9,VLOOKUP(materialthreadedrod_top,ThreadedRodMaterials,3,0))))</f>
        <v>105</v>
      </c>
      <c r="S140" s="218" t="s">
        <v>0</v>
      </c>
      <c r="T140" s="262"/>
    </row>
    <row r="141" spans="2:27" hidden="1" x14ac:dyDescent="0.25">
      <c r="R141" s="260"/>
    </row>
    <row r="142" spans="2:27" ht="18" hidden="1" x14ac:dyDescent="0.25">
      <c r="E142" s="220" t="s">
        <v>343</v>
      </c>
      <c r="G142" s="219" t="s">
        <v>362</v>
      </c>
      <c r="H142" s="259" t="str">
        <f>IF(AND(dthreadedrod_top&gt;2.5,materialthreadedrod_top="A354 BD"),"Ref!$L$12",IF(AND(dthreadedrod_top&gt;2.5,materialthreadedrod_top="A354 BC"),"Ref!$L$12",IF(AND(dthreadedrod_top&gt;=1.125,materialthreadedrod_top="A325"),"Ref!$L$9","VLOOKUP(materialthreadedrod_top,ThreadedRodMaterials,4,0)")))</f>
        <v>VLOOKUP(materialthreadedrod_top,ThreadedRodMaterials,4,0)</v>
      </c>
      <c r="Q142" s="219" t="s">
        <v>362</v>
      </c>
      <c r="R142" s="260">
        <f>IF(AND(dthreadedrod_top&gt;2.5,materialthreadedrod_top="A354 BD"),Ref!$L$12,IF(AND(dthreadedrod_top&gt;2.5,materialthreadedrod_top="A354 BC"),Ref!$L$12,IF(AND(dthreadedrod_top&gt;=1.125,materialthreadedrod_top="A325"),Ref!$L$9,VLOOKUP(materialthreadedrod_top,ThreadedRodMaterials,4,0))))</f>
        <v>125</v>
      </c>
      <c r="S142" s="218" t="s">
        <v>0</v>
      </c>
      <c r="T142" s="262"/>
    </row>
    <row r="144" spans="2:27" ht="18" hidden="1" x14ac:dyDescent="0.25">
      <c r="E144" s="220" t="s">
        <v>345</v>
      </c>
      <c r="G144" s="219" t="s">
        <v>363</v>
      </c>
      <c r="H144" s="257" t="s">
        <v>495</v>
      </c>
      <c r="Q144" s="219" t="s">
        <v>363</v>
      </c>
      <c r="R144" s="258">
        <f>$Q$25</f>
        <v>12</v>
      </c>
      <c r="S144" s="218" t="s">
        <v>1</v>
      </c>
    </row>
    <row r="146" spans="2:20" ht="18" hidden="1" x14ac:dyDescent="0.25">
      <c r="E146" s="220" t="s">
        <v>341</v>
      </c>
      <c r="G146" s="219" t="s">
        <v>364</v>
      </c>
      <c r="H146" s="257" t="s">
        <v>495</v>
      </c>
      <c r="Q146" s="219" t="s">
        <v>364</v>
      </c>
      <c r="R146" s="258">
        <f>$Q$45</f>
        <v>3</v>
      </c>
    </row>
    <row r="148" spans="2:20" ht="18" hidden="1" x14ac:dyDescent="0.25">
      <c r="E148" s="220" t="s">
        <v>346</v>
      </c>
      <c r="G148" s="219" t="s">
        <v>365</v>
      </c>
      <c r="H148" s="257" t="s">
        <v>495</v>
      </c>
      <c r="Q148" s="219" t="s">
        <v>365</v>
      </c>
      <c r="R148" s="258">
        <f>$Q$46</f>
        <v>12</v>
      </c>
      <c r="S148" s="218" t="s">
        <v>1</v>
      </c>
    </row>
    <row r="150" spans="2:20" ht="18" hidden="1" x14ac:dyDescent="0.25">
      <c r="E150" s="220" t="s">
        <v>347</v>
      </c>
      <c r="G150" s="219" t="s">
        <v>366</v>
      </c>
      <c r="H150" s="218" t="s">
        <v>501</v>
      </c>
      <c r="Q150" s="219" t="s">
        <v>366</v>
      </c>
      <c r="R150" s="254">
        <f>PI()/4*(dthreadedrod_top^2)</f>
        <v>1.4848934026733007</v>
      </c>
      <c r="S150" s="218" t="s">
        <v>328</v>
      </c>
    </row>
    <row r="152" spans="2:20" ht="18" hidden="1" x14ac:dyDescent="0.25">
      <c r="E152" s="220" t="s">
        <v>348</v>
      </c>
      <c r="G152" s="219" t="s">
        <v>367</v>
      </c>
      <c r="H152" s="218" t="s">
        <v>502</v>
      </c>
      <c r="Q152" s="219" t="s">
        <v>367</v>
      </c>
      <c r="R152" s="254" t="e">
        <f>IF(TIA="H",PI()/4*(dthreadedrod_top-(0.9347/nthreadedrod_threads_top))^2,VLOOKUP(dthreadedrod_top,ThreadedRodSizes,4,0))</f>
        <v>#N/A</v>
      </c>
      <c r="S152" s="218" t="s">
        <v>328</v>
      </c>
    </row>
    <row r="154" spans="2:20" ht="18" hidden="1" x14ac:dyDescent="0.25">
      <c r="E154" s="220" t="s">
        <v>369</v>
      </c>
      <c r="G154" s="219" t="s">
        <v>370</v>
      </c>
      <c r="H154" s="218" t="s">
        <v>565</v>
      </c>
      <c r="Q154" s="219" t="s">
        <v>370</v>
      </c>
      <c r="R154" s="254" t="e">
        <f>SQRT(Athreadedrod_net_top*4/PI())</f>
        <v>#N/A</v>
      </c>
      <c r="S154" s="218" t="s">
        <v>1</v>
      </c>
    </row>
    <row r="156" spans="2:20" ht="18" hidden="1" x14ac:dyDescent="0.25">
      <c r="B156" s="602" t="s">
        <v>902</v>
      </c>
      <c r="C156" s="602"/>
      <c r="D156" s="602"/>
      <c r="E156" s="602"/>
      <c r="G156" s="219" t="s">
        <v>904</v>
      </c>
      <c r="H156" s="218" t="s">
        <v>503</v>
      </c>
      <c r="Q156" s="219" t="s">
        <v>904</v>
      </c>
      <c r="R156" s="254">
        <f>dthreadedrod_top/4</f>
        <v>0.34375</v>
      </c>
      <c r="S156" s="218" t="s">
        <v>1</v>
      </c>
    </row>
    <row r="157" spans="2:20" hidden="1" x14ac:dyDescent="0.25">
      <c r="B157" s="602"/>
      <c r="C157" s="602"/>
      <c r="D157" s="602"/>
      <c r="E157" s="602"/>
    </row>
    <row r="159" spans="2:20" hidden="1" x14ac:dyDescent="0.25">
      <c r="B159" s="587" t="s">
        <v>371</v>
      </c>
      <c r="C159" s="587"/>
      <c r="D159" s="587"/>
      <c r="E159" s="587"/>
      <c r="F159" s="587"/>
      <c r="G159" s="587"/>
      <c r="H159" s="587"/>
      <c r="I159" s="587"/>
      <c r="J159" s="587"/>
      <c r="K159" s="587"/>
      <c r="L159" s="587"/>
      <c r="M159" s="587"/>
      <c r="N159" s="587"/>
      <c r="O159" s="587"/>
      <c r="P159" s="587"/>
      <c r="Q159" s="587"/>
      <c r="R159" s="587"/>
      <c r="S159" s="587"/>
      <c r="T159" s="587"/>
    </row>
    <row r="161" spans="2:20" hidden="1" x14ac:dyDescent="0.25">
      <c r="E161" s="220" t="s">
        <v>373</v>
      </c>
      <c r="G161" s="255" t="s">
        <v>372</v>
      </c>
      <c r="H161" s="241">
        <v>0.9</v>
      </c>
      <c r="Q161" s="255" t="s">
        <v>372</v>
      </c>
      <c r="R161" s="221">
        <v>0.9</v>
      </c>
    </row>
    <row r="163" spans="2:20" ht="18" hidden="1" x14ac:dyDescent="0.25">
      <c r="B163" s="602" t="s">
        <v>375</v>
      </c>
      <c r="C163" s="602"/>
      <c r="D163" s="602"/>
      <c r="E163" s="602"/>
      <c r="G163" s="219" t="s">
        <v>377</v>
      </c>
      <c r="H163" s="264">
        <v>1</v>
      </c>
      <c r="Q163" s="219" t="s">
        <v>377</v>
      </c>
      <c r="R163" s="265">
        <v>1</v>
      </c>
    </row>
    <row r="164" spans="2:20" hidden="1" x14ac:dyDescent="0.25">
      <c r="B164" s="602"/>
      <c r="C164" s="602"/>
      <c r="D164" s="602"/>
      <c r="E164" s="602"/>
      <c r="R164" s="265"/>
    </row>
    <row r="165" spans="2:20" hidden="1" x14ac:dyDescent="0.25">
      <c r="E165" s="220" t="s">
        <v>319</v>
      </c>
      <c r="G165" s="219" t="s">
        <v>320</v>
      </c>
      <c r="H165" s="241" t="s">
        <v>504</v>
      </c>
      <c r="Q165" s="219" t="s">
        <v>320</v>
      </c>
      <c r="R165" s="221">
        <v>29000</v>
      </c>
      <c r="S165" s="218" t="s">
        <v>0</v>
      </c>
    </row>
    <row r="166" spans="2:20" hidden="1" x14ac:dyDescent="0.25">
      <c r="R166" s="265"/>
    </row>
    <row r="167" spans="2:20" hidden="1" x14ac:dyDescent="0.25">
      <c r="B167" s="608" t="s">
        <v>332</v>
      </c>
      <c r="C167" s="608"/>
      <c r="D167" s="608"/>
      <c r="E167" s="608"/>
      <c r="F167" s="608"/>
      <c r="G167" s="608"/>
      <c r="H167" s="608"/>
      <c r="I167" s="608"/>
      <c r="J167" s="608"/>
      <c r="K167" s="608"/>
      <c r="L167" s="608"/>
      <c r="M167" s="608"/>
      <c r="N167" s="608"/>
      <c r="O167" s="608"/>
      <c r="P167" s="608"/>
      <c r="Q167" s="608"/>
      <c r="R167" s="608"/>
      <c r="S167" s="608"/>
      <c r="T167" s="608"/>
    </row>
    <row r="169" spans="2:20" ht="18" hidden="1" x14ac:dyDescent="0.25">
      <c r="B169" s="602" t="s">
        <v>374</v>
      </c>
      <c r="C169" s="602"/>
      <c r="D169" s="602"/>
      <c r="E169" s="602"/>
      <c r="G169" s="219" t="s">
        <v>379</v>
      </c>
      <c r="H169" s="218" t="s">
        <v>903</v>
      </c>
      <c r="Q169" s="219" t="s">
        <v>379</v>
      </c>
      <c r="R169" s="256">
        <f>(Kthreadedrod*Luthreadedrod_bot)/rthreadedrod_bot</f>
        <v>34.909090909090907</v>
      </c>
    </row>
    <row r="170" spans="2:20" hidden="1" x14ac:dyDescent="0.25">
      <c r="B170" s="602"/>
      <c r="C170" s="602"/>
      <c r="D170" s="602"/>
      <c r="E170" s="602"/>
    </row>
    <row r="171" spans="2:20" ht="18" hidden="1" x14ac:dyDescent="0.25">
      <c r="E171" s="220" t="s">
        <v>378</v>
      </c>
      <c r="G171" s="219" t="s">
        <v>376</v>
      </c>
      <c r="H171" s="218" t="s">
        <v>505</v>
      </c>
      <c r="Q171" s="219" t="s">
        <v>376</v>
      </c>
      <c r="R171" s="256">
        <f>((PI()^2)*E)/(KL_rthreadedrod_bot^2)</f>
        <v>234.86627769248156</v>
      </c>
      <c r="S171" s="218" t="s">
        <v>0</v>
      </c>
    </row>
    <row r="173" spans="2:20" ht="18" hidden="1" x14ac:dyDescent="0.25">
      <c r="D173" s="218"/>
      <c r="E173" s="220" t="s">
        <v>382</v>
      </c>
      <c r="G173" s="219" t="s">
        <v>380</v>
      </c>
      <c r="H173" s="241" t="s">
        <v>506</v>
      </c>
      <c r="Q173" s="219" t="s">
        <v>380</v>
      </c>
      <c r="R173" s="221">
        <f>Fythreadedrod_bot</f>
        <v>105</v>
      </c>
      <c r="S173" s="218" t="s">
        <v>0</v>
      </c>
    </row>
    <row r="175" spans="2:20" ht="18" hidden="1" x14ac:dyDescent="0.25">
      <c r="D175" s="218"/>
      <c r="E175" s="220" t="s">
        <v>383</v>
      </c>
      <c r="G175" s="219" t="s">
        <v>381</v>
      </c>
      <c r="H175" s="218" t="str">
        <f>IF(KL_rthreadedrod_bot&lt;=4.71*SQRT(E/F\ythreadedrod_bot),("(0.658 ^ (F'ythreadedrod_bot / Fethreadedrod_bot)) * F'ythreadedrod_bot"),"0.877 * Fethreadedrod_bot")</f>
        <v>(0.658 ^ (F'ythreadedrod_bot / Fethreadedrod_bot)) * F'ythreadedrod_bot</v>
      </c>
      <c r="Q175" s="219" t="s">
        <v>381</v>
      </c>
      <c r="R175" s="256">
        <f>IF(KL_rthreadedrod_bot&lt;=4.71*SQRT(E/F\ythreadedrod_bot),((0.658^(F\ythreadedrod_bot/Fethreadedrod_bot))*F\ythreadedrod_bot),0.877*Fethreadedrod_bot)</f>
        <v>87.081287067330436</v>
      </c>
      <c r="S175" s="218" t="s">
        <v>0</v>
      </c>
    </row>
    <row r="177" spans="2:20" ht="18" hidden="1" x14ac:dyDescent="0.25">
      <c r="B177" s="602" t="s">
        <v>386</v>
      </c>
      <c r="C177" s="602"/>
      <c r="D177" s="602"/>
      <c r="E177" s="602"/>
      <c r="G177" s="255" t="s">
        <v>384</v>
      </c>
      <c r="H177" s="218" t="s">
        <v>905</v>
      </c>
      <c r="Q177" s="255" t="s">
        <v>384</v>
      </c>
      <c r="R177" s="256">
        <f>nthreadedrod_bot*(Φc*Fcrthreadedrod_bot*Athreadedrod_gross_bot)</f>
        <v>349.12735738896276</v>
      </c>
      <c r="S177" s="218" t="s">
        <v>385</v>
      </c>
    </row>
    <row r="178" spans="2:20" hidden="1" x14ac:dyDescent="0.25">
      <c r="B178" s="602"/>
      <c r="C178" s="602"/>
      <c r="D178" s="602"/>
      <c r="E178" s="602"/>
    </row>
    <row r="179" spans="2:20" ht="18" hidden="1" x14ac:dyDescent="0.25">
      <c r="E179" s="266" t="s">
        <v>389</v>
      </c>
      <c r="H179" s="267" t="s">
        <v>390</v>
      </c>
      <c r="I179" s="268" t="e">
        <f>Pmod_sp</f>
        <v>#DIV/0!</v>
      </c>
      <c r="J179" s="269" t="s">
        <v>385</v>
      </c>
      <c r="K179" s="270" t="s">
        <v>387</v>
      </c>
      <c r="L179" s="269"/>
      <c r="M179" s="267" t="s">
        <v>391</v>
      </c>
      <c r="N179" s="271">
        <f>ΦPnthreadedrod_bot</f>
        <v>349.12735738896276</v>
      </c>
      <c r="O179" s="269" t="s">
        <v>385</v>
      </c>
      <c r="P179" s="269"/>
      <c r="Q179" s="267" t="s">
        <v>388</v>
      </c>
      <c r="R179" s="272" t="e">
        <f>I179/N179</f>
        <v>#DIV/0!</v>
      </c>
    </row>
    <row r="181" spans="2:20" hidden="1" x14ac:dyDescent="0.25">
      <c r="B181" s="608" t="s">
        <v>358</v>
      </c>
      <c r="C181" s="608"/>
      <c r="D181" s="608"/>
      <c r="E181" s="608"/>
      <c r="F181" s="608"/>
      <c r="G181" s="608"/>
      <c r="H181" s="608"/>
      <c r="I181" s="608"/>
      <c r="J181" s="608"/>
      <c r="K181" s="608"/>
      <c r="L181" s="608"/>
      <c r="M181" s="608"/>
      <c r="N181" s="608"/>
      <c r="O181" s="608"/>
      <c r="P181" s="608"/>
      <c r="Q181" s="608"/>
      <c r="R181" s="608"/>
      <c r="S181" s="608"/>
      <c r="T181" s="608"/>
    </row>
    <row r="183" spans="2:20" ht="18" hidden="1" x14ac:dyDescent="0.25">
      <c r="B183" s="602" t="s">
        <v>374</v>
      </c>
      <c r="C183" s="602"/>
      <c r="D183" s="602"/>
      <c r="E183" s="602"/>
      <c r="G183" s="219" t="s">
        <v>392</v>
      </c>
      <c r="H183" s="218" t="s">
        <v>507</v>
      </c>
      <c r="Q183" s="219" t="s">
        <v>392</v>
      </c>
      <c r="R183" s="256">
        <f>(Kthreadedrod*Luthreadedrod_top)/rthreadedrod_top</f>
        <v>34.909090909090907</v>
      </c>
    </row>
    <row r="184" spans="2:20" hidden="1" x14ac:dyDescent="0.25">
      <c r="B184" s="602"/>
      <c r="C184" s="602"/>
      <c r="D184" s="602"/>
      <c r="E184" s="602"/>
    </row>
    <row r="185" spans="2:20" ht="18" hidden="1" x14ac:dyDescent="0.25">
      <c r="E185" s="220" t="s">
        <v>378</v>
      </c>
      <c r="G185" s="219" t="s">
        <v>393</v>
      </c>
      <c r="H185" s="218" t="s">
        <v>508</v>
      </c>
      <c r="Q185" s="219" t="s">
        <v>393</v>
      </c>
      <c r="R185" s="256">
        <f>((PI()^2)*E)/(KL_rthreadedrod_top^2)</f>
        <v>234.86627769248156</v>
      </c>
      <c r="S185" s="218" t="s">
        <v>0</v>
      </c>
    </row>
    <row r="187" spans="2:20" ht="18" hidden="1" x14ac:dyDescent="0.25">
      <c r="D187" s="218"/>
      <c r="E187" s="220" t="s">
        <v>382</v>
      </c>
      <c r="G187" s="219" t="s">
        <v>394</v>
      </c>
      <c r="H187" s="241" t="s">
        <v>509</v>
      </c>
      <c r="Q187" s="219" t="s">
        <v>394</v>
      </c>
      <c r="R187" s="221">
        <f>Fythreadedrod_top</f>
        <v>105</v>
      </c>
      <c r="S187" s="218" t="s">
        <v>0</v>
      </c>
    </row>
    <row r="189" spans="2:20" ht="18" hidden="1" x14ac:dyDescent="0.25">
      <c r="D189" s="218"/>
      <c r="E189" s="220" t="s">
        <v>383</v>
      </c>
      <c r="G189" s="219" t="s">
        <v>395</v>
      </c>
      <c r="H189" s="218" t="str">
        <f>IF(KL_rthreadedrod_top&lt;=4.71*SQRT(E/F\ythreadedrod_bot),("(0.658 ^ (F'ythreadedrod_top / Fethreadedrod_top)) * F'ythreadedrod_top"),"0.877 * Fethreadedrod_top")</f>
        <v>(0.658 ^ (F'ythreadedrod_top / Fethreadedrod_top)) * F'ythreadedrod_top</v>
      </c>
      <c r="Q189" s="219" t="s">
        <v>395</v>
      </c>
      <c r="R189" s="256">
        <f>IF(KL_rthreadedrod_top&lt;=4.71*SQRT(E/F\ythreadedrod_top),((0.658^(F\ythreadedrod_top/Fethreadedrod_top))*F\ythreadedrod_top),0.877*Fethreadedrod_top)</f>
        <v>87.081287067330436</v>
      </c>
      <c r="S189" s="218" t="s">
        <v>0</v>
      </c>
    </row>
    <row r="191" spans="2:20" ht="18" hidden="1" x14ac:dyDescent="0.25">
      <c r="B191" s="602" t="s">
        <v>386</v>
      </c>
      <c r="C191" s="602"/>
      <c r="D191" s="602"/>
      <c r="E191" s="602"/>
      <c r="G191" s="255" t="s">
        <v>396</v>
      </c>
      <c r="H191" s="218" t="s">
        <v>906</v>
      </c>
      <c r="Q191" s="255" t="s">
        <v>396</v>
      </c>
      <c r="R191" s="256">
        <f>nthreadedrod_top*(Φc*Fcrthreadedrod_top*Athreadedrod_gross_top)</f>
        <v>349.12735738896276</v>
      </c>
      <c r="S191" s="218" t="s">
        <v>385</v>
      </c>
    </row>
    <row r="192" spans="2:20" hidden="1" x14ac:dyDescent="0.25">
      <c r="B192" s="602"/>
      <c r="C192" s="602"/>
      <c r="D192" s="602"/>
      <c r="E192" s="602"/>
    </row>
    <row r="193" spans="2:20" ht="18" hidden="1" x14ac:dyDescent="0.25">
      <c r="E193" s="266" t="s">
        <v>389</v>
      </c>
      <c r="H193" s="267" t="s">
        <v>390</v>
      </c>
      <c r="I193" s="268" t="e">
        <f>Pmod_sp</f>
        <v>#DIV/0!</v>
      </c>
      <c r="J193" s="269" t="s">
        <v>385</v>
      </c>
      <c r="K193" s="270" t="s">
        <v>387</v>
      </c>
      <c r="L193" s="269"/>
      <c r="M193" s="267" t="s">
        <v>391</v>
      </c>
      <c r="N193" s="271">
        <f>ΦPnthreadedrod_top</f>
        <v>349.12735738896276</v>
      </c>
      <c r="O193" s="269" t="s">
        <v>385</v>
      </c>
      <c r="P193" s="269"/>
      <c r="Q193" s="267" t="s">
        <v>388</v>
      </c>
      <c r="R193" s="272" t="e">
        <f>I193/N193</f>
        <v>#DIV/0!</v>
      </c>
    </row>
    <row r="196" spans="2:20" hidden="1" x14ac:dyDescent="0.25">
      <c r="B196" s="587" t="s">
        <v>397</v>
      </c>
      <c r="C196" s="587"/>
      <c r="D196" s="587"/>
      <c r="E196" s="587"/>
      <c r="F196" s="587"/>
      <c r="G196" s="587"/>
      <c r="H196" s="587"/>
      <c r="I196" s="587"/>
      <c r="J196" s="587"/>
      <c r="K196" s="587"/>
      <c r="L196" s="587"/>
      <c r="M196" s="587"/>
      <c r="N196" s="587"/>
      <c r="O196" s="587"/>
      <c r="P196" s="587"/>
      <c r="Q196" s="587"/>
      <c r="R196" s="587"/>
      <c r="S196" s="587"/>
      <c r="T196" s="587"/>
    </row>
    <row r="198" spans="2:20" hidden="1" x14ac:dyDescent="0.25">
      <c r="B198" s="608" t="s">
        <v>332</v>
      </c>
      <c r="C198" s="608"/>
      <c r="D198" s="608"/>
      <c r="E198" s="608"/>
      <c r="F198" s="608"/>
      <c r="G198" s="608"/>
      <c r="H198" s="608"/>
      <c r="I198" s="608"/>
      <c r="J198" s="608"/>
      <c r="K198" s="608"/>
      <c r="L198" s="608"/>
      <c r="M198" s="608"/>
      <c r="N198" s="608"/>
      <c r="O198" s="608"/>
      <c r="P198" s="608"/>
      <c r="Q198" s="608"/>
      <c r="R198" s="608"/>
      <c r="S198" s="608"/>
      <c r="T198" s="608"/>
    </row>
    <row r="200" spans="2:20" ht="18" hidden="1" x14ac:dyDescent="0.25">
      <c r="E200" s="220" t="s">
        <v>398</v>
      </c>
      <c r="G200" s="219" t="s">
        <v>405</v>
      </c>
      <c r="H200" s="257" t="s">
        <v>495</v>
      </c>
      <c r="Q200" s="219" t="s">
        <v>405</v>
      </c>
      <c r="R200" s="273">
        <f>$Q$64</f>
        <v>1</v>
      </c>
      <c r="S200" s="218" t="s">
        <v>1</v>
      </c>
    </row>
    <row r="202" spans="2:20" ht="18" hidden="1" x14ac:dyDescent="0.25">
      <c r="E202" s="220" t="s">
        <v>399</v>
      </c>
      <c r="G202" s="219" t="s">
        <v>406</v>
      </c>
      <c r="H202" s="257" t="s">
        <v>495</v>
      </c>
      <c r="Q202" s="219" t="s">
        <v>406</v>
      </c>
      <c r="R202" s="273">
        <f>$Q$60</f>
        <v>8</v>
      </c>
      <c r="S202" s="218" t="s">
        <v>1</v>
      </c>
    </row>
    <row r="204" spans="2:20" ht="18" hidden="1" x14ac:dyDescent="0.25">
      <c r="E204" s="220" t="s">
        <v>400</v>
      </c>
      <c r="G204" s="219" t="s">
        <v>407</v>
      </c>
      <c r="H204" s="274">
        <f>notchstiffener_bot</f>
        <v>0.5</v>
      </c>
      <c r="Q204" s="219" t="s">
        <v>407</v>
      </c>
      <c r="R204" s="252">
        <v>0.5</v>
      </c>
    </row>
    <row r="206" spans="2:20" ht="18" hidden="1" x14ac:dyDescent="0.25">
      <c r="E206" s="220" t="s">
        <v>401</v>
      </c>
      <c r="G206" s="219" t="s">
        <v>408</v>
      </c>
      <c r="H206" s="257" t="s">
        <v>495</v>
      </c>
      <c r="Q206" s="219" t="s">
        <v>408</v>
      </c>
      <c r="R206" s="273">
        <f>$Q$61</f>
        <v>4</v>
      </c>
      <c r="S206" s="218" t="s">
        <v>1</v>
      </c>
    </row>
    <row r="208" spans="2:20" ht="18" hidden="1" x14ac:dyDescent="0.25">
      <c r="E208" s="220" t="s">
        <v>402</v>
      </c>
      <c r="G208" s="219" t="s">
        <v>409</v>
      </c>
      <c r="H208" s="274">
        <f>tstiffener_bot</f>
        <v>0.5</v>
      </c>
      <c r="Q208" s="219" t="s">
        <v>409</v>
      </c>
      <c r="R208" s="252">
        <v>0.5</v>
      </c>
      <c r="S208" s="218" t="s">
        <v>1</v>
      </c>
    </row>
    <row r="210" spans="2:20" ht="18" hidden="1" x14ac:dyDescent="0.25">
      <c r="E210" s="220" t="s">
        <v>568</v>
      </c>
      <c r="G210" s="219" t="s">
        <v>566</v>
      </c>
      <c r="H210" s="218" t="s">
        <v>567</v>
      </c>
      <c r="Q210" s="219" t="s">
        <v>566</v>
      </c>
      <c r="R210" s="241" t="s">
        <v>567</v>
      </c>
    </row>
    <row r="212" spans="2:20" ht="18" hidden="1" x14ac:dyDescent="0.25">
      <c r="E212" s="220" t="s">
        <v>403</v>
      </c>
      <c r="G212" s="219" t="s">
        <v>410</v>
      </c>
      <c r="H212" s="274">
        <v>50</v>
      </c>
      <c r="Q212" s="219" t="s">
        <v>410</v>
      </c>
      <c r="R212" s="275">
        <v>50</v>
      </c>
      <c r="S212" s="218" t="s">
        <v>0</v>
      </c>
      <c r="T212" s="262"/>
    </row>
    <row r="214" spans="2:20" ht="18" hidden="1" x14ac:dyDescent="0.25">
      <c r="E214" s="220" t="s">
        <v>404</v>
      </c>
      <c r="G214" s="219" t="s">
        <v>411</v>
      </c>
      <c r="H214" s="274">
        <v>65</v>
      </c>
      <c r="Q214" s="219" t="s">
        <v>411</v>
      </c>
      <c r="R214" s="275">
        <v>65</v>
      </c>
      <c r="S214" s="218" t="s">
        <v>0</v>
      </c>
      <c r="T214" s="262"/>
    </row>
    <row r="215" spans="2:20" hidden="1" x14ac:dyDescent="0.25">
      <c r="H215" s="274"/>
      <c r="R215" s="275"/>
      <c r="T215" s="262"/>
    </row>
    <row r="216" spans="2:20" hidden="1" x14ac:dyDescent="0.25">
      <c r="B216" s="608" t="s">
        <v>358</v>
      </c>
      <c r="C216" s="608"/>
      <c r="D216" s="608"/>
      <c r="E216" s="608"/>
      <c r="F216" s="608"/>
      <c r="G216" s="608"/>
      <c r="H216" s="608"/>
      <c r="I216" s="608"/>
      <c r="J216" s="608"/>
      <c r="K216" s="608"/>
      <c r="L216" s="608"/>
      <c r="M216" s="608"/>
      <c r="N216" s="608"/>
      <c r="O216" s="608"/>
      <c r="P216" s="608"/>
      <c r="Q216" s="608"/>
      <c r="R216" s="608"/>
      <c r="S216" s="608"/>
      <c r="T216" s="608"/>
    </row>
    <row r="218" spans="2:20" ht="18" hidden="1" x14ac:dyDescent="0.25">
      <c r="E218" s="220" t="s">
        <v>398</v>
      </c>
      <c r="G218" s="219" t="s">
        <v>569</v>
      </c>
      <c r="H218" s="257" t="s">
        <v>495</v>
      </c>
      <c r="Q218" s="219" t="s">
        <v>569</v>
      </c>
      <c r="R218" s="273">
        <f>$Q$70</f>
        <v>1</v>
      </c>
      <c r="S218" s="218" t="s">
        <v>1</v>
      </c>
    </row>
    <row r="220" spans="2:20" ht="18" hidden="1" x14ac:dyDescent="0.25">
      <c r="E220" s="220" t="s">
        <v>399</v>
      </c>
      <c r="G220" s="219" t="s">
        <v>570</v>
      </c>
      <c r="H220" s="257" t="s">
        <v>495</v>
      </c>
      <c r="Q220" s="219" t="s">
        <v>570</v>
      </c>
      <c r="R220" s="273">
        <f>$Q$66</f>
        <v>8</v>
      </c>
      <c r="S220" s="218" t="s">
        <v>1</v>
      </c>
    </row>
    <row r="222" spans="2:20" ht="18" hidden="1" x14ac:dyDescent="0.25">
      <c r="E222" s="220" t="s">
        <v>400</v>
      </c>
      <c r="G222" s="219" t="s">
        <v>571</v>
      </c>
      <c r="H222" s="274">
        <f>notchstiffener_bot</f>
        <v>0.5</v>
      </c>
      <c r="Q222" s="219" t="s">
        <v>571</v>
      </c>
      <c r="R222" s="252">
        <v>0.5</v>
      </c>
    </row>
    <row r="224" spans="2:20" ht="18" hidden="1" x14ac:dyDescent="0.25">
      <c r="E224" s="220" t="s">
        <v>401</v>
      </c>
      <c r="G224" s="219" t="s">
        <v>572</v>
      </c>
      <c r="H224" s="257" t="s">
        <v>495</v>
      </c>
      <c r="Q224" s="219" t="s">
        <v>572</v>
      </c>
      <c r="R224" s="273">
        <f>$Q$67</f>
        <v>4</v>
      </c>
      <c r="S224" s="218" t="s">
        <v>1</v>
      </c>
    </row>
    <row r="226" spans="1:20" ht="18" hidden="1" x14ac:dyDescent="0.25">
      <c r="E226" s="220" t="s">
        <v>402</v>
      </c>
      <c r="G226" s="219" t="s">
        <v>573</v>
      </c>
      <c r="H226" s="274">
        <f>tstiffener_bot</f>
        <v>0.5</v>
      </c>
      <c r="Q226" s="219" t="s">
        <v>573</v>
      </c>
      <c r="R226" s="252">
        <v>0.5</v>
      </c>
      <c r="S226" s="218" t="s">
        <v>1</v>
      </c>
    </row>
    <row r="228" spans="1:20" ht="18" hidden="1" x14ac:dyDescent="0.25">
      <c r="E228" s="220" t="s">
        <v>568</v>
      </c>
      <c r="G228" s="219" t="s">
        <v>574</v>
      </c>
      <c r="H228" s="218" t="s">
        <v>567</v>
      </c>
      <c r="Q228" s="219" t="s">
        <v>574</v>
      </c>
      <c r="R228" s="241" t="s">
        <v>567</v>
      </c>
    </row>
    <row r="230" spans="1:20" ht="18" hidden="1" x14ac:dyDescent="0.25">
      <c r="E230" s="220" t="s">
        <v>403</v>
      </c>
      <c r="G230" s="219" t="s">
        <v>575</v>
      </c>
      <c r="H230" s="274">
        <v>50</v>
      </c>
      <c r="Q230" s="219" t="s">
        <v>575</v>
      </c>
      <c r="R230" s="275">
        <v>50</v>
      </c>
      <c r="S230" s="218" t="s">
        <v>0</v>
      </c>
      <c r="T230" s="262"/>
    </row>
    <row r="232" spans="1:20" ht="18" hidden="1" x14ac:dyDescent="0.25">
      <c r="E232" s="220" t="s">
        <v>404</v>
      </c>
      <c r="G232" s="219" t="s">
        <v>576</v>
      </c>
      <c r="H232" s="274">
        <v>65</v>
      </c>
      <c r="Q232" s="219" t="s">
        <v>576</v>
      </c>
      <c r="R232" s="275">
        <v>65</v>
      </c>
      <c r="S232" s="218" t="s">
        <v>0</v>
      </c>
      <c r="T232" s="262"/>
    </row>
    <row r="233" spans="1:20" hidden="1" x14ac:dyDescent="0.25">
      <c r="H233" s="274"/>
      <c r="R233" s="275"/>
      <c r="T233" s="262"/>
    </row>
    <row r="234" spans="1:20" hidden="1" x14ac:dyDescent="0.25">
      <c r="H234" s="274"/>
      <c r="R234" s="275"/>
      <c r="T234" s="262"/>
    </row>
    <row r="235" spans="1:20" hidden="1" x14ac:dyDescent="0.25">
      <c r="B235" s="587" t="s">
        <v>412</v>
      </c>
      <c r="C235" s="587"/>
      <c r="D235" s="587"/>
      <c r="E235" s="587"/>
      <c r="F235" s="587"/>
      <c r="G235" s="587"/>
      <c r="H235" s="587"/>
      <c r="I235" s="587"/>
      <c r="J235" s="587"/>
      <c r="K235" s="587"/>
      <c r="L235" s="587"/>
      <c r="M235" s="587"/>
      <c r="N235" s="587"/>
      <c r="O235" s="587"/>
      <c r="P235" s="587"/>
      <c r="Q235" s="587"/>
      <c r="R235" s="587"/>
      <c r="S235" s="587"/>
      <c r="T235" s="587"/>
    </row>
    <row r="236" spans="1:20" hidden="1" x14ac:dyDescent="0.25">
      <c r="B236" s="626" t="s">
        <v>417</v>
      </c>
      <c r="C236" s="626"/>
      <c r="D236" s="626"/>
      <c r="E236" s="626"/>
      <c r="F236" s="626"/>
      <c r="G236" s="626"/>
      <c r="H236" s="626"/>
      <c r="I236" s="626"/>
      <c r="J236" s="626"/>
      <c r="K236" s="626"/>
      <c r="L236" s="626"/>
      <c r="M236" s="626"/>
      <c r="N236" s="626"/>
      <c r="O236" s="626"/>
      <c r="P236" s="626"/>
      <c r="Q236" s="626"/>
      <c r="R236" s="626"/>
      <c r="S236" s="626"/>
      <c r="T236" s="626"/>
    </row>
    <row r="237" spans="1:20" hidden="1" x14ac:dyDescent="0.25">
      <c r="A237" s="270"/>
      <c r="B237" s="270"/>
      <c r="C237" s="270"/>
      <c r="D237" s="270"/>
      <c r="E237" s="270"/>
      <c r="F237" s="270"/>
      <c r="G237" s="270"/>
      <c r="H237" s="270"/>
      <c r="I237" s="270"/>
      <c r="J237" s="270"/>
      <c r="K237" s="270"/>
      <c r="L237" s="270"/>
      <c r="M237" s="270"/>
      <c r="N237" s="270"/>
      <c r="O237" s="270"/>
      <c r="P237" s="270"/>
      <c r="Q237" s="270"/>
      <c r="R237" s="270"/>
      <c r="S237" s="270"/>
      <c r="T237" s="270"/>
    </row>
    <row r="238" spans="1:20" hidden="1" x14ac:dyDescent="0.25">
      <c r="B238" s="608" t="s">
        <v>332</v>
      </c>
      <c r="C238" s="608"/>
      <c r="D238" s="608"/>
      <c r="E238" s="608"/>
      <c r="F238" s="608"/>
      <c r="G238" s="608"/>
      <c r="H238" s="608"/>
      <c r="I238" s="608"/>
      <c r="J238" s="608"/>
      <c r="K238" s="608"/>
      <c r="L238" s="608"/>
      <c r="M238" s="608"/>
      <c r="N238" s="608"/>
      <c r="O238" s="608"/>
      <c r="P238" s="608"/>
      <c r="Q238" s="608"/>
      <c r="R238" s="608"/>
      <c r="S238" s="608"/>
      <c r="T238" s="608"/>
    </row>
    <row r="240" spans="1:20" ht="18" hidden="1" x14ac:dyDescent="0.25">
      <c r="E240" s="220" t="s">
        <v>413</v>
      </c>
      <c r="G240" s="219" t="s">
        <v>635</v>
      </c>
      <c r="H240" s="257" t="s">
        <v>495</v>
      </c>
      <c r="Q240" s="219" t="s">
        <v>635</v>
      </c>
      <c r="R240" s="258">
        <f>$Q$63</f>
        <v>70</v>
      </c>
      <c r="S240" s="218" t="s">
        <v>0</v>
      </c>
    </row>
    <row r="242" spans="1:27" ht="18" hidden="1" x14ac:dyDescent="0.25">
      <c r="E242" s="220" t="s">
        <v>776</v>
      </c>
      <c r="G242" s="219" t="s">
        <v>634</v>
      </c>
      <c r="H242" s="257" t="s">
        <v>495</v>
      </c>
      <c r="Q242" s="219" t="s">
        <v>634</v>
      </c>
      <c r="R242" s="258">
        <f>$Q$62</f>
        <v>8</v>
      </c>
      <c r="S242" s="218" t="s">
        <v>414</v>
      </c>
    </row>
    <row r="243" spans="1:27" hidden="1" x14ac:dyDescent="0.25">
      <c r="H243" s="257"/>
      <c r="R243" s="251"/>
    </row>
    <row r="244" spans="1:27" hidden="1" x14ac:dyDescent="0.25">
      <c r="B244" s="608" t="s">
        <v>358</v>
      </c>
      <c r="C244" s="608"/>
      <c r="D244" s="608"/>
      <c r="E244" s="608"/>
      <c r="F244" s="608"/>
      <c r="G244" s="608"/>
      <c r="H244" s="608"/>
      <c r="I244" s="608"/>
      <c r="J244" s="608"/>
      <c r="K244" s="608"/>
      <c r="L244" s="608"/>
      <c r="M244" s="608"/>
      <c r="N244" s="608"/>
      <c r="O244" s="608"/>
      <c r="P244" s="608"/>
      <c r="Q244" s="608"/>
      <c r="R244" s="608"/>
      <c r="S244" s="608"/>
      <c r="T244" s="608"/>
    </row>
    <row r="246" spans="1:27" ht="18" hidden="1" x14ac:dyDescent="0.25">
      <c r="E246" s="220" t="s">
        <v>413</v>
      </c>
      <c r="G246" s="219" t="s">
        <v>661</v>
      </c>
      <c r="H246" s="257" t="s">
        <v>495</v>
      </c>
      <c r="Q246" s="219" t="s">
        <v>661</v>
      </c>
      <c r="R246" s="258">
        <f>$Q$69</f>
        <v>70</v>
      </c>
      <c r="S246" s="218" t="s">
        <v>0</v>
      </c>
    </row>
    <row r="248" spans="1:27" ht="18" hidden="1" x14ac:dyDescent="0.25">
      <c r="E248" s="220" t="s">
        <v>776</v>
      </c>
      <c r="G248" s="219" t="s">
        <v>662</v>
      </c>
      <c r="H248" s="257" t="s">
        <v>495</v>
      </c>
      <c r="Q248" s="219" t="s">
        <v>662</v>
      </c>
      <c r="R248" s="258">
        <f>$Q$68</f>
        <v>8</v>
      </c>
      <c r="S248" s="218" t="s">
        <v>414</v>
      </c>
    </row>
    <row r="249" spans="1:27" hidden="1" x14ac:dyDescent="0.25">
      <c r="H249" s="257"/>
      <c r="R249" s="251"/>
    </row>
    <row r="251" spans="1:27" hidden="1" x14ac:dyDescent="0.25">
      <c r="B251" s="587" t="s">
        <v>811</v>
      </c>
      <c r="C251" s="587"/>
      <c r="D251" s="587"/>
      <c r="E251" s="587"/>
      <c r="F251" s="587"/>
      <c r="G251" s="587"/>
      <c r="H251" s="587"/>
      <c r="I251" s="587"/>
      <c r="J251" s="587"/>
      <c r="K251" s="587"/>
      <c r="L251" s="587"/>
      <c r="M251" s="587"/>
      <c r="N251" s="587"/>
      <c r="O251" s="587"/>
      <c r="P251" s="587"/>
      <c r="Q251" s="587"/>
      <c r="R251" s="587"/>
      <c r="S251" s="587"/>
      <c r="T251" s="587"/>
    </row>
    <row r="252" spans="1:27" s="253" customFormat="1" hidden="1" x14ac:dyDescent="0.25">
      <c r="A252" s="276"/>
      <c r="B252" s="276"/>
      <c r="C252" s="276"/>
      <c r="D252" s="276"/>
      <c r="E252" s="276"/>
      <c r="F252" s="276"/>
      <c r="G252" s="276"/>
      <c r="H252" s="276"/>
      <c r="I252" s="276"/>
      <c r="J252" s="276"/>
      <c r="K252" s="276"/>
      <c r="L252" s="276"/>
      <c r="M252" s="276"/>
      <c r="N252" s="276"/>
      <c r="O252" s="276"/>
      <c r="P252" s="276"/>
      <c r="Q252" s="276"/>
      <c r="R252" s="276"/>
      <c r="S252" s="276"/>
      <c r="T252" s="276"/>
      <c r="AA252" s="260"/>
    </row>
    <row r="253" spans="1:27" s="253" customFormat="1" hidden="1" x14ac:dyDescent="0.25">
      <c r="A253" s="218"/>
      <c r="B253" s="218"/>
      <c r="C253" s="218"/>
      <c r="D253" s="219"/>
      <c r="E253" s="220" t="s">
        <v>430</v>
      </c>
      <c r="F253" s="218"/>
      <c r="G253" s="255" t="s">
        <v>429</v>
      </c>
      <c r="H253" s="241">
        <v>0.75</v>
      </c>
      <c r="I253" s="218"/>
      <c r="J253" s="218"/>
      <c r="K253" s="218"/>
      <c r="L253" s="218"/>
      <c r="M253" s="218"/>
      <c r="N253" s="218"/>
      <c r="O253" s="218"/>
      <c r="P253" s="218"/>
      <c r="Q253" s="255" t="s">
        <v>429</v>
      </c>
      <c r="R253" s="221">
        <v>0.75</v>
      </c>
      <c r="S253" s="218"/>
      <c r="T253" s="276"/>
      <c r="AA253" s="260"/>
    </row>
    <row r="254" spans="1:27" s="253" customFormat="1" hidden="1" x14ac:dyDescent="0.25">
      <c r="A254" s="276"/>
      <c r="B254" s="276"/>
      <c r="C254" s="276"/>
      <c r="D254" s="276"/>
      <c r="E254" s="276"/>
      <c r="F254" s="276"/>
      <c r="G254" s="276"/>
      <c r="H254" s="276"/>
      <c r="I254" s="276"/>
      <c r="J254" s="276"/>
      <c r="K254" s="276"/>
      <c r="L254" s="276"/>
      <c r="M254" s="276"/>
      <c r="N254" s="276"/>
      <c r="O254" s="276"/>
      <c r="P254" s="276"/>
      <c r="Q254" s="276"/>
      <c r="R254" s="276"/>
      <c r="S254" s="276"/>
      <c r="T254" s="276"/>
      <c r="AA254" s="260"/>
    </row>
    <row r="255" spans="1:27" s="253" customFormat="1" hidden="1" x14ac:dyDescent="0.25">
      <c r="B255" s="608" t="s">
        <v>332</v>
      </c>
      <c r="C255" s="608"/>
      <c r="D255" s="608"/>
      <c r="E255" s="608"/>
      <c r="F255" s="608"/>
      <c r="G255" s="608"/>
      <c r="H255" s="608"/>
      <c r="I255" s="608"/>
      <c r="J255" s="608"/>
      <c r="K255" s="608"/>
      <c r="L255" s="608"/>
      <c r="M255" s="608"/>
      <c r="N255" s="608"/>
      <c r="O255" s="608"/>
      <c r="P255" s="608"/>
      <c r="Q255" s="608"/>
      <c r="R255" s="608"/>
      <c r="S255" s="608"/>
      <c r="T255" s="608"/>
      <c r="AA255" s="260"/>
    </row>
    <row r="257" spans="5:19" ht="18" hidden="1" x14ac:dyDescent="0.25">
      <c r="E257" s="220" t="s">
        <v>416</v>
      </c>
      <c r="G257" s="219" t="s">
        <v>415</v>
      </c>
      <c r="H257" s="218" t="s">
        <v>510</v>
      </c>
      <c r="Q257" s="219" t="s">
        <v>415</v>
      </c>
      <c r="R257" s="221">
        <f xml:space="preserve"> BCthreadedrod_bot/2 - Dleg/2 - Trein</f>
        <v>6</v>
      </c>
      <c r="S257" s="218" t="s">
        <v>1</v>
      </c>
    </row>
    <row r="259" spans="5:19" ht="18.75" hidden="1" x14ac:dyDescent="0.25">
      <c r="E259" s="220" t="s">
        <v>418</v>
      </c>
      <c r="G259" s="219" t="s">
        <v>579</v>
      </c>
      <c r="H259" s="218" t="s">
        <v>511</v>
      </c>
      <c r="Q259" s="219" t="s">
        <v>579</v>
      </c>
      <c r="R259" s="254">
        <f>0.5*PI()*Diameter</f>
        <v>0</v>
      </c>
      <c r="S259" s="218" t="s">
        <v>1</v>
      </c>
    </row>
    <row r="261" spans="5:19" ht="18" hidden="1" x14ac:dyDescent="0.25">
      <c r="G261" s="219" t="s">
        <v>580</v>
      </c>
      <c r="H261" s="241">
        <v>0</v>
      </c>
      <c r="Q261" s="219" t="s">
        <v>580</v>
      </c>
      <c r="R261" s="221">
        <v>0</v>
      </c>
      <c r="S261" s="218" t="s">
        <v>1</v>
      </c>
    </row>
    <row r="263" spans="5:19" ht="18" hidden="1" x14ac:dyDescent="0.25">
      <c r="G263" s="219" t="s">
        <v>581</v>
      </c>
      <c r="H263" s="241">
        <v>1</v>
      </c>
      <c r="Q263" s="219" t="s">
        <v>581</v>
      </c>
      <c r="R263" s="221">
        <v>1</v>
      </c>
    </row>
    <row r="265" spans="5:19" ht="18" hidden="1" x14ac:dyDescent="0.25">
      <c r="G265" s="255" t="s">
        <v>582</v>
      </c>
      <c r="H265" s="218" t="s">
        <v>617</v>
      </c>
      <c r="Q265" s="255" t="s">
        <v>582</v>
      </c>
      <c r="R265" s="254">
        <f>n_h1_bot*Lweld_h1_bot</f>
        <v>0</v>
      </c>
      <c r="S265" s="218" t="s">
        <v>1</v>
      </c>
    </row>
    <row r="267" spans="5:19" ht="18" hidden="1" x14ac:dyDescent="0.25">
      <c r="G267" s="255" t="s">
        <v>679</v>
      </c>
      <c r="H267" s="218" t="s">
        <v>618</v>
      </c>
      <c r="Q267" s="255" t="s">
        <v>679</v>
      </c>
      <c r="R267" s="221">
        <f>ΣLweld_h1_bot*ybar_h1_bot</f>
        <v>0</v>
      </c>
      <c r="S267" s="218" t="s">
        <v>328</v>
      </c>
    </row>
    <row r="269" spans="5:19" ht="18.75" hidden="1" x14ac:dyDescent="0.25">
      <c r="E269" s="220" t="s">
        <v>419</v>
      </c>
      <c r="G269" s="219" t="s">
        <v>583</v>
      </c>
      <c r="H269" s="218" t="s">
        <v>511</v>
      </c>
      <c r="Q269" s="219" t="s">
        <v>583</v>
      </c>
      <c r="R269" s="254">
        <f>0.5*PI()*Diameter</f>
        <v>0</v>
      </c>
      <c r="S269" s="218" t="s">
        <v>1</v>
      </c>
    </row>
    <row r="271" spans="5:19" ht="18" hidden="1" x14ac:dyDescent="0.25">
      <c r="G271" s="219" t="s">
        <v>584</v>
      </c>
      <c r="H271" s="218" t="s">
        <v>512</v>
      </c>
      <c r="Q271" s="219" t="s">
        <v>584</v>
      </c>
      <c r="R271" s="221">
        <f>tflange_bot</f>
        <v>1</v>
      </c>
      <c r="S271" s="218" t="s">
        <v>1</v>
      </c>
    </row>
    <row r="273" spans="5:19" ht="18" hidden="1" x14ac:dyDescent="0.25">
      <c r="G273" s="219" t="s">
        <v>585</v>
      </c>
      <c r="H273" s="241">
        <v>1</v>
      </c>
      <c r="Q273" s="219" t="s">
        <v>585</v>
      </c>
      <c r="R273" s="221">
        <v>1</v>
      </c>
    </row>
    <row r="275" spans="5:19" ht="18" hidden="1" x14ac:dyDescent="0.25">
      <c r="G275" s="255" t="s">
        <v>586</v>
      </c>
      <c r="H275" s="218" t="s">
        <v>619</v>
      </c>
      <c r="Q275" s="255" t="s">
        <v>586</v>
      </c>
      <c r="R275" s="254">
        <f>n_h2_bot*Lweld_h2_bot</f>
        <v>0</v>
      </c>
      <c r="S275" s="218" t="s">
        <v>1</v>
      </c>
    </row>
    <row r="277" spans="5:19" ht="18" hidden="1" x14ac:dyDescent="0.25">
      <c r="G277" s="255" t="s">
        <v>680</v>
      </c>
      <c r="H277" s="277" t="s">
        <v>620</v>
      </c>
      <c r="Q277" s="255" t="s">
        <v>680</v>
      </c>
      <c r="R277" s="254">
        <f>ΣLweld_h2_bot*ybar_h2_bot</f>
        <v>0</v>
      </c>
      <c r="S277" s="218" t="s">
        <v>328</v>
      </c>
    </row>
    <row r="279" spans="5:19" ht="18" hidden="1" x14ac:dyDescent="0.25">
      <c r="E279" s="220" t="s">
        <v>420</v>
      </c>
      <c r="G279" s="219" t="s">
        <v>587</v>
      </c>
      <c r="H279" s="218" t="s">
        <v>513</v>
      </c>
      <c r="Q279" s="219" t="s">
        <v>587</v>
      </c>
      <c r="R279" s="254">
        <f xml:space="preserve"> hstiffener_bot - notchstiffener_bot</f>
        <v>7.5</v>
      </c>
      <c r="S279" s="218" t="s">
        <v>1</v>
      </c>
    </row>
    <row r="281" spans="5:19" ht="18" hidden="1" x14ac:dyDescent="0.25">
      <c r="G281" s="219" t="s">
        <v>588</v>
      </c>
      <c r="H281" s="218" t="s">
        <v>621</v>
      </c>
      <c r="Q281" s="219" t="s">
        <v>588</v>
      </c>
      <c r="R281" s="254">
        <f>tflange_bot + notchstiffener_bot + Lweld_v_bot/2</f>
        <v>5.25</v>
      </c>
      <c r="S281" s="218" t="s">
        <v>1</v>
      </c>
    </row>
    <row r="283" spans="5:19" ht="18" hidden="1" x14ac:dyDescent="0.25">
      <c r="G283" s="219" t="s">
        <v>589</v>
      </c>
      <c r="H283" s="241">
        <v>4</v>
      </c>
      <c r="Q283" s="219" t="s">
        <v>589</v>
      </c>
      <c r="R283" s="221">
        <v>4</v>
      </c>
    </row>
    <row r="285" spans="5:19" ht="18" hidden="1" x14ac:dyDescent="0.25">
      <c r="G285" s="255" t="s">
        <v>590</v>
      </c>
      <c r="H285" s="218" t="s">
        <v>622</v>
      </c>
      <c r="Q285" s="255" t="s">
        <v>590</v>
      </c>
      <c r="R285" s="254">
        <f>n_v_bot*Lweld_v_bot</f>
        <v>30</v>
      </c>
      <c r="S285" s="218" t="s">
        <v>1</v>
      </c>
    </row>
    <row r="287" spans="5:19" ht="18" hidden="1" x14ac:dyDescent="0.25">
      <c r="G287" s="255" t="s">
        <v>592</v>
      </c>
      <c r="H287" s="218" t="s">
        <v>623</v>
      </c>
      <c r="Q287" s="255" t="s">
        <v>592</v>
      </c>
      <c r="R287" s="254">
        <f>ΣLweld_v_bot*ybar_v_bot</f>
        <v>157.5</v>
      </c>
      <c r="S287" s="218" t="s">
        <v>328</v>
      </c>
    </row>
    <row r="289" spans="5:19" ht="18" hidden="1" x14ac:dyDescent="0.25">
      <c r="E289" s="220" t="s">
        <v>421</v>
      </c>
      <c r="G289" s="255" t="s">
        <v>591</v>
      </c>
      <c r="H289" s="218" t="s">
        <v>624</v>
      </c>
      <c r="Q289" s="255" t="s">
        <v>591</v>
      </c>
      <c r="R289" s="221">
        <f>ΣLweld_h1_bot+ΣLweld_h2_bot+ΣLweld_v_bot</f>
        <v>30</v>
      </c>
      <c r="S289" s="218" t="s">
        <v>1</v>
      </c>
    </row>
    <row r="291" spans="5:19" ht="18" hidden="1" x14ac:dyDescent="0.25">
      <c r="G291" s="219" t="s">
        <v>593</v>
      </c>
      <c r="H291" s="218" t="s">
        <v>625</v>
      </c>
      <c r="Q291" s="219" t="s">
        <v>593</v>
      </c>
      <c r="R291" s="254">
        <f>(ΣLweld_h1_botybar_h1_bot+ΣLweld_h2_botybar_h2_bot+ΣLweld_v_botybar_v_bot)/ΣLweld_group_bot</f>
        <v>5.25</v>
      </c>
      <c r="S291" s="218" t="s">
        <v>1</v>
      </c>
    </row>
    <row r="293" spans="5:19" ht="18" hidden="1" x14ac:dyDescent="0.25">
      <c r="E293" s="220" t="s">
        <v>422</v>
      </c>
      <c r="G293" s="219" t="s">
        <v>594</v>
      </c>
      <c r="H293" s="218" t="s">
        <v>626</v>
      </c>
      <c r="Q293" s="219" t="s">
        <v>594</v>
      </c>
      <c r="R293" s="254">
        <f>Lweld_h1_bot*(ybar_weld_group_bot)^2</f>
        <v>0</v>
      </c>
      <c r="S293" s="218" t="s">
        <v>423</v>
      </c>
    </row>
    <row r="295" spans="5:19" ht="18" hidden="1" x14ac:dyDescent="0.25">
      <c r="G295" s="219" t="s">
        <v>595</v>
      </c>
      <c r="H295" s="218" t="s">
        <v>627</v>
      </c>
      <c r="Q295" s="219" t="s">
        <v>595</v>
      </c>
      <c r="R295" s="254">
        <f>Lweld_h2_bot*(ybar_weld_group_bot-tflange_bot)^2</f>
        <v>0</v>
      </c>
      <c r="S295" s="218" t="s">
        <v>423</v>
      </c>
    </row>
    <row r="297" spans="5:19" ht="18" hidden="1" x14ac:dyDescent="0.25">
      <c r="G297" s="219" t="s">
        <v>596</v>
      </c>
      <c r="H297" s="218" t="s">
        <v>628</v>
      </c>
      <c r="Q297" s="219" t="s">
        <v>596</v>
      </c>
      <c r="R297" s="254">
        <f>ABS(ybar_v_bot-ybar_weld_group_bot)</f>
        <v>0</v>
      </c>
      <c r="S297" s="218" t="s">
        <v>1</v>
      </c>
    </row>
    <row r="299" spans="5:19" ht="18" hidden="1" x14ac:dyDescent="0.25">
      <c r="G299" s="219" t="s">
        <v>597</v>
      </c>
      <c r="H299" s="218" t="s">
        <v>629</v>
      </c>
      <c r="Q299" s="219" t="s">
        <v>597</v>
      </c>
      <c r="R299" s="254">
        <f>4*(Lweld_v_bot^3/12 + Lweld_v_bot*dv_bot^2)</f>
        <v>140.625</v>
      </c>
      <c r="S299" s="218" t="s">
        <v>423</v>
      </c>
    </row>
    <row r="301" spans="5:19" ht="18" hidden="1" x14ac:dyDescent="0.25">
      <c r="G301" s="219" t="s">
        <v>598</v>
      </c>
      <c r="H301" s="218" t="s">
        <v>630</v>
      </c>
      <c r="Q301" s="219" t="s">
        <v>598</v>
      </c>
      <c r="R301" s="221">
        <f>I_h1_bot+I_h2_bot+Iv_bot</f>
        <v>140.625</v>
      </c>
      <c r="S301" s="218" t="s">
        <v>423</v>
      </c>
    </row>
    <row r="303" spans="5:19" ht="18" hidden="1" x14ac:dyDescent="0.25">
      <c r="E303" s="220" t="s">
        <v>424</v>
      </c>
      <c r="G303" s="219" t="s">
        <v>599</v>
      </c>
      <c r="H303" s="218" t="s">
        <v>631</v>
      </c>
      <c r="Q303" s="219" t="s">
        <v>599</v>
      </c>
      <c r="R303" s="254" t="e">
        <f>Pmod_sp/ΣLweld_group_bot</f>
        <v>#DIV/0!</v>
      </c>
      <c r="S303" s="218" t="s">
        <v>425</v>
      </c>
    </row>
    <row r="305" spans="1:27" ht="18" hidden="1" x14ac:dyDescent="0.25">
      <c r="G305" s="219" t="s">
        <v>600</v>
      </c>
      <c r="H305" s="218" t="s">
        <v>632</v>
      </c>
      <c r="Q305" s="219" t="s">
        <v>600</v>
      </c>
      <c r="R305" s="254">
        <f>MAX(ybar_weld_group_bot,tflange_bot+notchstiffener_bot+Lweld_v_bot-ybar_weld_group_bot)</f>
        <v>5.25</v>
      </c>
      <c r="S305" s="218" t="s">
        <v>1</v>
      </c>
    </row>
    <row r="307" spans="1:27" ht="18" hidden="1" x14ac:dyDescent="0.25">
      <c r="E307" s="220" t="s">
        <v>426</v>
      </c>
      <c r="G307" s="219" t="s">
        <v>601</v>
      </c>
      <c r="H307" s="218" t="s">
        <v>633</v>
      </c>
      <c r="Q307" s="219" t="s">
        <v>601</v>
      </c>
      <c r="R307" s="254" t="e">
        <f>(Pmod_sp*armsp_bot*cmax_bot)/Iweld_group_bot</f>
        <v>#DIV/0!</v>
      </c>
      <c r="S307" s="218" t="s">
        <v>425</v>
      </c>
    </row>
    <row r="309" spans="1:27" ht="18" hidden="1" x14ac:dyDescent="0.25">
      <c r="E309" s="220" t="s">
        <v>427</v>
      </c>
      <c r="G309" s="219" t="s">
        <v>602</v>
      </c>
      <c r="H309" s="218" t="s">
        <v>716</v>
      </c>
      <c r="Q309" s="219" t="s">
        <v>602</v>
      </c>
      <c r="R309" s="254" t="e">
        <f>SQRT(rp_bot^2+rm_bot^2)</f>
        <v>#DIV/0!</v>
      </c>
      <c r="S309" s="218" t="s">
        <v>425</v>
      </c>
    </row>
    <row r="311" spans="1:27" ht="18" hidden="1" x14ac:dyDescent="0.25">
      <c r="E311" s="220" t="s">
        <v>428</v>
      </c>
      <c r="G311" s="219" t="s">
        <v>603</v>
      </c>
      <c r="H311" s="218" t="s">
        <v>636</v>
      </c>
      <c r="Q311" s="219" t="s">
        <v>603</v>
      </c>
      <c r="R311" s="254">
        <f>0.6*FEXX_bot*SQRT(2)/2*(Dfillet_bot/16)</f>
        <v>14.849242404917499</v>
      </c>
      <c r="S311" s="218" t="s">
        <v>425</v>
      </c>
    </row>
    <row r="313" spans="1:27" ht="18" hidden="1" x14ac:dyDescent="0.25">
      <c r="E313" s="220" t="s">
        <v>431</v>
      </c>
      <c r="G313" s="255" t="s">
        <v>604</v>
      </c>
      <c r="H313" s="218" t="s">
        <v>694</v>
      </c>
      <c r="Q313" s="255" t="s">
        <v>604</v>
      </c>
      <c r="R313" s="254">
        <f>Φw*Rnweld_bot</f>
        <v>11.136931803688125</v>
      </c>
      <c r="S313" s="218" t="s">
        <v>425</v>
      </c>
    </row>
    <row r="315" spans="1:27" ht="18" hidden="1" x14ac:dyDescent="0.25">
      <c r="E315" s="266" t="s">
        <v>389</v>
      </c>
      <c r="H315" s="267" t="s">
        <v>605</v>
      </c>
      <c r="I315" s="271" t="e">
        <f>ru_bot</f>
        <v>#DIV/0!</v>
      </c>
      <c r="J315" s="269" t="s">
        <v>425</v>
      </c>
      <c r="K315" s="270" t="s">
        <v>387</v>
      </c>
      <c r="L315" s="269"/>
      <c r="M315" s="278" t="s">
        <v>606</v>
      </c>
      <c r="N315" s="271">
        <f>ΦRnweld_bot</f>
        <v>11.136931803688125</v>
      </c>
      <c r="O315" s="269" t="s">
        <v>425</v>
      </c>
      <c r="P315" s="269"/>
      <c r="Q315" s="267" t="s">
        <v>388</v>
      </c>
      <c r="R315" s="272" t="e">
        <f>I315/N315</f>
        <v>#DIV/0!</v>
      </c>
    </row>
    <row r="316" spans="1:27" s="253" customFormat="1" hidden="1" x14ac:dyDescent="0.25">
      <c r="D316" s="279"/>
      <c r="E316" s="280"/>
      <c r="G316" s="279"/>
      <c r="H316" s="281"/>
      <c r="I316" s="268"/>
      <c r="J316" s="217"/>
      <c r="K316" s="276"/>
      <c r="L316" s="217"/>
      <c r="M316" s="282"/>
      <c r="N316" s="268"/>
      <c r="O316" s="217"/>
      <c r="P316" s="217"/>
      <c r="Q316" s="281"/>
      <c r="R316" s="283"/>
      <c r="AA316" s="260"/>
    </row>
    <row r="317" spans="1:27" s="253" customFormat="1" hidden="1" x14ac:dyDescent="0.25">
      <c r="B317" s="608" t="s">
        <v>358</v>
      </c>
      <c r="C317" s="608"/>
      <c r="D317" s="608"/>
      <c r="E317" s="608"/>
      <c r="F317" s="608"/>
      <c r="G317" s="608"/>
      <c r="H317" s="608"/>
      <c r="I317" s="608"/>
      <c r="J317" s="608"/>
      <c r="K317" s="608"/>
      <c r="L317" s="608"/>
      <c r="M317" s="608"/>
      <c r="N317" s="608"/>
      <c r="O317" s="608"/>
      <c r="P317" s="608"/>
      <c r="Q317" s="608"/>
      <c r="R317" s="608"/>
      <c r="S317" s="608"/>
      <c r="T317" s="608"/>
      <c r="AA317" s="260"/>
    </row>
    <row r="318" spans="1:27" s="253" customFormat="1" hidden="1" x14ac:dyDescent="0.25">
      <c r="A318" s="218"/>
      <c r="B318" s="218"/>
      <c r="C318" s="218"/>
      <c r="D318" s="219"/>
      <c r="E318" s="220"/>
      <c r="F318" s="218"/>
      <c r="G318" s="219"/>
      <c r="H318" s="218"/>
      <c r="I318" s="218"/>
      <c r="J318" s="218"/>
      <c r="K318" s="218"/>
      <c r="L318" s="218"/>
      <c r="M318" s="218"/>
      <c r="N318" s="218"/>
      <c r="O318" s="218"/>
      <c r="P318" s="218"/>
      <c r="Q318" s="219"/>
      <c r="R318" s="221"/>
      <c r="S318" s="218"/>
      <c r="T318" s="218"/>
      <c r="AA318" s="260"/>
    </row>
    <row r="319" spans="1:27" s="253" customFormat="1" ht="18" hidden="1" x14ac:dyDescent="0.25">
      <c r="A319" s="218"/>
      <c r="B319" s="218"/>
      <c r="C319" s="218"/>
      <c r="D319" s="219"/>
      <c r="E319" s="220" t="s">
        <v>416</v>
      </c>
      <c r="F319" s="218"/>
      <c r="G319" s="219" t="s">
        <v>663</v>
      </c>
      <c r="H319" s="218" t="s">
        <v>695</v>
      </c>
      <c r="I319" s="218"/>
      <c r="J319" s="218"/>
      <c r="K319" s="218"/>
      <c r="L319" s="218"/>
      <c r="M319" s="218"/>
      <c r="N319" s="218"/>
      <c r="O319" s="218"/>
      <c r="P319" s="218"/>
      <c r="Q319" s="219" t="s">
        <v>663</v>
      </c>
      <c r="R319" s="221">
        <f xml:space="preserve"> BCthreadedrod_top/2 - Dleg/2 - Trein</f>
        <v>6</v>
      </c>
      <c r="S319" s="218" t="s">
        <v>1</v>
      </c>
      <c r="T319" s="218"/>
      <c r="AA319" s="260"/>
    </row>
    <row r="320" spans="1:27" s="253" customFormat="1" hidden="1" x14ac:dyDescent="0.25">
      <c r="A320" s="218"/>
      <c r="B320" s="218"/>
      <c r="C320" s="218"/>
      <c r="D320" s="219"/>
      <c r="E320" s="220"/>
      <c r="F320" s="218"/>
      <c r="G320" s="219"/>
      <c r="H320" s="218"/>
      <c r="I320" s="218"/>
      <c r="J320" s="218"/>
      <c r="K320" s="218"/>
      <c r="L320" s="218"/>
      <c r="M320" s="218"/>
      <c r="N320" s="218"/>
      <c r="O320" s="218"/>
      <c r="P320" s="218"/>
      <c r="Q320" s="219"/>
      <c r="R320" s="221"/>
      <c r="S320" s="218"/>
      <c r="T320" s="218"/>
      <c r="AA320" s="260"/>
    </row>
    <row r="321" spans="1:27" s="253" customFormat="1" ht="18.75" hidden="1" x14ac:dyDescent="0.25">
      <c r="A321" s="218"/>
      <c r="B321" s="218"/>
      <c r="C321" s="218"/>
      <c r="D321" s="219"/>
      <c r="E321" s="220" t="s">
        <v>418</v>
      </c>
      <c r="F321" s="218"/>
      <c r="G321" s="219" t="s">
        <v>664</v>
      </c>
      <c r="H321" s="218" t="s">
        <v>511</v>
      </c>
      <c r="I321" s="218"/>
      <c r="J321" s="218"/>
      <c r="K321" s="218"/>
      <c r="L321" s="218"/>
      <c r="M321" s="218"/>
      <c r="N321" s="218"/>
      <c r="O321" s="218"/>
      <c r="P321" s="218"/>
      <c r="Q321" s="219" t="s">
        <v>664</v>
      </c>
      <c r="R321" s="254">
        <f>0.5*PI()*Diameter</f>
        <v>0</v>
      </c>
      <c r="S321" s="218" t="s">
        <v>1</v>
      </c>
      <c r="T321" s="218"/>
      <c r="AA321" s="260"/>
    </row>
    <row r="322" spans="1:27" s="253" customFormat="1" hidden="1" x14ac:dyDescent="0.25">
      <c r="A322" s="218"/>
      <c r="B322" s="218"/>
      <c r="C322" s="218"/>
      <c r="D322" s="219"/>
      <c r="E322" s="220"/>
      <c r="F322" s="218"/>
      <c r="G322" s="219"/>
      <c r="H322" s="218"/>
      <c r="I322" s="218"/>
      <c r="J322" s="218"/>
      <c r="K322" s="218"/>
      <c r="L322" s="218"/>
      <c r="M322" s="218"/>
      <c r="N322" s="218"/>
      <c r="O322" s="218"/>
      <c r="P322" s="218"/>
      <c r="Q322" s="219"/>
      <c r="R322" s="221"/>
      <c r="S322" s="218"/>
      <c r="T322" s="218"/>
      <c r="AA322" s="260"/>
    </row>
    <row r="323" spans="1:27" s="253" customFormat="1" ht="18" hidden="1" x14ac:dyDescent="0.25">
      <c r="A323" s="218"/>
      <c r="B323" s="218"/>
      <c r="C323" s="218"/>
      <c r="D323" s="219"/>
      <c r="E323" s="220"/>
      <c r="F323" s="218"/>
      <c r="G323" s="219" t="s">
        <v>665</v>
      </c>
      <c r="H323" s="241">
        <v>0</v>
      </c>
      <c r="I323" s="218"/>
      <c r="J323" s="218"/>
      <c r="K323" s="218"/>
      <c r="L323" s="218"/>
      <c r="M323" s="218"/>
      <c r="N323" s="218"/>
      <c r="O323" s="218"/>
      <c r="P323" s="218"/>
      <c r="Q323" s="219" t="s">
        <v>665</v>
      </c>
      <c r="R323" s="221">
        <v>0</v>
      </c>
      <c r="S323" s="218" t="s">
        <v>1</v>
      </c>
      <c r="T323" s="218"/>
      <c r="AA323" s="260"/>
    </row>
    <row r="324" spans="1:27" s="253" customFormat="1" hidden="1" x14ac:dyDescent="0.25">
      <c r="A324" s="218"/>
      <c r="B324" s="218"/>
      <c r="C324" s="218"/>
      <c r="D324" s="219"/>
      <c r="E324" s="220"/>
      <c r="F324" s="218"/>
      <c r="G324" s="219"/>
      <c r="H324" s="218"/>
      <c r="I324" s="218"/>
      <c r="J324" s="218"/>
      <c r="K324" s="218"/>
      <c r="L324" s="218"/>
      <c r="M324" s="218"/>
      <c r="N324" s="218"/>
      <c r="O324" s="218"/>
      <c r="P324" s="218"/>
      <c r="Q324" s="219"/>
      <c r="R324" s="221"/>
      <c r="S324" s="218"/>
      <c r="T324" s="218"/>
      <c r="AA324" s="260"/>
    </row>
    <row r="325" spans="1:27" s="253" customFormat="1" ht="18" hidden="1" x14ac:dyDescent="0.25">
      <c r="A325" s="218"/>
      <c r="B325" s="218"/>
      <c r="C325" s="218"/>
      <c r="D325" s="219"/>
      <c r="E325" s="220"/>
      <c r="F325" s="218"/>
      <c r="G325" s="219" t="s">
        <v>666</v>
      </c>
      <c r="H325" s="241">
        <v>1</v>
      </c>
      <c r="I325" s="218"/>
      <c r="J325" s="218"/>
      <c r="K325" s="218"/>
      <c r="L325" s="218"/>
      <c r="M325" s="218"/>
      <c r="N325" s="218"/>
      <c r="O325" s="218"/>
      <c r="P325" s="218"/>
      <c r="Q325" s="219" t="s">
        <v>666</v>
      </c>
      <c r="R325" s="221">
        <v>1</v>
      </c>
      <c r="S325" s="218"/>
      <c r="T325" s="218"/>
      <c r="AA325" s="260"/>
    </row>
    <row r="326" spans="1:27" s="253" customFormat="1" hidden="1" x14ac:dyDescent="0.25">
      <c r="A326" s="218"/>
      <c r="B326" s="218"/>
      <c r="C326" s="218"/>
      <c r="D326" s="219"/>
      <c r="E326" s="220"/>
      <c r="F326" s="218"/>
      <c r="G326" s="219"/>
      <c r="H326" s="218"/>
      <c r="I326" s="218"/>
      <c r="J326" s="218"/>
      <c r="K326" s="218"/>
      <c r="L326" s="218"/>
      <c r="M326" s="218"/>
      <c r="N326" s="218"/>
      <c r="O326" s="218"/>
      <c r="P326" s="218"/>
      <c r="Q326" s="219"/>
      <c r="R326" s="221"/>
      <c r="S326" s="218"/>
      <c r="T326" s="218"/>
      <c r="AA326" s="260"/>
    </row>
    <row r="327" spans="1:27" s="253" customFormat="1" ht="18" hidden="1" x14ac:dyDescent="0.25">
      <c r="A327" s="218"/>
      <c r="B327" s="218"/>
      <c r="C327" s="218"/>
      <c r="D327" s="219"/>
      <c r="E327" s="220"/>
      <c r="F327" s="218"/>
      <c r="G327" s="255" t="s">
        <v>667</v>
      </c>
      <c r="H327" s="218" t="s">
        <v>696</v>
      </c>
      <c r="I327" s="218"/>
      <c r="J327" s="218"/>
      <c r="K327" s="218"/>
      <c r="L327" s="218"/>
      <c r="M327" s="218"/>
      <c r="N327" s="218"/>
      <c r="O327" s="218"/>
      <c r="P327" s="218"/>
      <c r="Q327" s="255" t="s">
        <v>667</v>
      </c>
      <c r="R327" s="254">
        <f>n_h1_top*Lweld_h1_top</f>
        <v>0</v>
      </c>
      <c r="S327" s="218" t="s">
        <v>1</v>
      </c>
      <c r="T327" s="218"/>
      <c r="AA327" s="260"/>
    </row>
    <row r="328" spans="1:27" s="253" customFormat="1" hidden="1" x14ac:dyDescent="0.25">
      <c r="A328" s="218"/>
      <c r="B328" s="218"/>
      <c r="C328" s="218"/>
      <c r="D328" s="219"/>
      <c r="E328" s="220"/>
      <c r="F328" s="218"/>
      <c r="G328" s="219"/>
      <c r="H328" s="218"/>
      <c r="I328" s="218"/>
      <c r="J328" s="218"/>
      <c r="K328" s="218"/>
      <c r="L328" s="218"/>
      <c r="M328" s="218"/>
      <c r="N328" s="218"/>
      <c r="O328" s="218"/>
      <c r="P328" s="218"/>
      <c r="Q328" s="219"/>
      <c r="R328" s="221"/>
      <c r="S328" s="218"/>
      <c r="T328" s="218"/>
      <c r="AA328" s="260"/>
    </row>
    <row r="329" spans="1:27" s="253" customFormat="1" ht="18" hidden="1" x14ac:dyDescent="0.25">
      <c r="A329" s="218"/>
      <c r="B329" s="218"/>
      <c r="C329" s="218"/>
      <c r="D329" s="219"/>
      <c r="E329" s="220"/>
      <c r="F329" s="218"/>
      <c r="G329" s="255" t="s">
        <v>678</v>
      </c>
      <c r="H329" s="218" t="s">
        <v>697</v>
      </c>
      <c r="I329" s="218"/>
      <c r="J329" s="218"/>
      <c r="K329" s="218"/>
      <c r="L329" s="218"/>
      <c r="M329" s="218"/>
      <c r="N329" s="218"/>
      <c r="O329" s="218"/>
      <c r="P329" s="218"/>
      <c r="Q329" s="255" t="s">
        <v>678</v>
      </c>
      <c r="R329" s="221">
        <f>ΣLweld_h1_top*ybar_h1_top</f>
        <v>0</v>
      </c>
      <c r="S329" s="218" t="s">
        <v>328</v>
      </c>
      <c r="T329" s="218"/>
      <c r="AA329" s="260"/>
    </row>
    <row r="330" spans="1:27" s="253" customFormat="1" hidden="1" x14ac:dyDescent="0.25">
      <c r="A330" s="218"/>
      <c r="B330" s="218"/>
      <c r="C330" s="218"/>
      <c r="D330" s="219"/>
      <c r="E330" s="220"/>
      <c r="F330" s="218"/>
      <c r="G330" s="219"/>
      <c r="H330" s="218"/>
      <c r="I330" s="218"/>
      <c r="J330" s="218"/>
      <c r="K330" s="218"/>
      <c r="L330" s="218"/>
      <c r="M330" s="218"/>
      <c r="N330" s="218"/>
      <c r="O330" s="218"/>
      <c r="P330" s="218"/>
      <c r="Q330" s="219"/>
      <c r="R330" s="221"/>
      <c r="S330" s="218"/>
      <c r="T330" s="218"/>
      <c r="AA330" s="260"/>
    </row>
    <row r="331" spans="1:27" s="253" customFormat="1" ht="18.75" hidden="1" x14ac:dyDescent="0.25">
      <c r="A331" s="218"/>
      <c r="B331" s="218"/>
      <c r="C331" s="218"/>
      <c r="D331" s="219"/>
      <c r="E331" s="220" t="s">
        <v>419</v>
      </c>
      <c r="F331" s="218"/>
      <c r="G331" s="219" t="s">
        <v>668</v>
      </c>
      <c r="H331" s="218" t="s">
        <v>511</v>
      </c>
      <c r="I331" s="218"/>
      <c r="J331" s="218"/>
      <c r="K331" s="218"/>
      <c r="L331" s="218"/>
      <c r="M331" s="218"/>
      <c r="N331" s="218"/>
      <c r="O331" s="218"/>
      <c r="P331" s="218"/>
      <c r="Q331" s="219" t="s">
        <v>668</v>
      </c>
      <c r="R331" s="254">
        <f>0.5*PI()*Diameter</f>
        <v>0</v>
      </c>
      <c r="S331" s="218" t="s">
        <v>1</v>
      </c>
      <c r="T331" s="218"/>
      <c r="AA331" s="260"/>
    </row>
    <row r="332" spans="1:27" s="253" customFormat="1" hidden="1" x14ac:dyDescent="0.25">
      <c r="A332" s="218"/>
      <c r="B332" s="218"/>
      <c r="C332" s="218"/>
      <c r="D332" s="219"/>
      <c r="E332" s="220"/>
      <c r="F332" s="218"/>
      <c r="G332" s="219"/>
      <c r="H332" s="218"/>
      <c r="I332" s="218"/>
      <c r="J332" s="218"/>
      <c r="K332" s="218"/>
      <c r="L332" s="218"/>
      <c r="M332" s="218"/>
      <c r="N332" s="218"/>
      <c r="O332" s="218"/>
      <c r="P332" s="218"/>
      <c r="Q332" s="219"/>
      <c r="R332" s="221"/>
      <c r="S332" s="218"/>
      <c r="T332" s="218"/>
      <c r="AA332" s="260"/>
    </row>
    <row r="333" spans="1:27" s="253" customFormat="1" ht="18" hidden="1" x14ac:dyDescent="0.25">
      <c r="A333" s="218"/>
      <c r="B333" s="218"/>
      <c r="C333" s="218"/>
      <c r="D333" s="219"/>
      <c r="E333" s="220"/>
      <c r="F333" s="218"/>
      <c r="G333" s="219" t="s">
        <v>669</v>
      </c>
      <c r="H333" s="218" t="s">
        <v>698</v>
      </c>
      <c r="I333" s="218"/>
      <c r="J333" s="218"/>
      <c r="K333" s="218"/>
      <c r="L333" s="218"/>
      <c r="M333" s="218"/>
      <c r="N333" s="218"/>
      <c r="O333" s="218"/>
      <c r="P333" s="218"/>
      <c r="Q333" s="219" t="s">
        <v>669</v>
      </c>
      <c r="R333" s="221">
        <f>tflange_top</f>
        <v>1</v>
      </c>
      <c r="S333" s="218" t="s">
        <v>1</v>
      </c>
      <c r="T333" s="218"/>
      <c r="AA333" s="260"/>
    </row>
    <row r="334" spans="1:27" s="253" customFormat="1" hidden="1" x14ac:dyDescent="0.25">
      <c r="A334" s="218"/>
      <c r="B334" s="218"/>
      <c r="C334" s="218"/>
      <c r="D334" s="219"/>
      <c r="E334" s="220"/>
      <c r="F334" s="218"/>
      <c r="G334" s="219"/>
      <c r="H334" s="218"/>
      <c r="I334" s="218"/>
      <c r="J334" s="218"/>
      <c r="K334" s="218"/>
      <c r="L334" s="218"/>
      <c r="M334" s="218"/>
      <c r="N334" s="218"/>
      <c r="O334" s="218"/>
      <c r="P334" s="218"/>
      <c r="Q334" s="219"/>
      <c r="R334" s="221"/>
      <c r="S334" s="218"/>
      <c r="T334" s="218"/>
      <c r="AA334" s="260"/>
    </row>
    <row r="335" spans="1:27" s="253" customFormat="1" ht="18" hidden="1" x14ac:dyDescent="0.25">
      <c r="A335" s="218"/>
      <c r="B335" s="218"/>
      <c r="C335" s="218"/>
      <c r="D335" s="219"/>
      <c r="E335" s="220"/>
      <c r="F335" s="218"/>
      <c r="G335" s="219" t="s">
        <v>670</v>
      </c>
      <c r="H335" s="241">
        <v>1</v>
      </c>
      <c r="I335" s="218"/>
      <c r="J335" s="218"/>
      <c r="K335" s="218"/>
      <c r="L335" s="218"/>
      <c r="M335" s="218"/>
      <c r="N335" s="218"/>
      <c r="O335" s="218"/>
      <c r="P335" s="218"/>
      <c r="Q335" s="219" t="s">
        <v>670</v>
      </c>
      <c r="R335" s="221">
        <v>1</v>
      </c>
      <c r="S335" s="218"/>
      <c r="T335" s="218"/>
      <c r="AA335" s="260"/>
    </row>
    <row r="336" spans="1:27" s="253" customFormat="1" hidden="1" x14ac:dyDescent="0.25">
      <c r="A336" s="218"/>
      <c r="B336" s="218"/>
      <c r="C336" s="218"/>
      <c r="D336" s="219"/>
      <c r="E336" s="220"/>
      <c r="F336" s="218"/>
      <c r="G336" s="219"/>
      <c r="H336" s="218"/>
      <c r="I336" s="218"/>
      <c r="J336" s="218"/>
      <c r="K336" s="218"/>
      <c r="L336" s="218"/>
      <c r="M336" s="218"/>
      <c r="N336" s="218"/>
      <c r="O336" s="218"/>
      <c r="P336" s="218"/>
      <c r="Q336" s="219"/>
      <c r="R336" s="221"/>
      <c r="S336" s="218"/>
      <c r="T336" s="218"/>
      <c r="AA336" s="260"/>
    </row>
    <row r="337" spans="1:27" s="253" customFormat="1" ht="18" hidden="1" x14ac:dyDescent="0.25">
      <c r="A337" s="218"/>
      <c r="B337" s="218"/>
      <c r="C337" s="218"/>
      <c r="D337" s="219"/>
      <c r="E337" s="220"/>
      <c r="F337" s="218"/>
      <c r="G337" s="255" t="s">
        <v>671</v>
      </c>
      <c r="H337" s="218" t="s">
        <v>699</v>
      </c>
      <c r="I337" s="218"/>
      <c r="J337" s="218"/>
      <c r="K337" s="218"/>
      <c r="L337" s="218"/>
      <c r="M337" s="218"/>
      <c r="N337" s="218"/>
      <c r="O337" s="218"/>
      <c r="P337" s="218"/>
      <c r="Q337" s="255" t="s">
        <v>671</v>
      </c>
      <c r="R337" s="254">
        <f>n_h2_top*Lweld_h2_top</f>
        <v>0</v>
      </c>
      <c r="S337" s="218" t="s">
        <v>1</v>
      </c>
      <c r="T337" s="218"/>
      <c r="AA337" s="260"/>
    </row>
    <row r="338" spans="1:27" s="253" customFormat="1" hidden="1" x14ac:dyDescent="0.25">
      <c r="A338" s="218"/>
      <c r="B338" s="218"/>
      <c r="C338" s="218"/>
      <c r="D338" s="219"/>
      <c r="E338" s="220"/>
      <c r="F338" s="218"/>
      <c r="G338" s="219"/>
      <c r="H338" s="218"/>
      <c r="I338" s="218"/>
      <c r="J338" s="218"/>
      <c r="K338" s="218"/>
      <c r="L338" s="218"/>
      <c r="M338" s="218"/>
      <c r="N338" s="218"/>
      <c r="O338" s="218"/>
      <c r="P338" s="218"/>
      <c r="Q338" s="219"/>
      <c r="R338" s="221"/>
      <c r="S338" s="218"/>
      <c r="T338" s="218"/>
      <c r="AA338" s="260"/>
    </row>
    <row r="339" spans="1:27" s="253" customFormat="1" ht="18" hidden="1" x14ac:dyDescent="0.25">
      <c r="A339" s="218"/>
      <c r="B339" s="218"/>
      <c r="C339" s="218"/>
      <c r="D339" s="219"/>
      <c r="E339" s="220"/>
      <c r="F339" s="218"/>
      <c r="G339" s="255" t="s">
        <v>677</v>
      </c>
      <c r="H339" s="277" t="s">
        <v>700</v>
      </c>
      <c r="I339" s="218"/>
      <c r="J339" s="218"/>
      <c r="K339" s="218"/>
      <c r="L339" s="218"/>
      <c r="M339" s="218"/>
      <c r="N339" s="218"/>
      <c r="O339" s="218"/>
      <c r="P339" s="218"/>
      <c r="Q339" s="255" t="s">
        <v>677</v>
      </c>
      <c r="R339" s="254">
        <f>ΣLweld_h2_top*ybar_h2_top</f>
        <v>0</v>
      </c>
      <c r="S339" s="218" t="s">
        <v>328</v>
      </c>
      <c r="T339" s="218"/>
      <c r="AA339" s="260"/>
    </row>
    <row r="340" spans="1:27" s="253" customFormat="1" hidden="1" x14ac:dyDescent="0.25">
      <c r="A340" s="218"/>
      <c r="B340" s="218"/>
      <c r="C340" s="218"/>
      <c r="D340" s="219"/>
      <c r="E340" s="220"/>
      <c r="F340" s="218"/>
      <c r="G340" s="219"/>
      <c r="H340" s="218"/>
      <c r="I340" s="218"/>
      <c r="J340" s="218"/>
      <c r="K340" s="218"/>
      <c r="L340" s="218"/>
      <c r="M340" s="218"/>
      <c r="N340" s="218"/>
      <c r="O340" s="218"/>
      <c r="P340" s="218"/>
      <c r="Q340" s="219"/>
      <c r="R340" s="221"/>
      <c r="S340" s="218"/>
      <c r="T340" s="218"/>
      <c r="AA340" s="260"/>
    </row>
    <row r="341" spans="1:27" s="253" customFormat="1" ht="18" hidden="1" x14ac:dyDescent="0.25">
      <c r="A341" s="218"/>
      <c r="B341" s="218"/>
      <c r="C341" s="218"/>
      <c r="D341" s="219"/>
      <c r="E341" s="220" t="s">
        <v>420</v>
      </c>
      <c r="F341" s="218"/>
      <c r="G341" s="219" t="s">
        <v>672</v>
      </c>
      <c r="H341" s="218" t="s">
        <v>701</v>
      </c>
      <c r="I341" s="218"/>
      <c r="J341" s="218"/>
      <c r="K341" s="218"/>
      <c r="L341" s="218"/>
      <c r="M341" s="218"/>
      <c r="N341" s="218"/>
      <c r="O341" s="218"/>
      <c r="P341" s="218"/>
      <c r="Q341" s="219" t="s">
        <v>672</v>
      </c>
      <c r="R341" s="254">
        <f xml:space="preserve"> hstiffener_top - notchstiffener_top</f>
        <v>7.5</v>
      </c>
      <c r="S341" s="218" t="s">
        <v>1</v>
      </c>
      <c r="T341" s="218"/>
      <c r="AA341" s="260"/>
    </row>
    <row r="342" spans="1:27" s="253" customFormat="1" hidden="1" x14ac:dyDescent="0.25">
      <c r="A342" s="218"/>
      <c r="B342" s="218"/>
      <c r="C342" s="218"/>
      <c r="D342" s="219"/>
      <c r="E342" s="220"/>
      <c r="F342" s="218"/>
      <c r="G342" s="219"/>
      <c r="H342" s="218"/>
      <c r="I342" s="218"/>
      <c r="J342" s="218"/>
      <c r="K342" s="218"/>
      <c r="L342" s="218"/>
      <c r="M342" s="218"/>
      <c r="N342" s="218"/>
      <c r="O342" s="218"/>
      <c r="P342" s="218"/>
      <c r="Q342" s="219"/>
      <c r="R342" s="221"/>
      <c r="S342" s="218"/>
      <c r="T342" s="218"/>
      <c r="AA342" s="260"/>
    </row>
    <row r="343" spans="1:27" s="253" customFormat="1" ht="18" hidden="1" x14ac:dyDescent="0.25">
      <c r="A343" s="218"/>
      <c r="B343" s="218"/>
      <c r="C343" s="218"/>
      <c r="D343" s="219"/>
      <c r="E343" s="220"/>
      <c r="F343" s="218"/>
      <c r="G343" s="219" t="s">
        <v>673</v>
      </c>
      <c r="H343" s="218" t="s">
        <v>702</v>
      </c>
      <c r="I343" s="218"/>
      <c r="J343" s="218"/>
      <c r="K343" s="218"/>
      <c r="L343" s="218"/>
      <c r="M343" s="218"/>
      <c r="N343" s="218"/>
      <c r="O343" s="218"/>
      <c r="P343" s="218"/>
      <c r="Q343" s="219" t="s">
        <v>673</v>
      </c>
      <c r="R343" s="254">
        <f>tflange_top + notchstiffener_top + Lweld_v_top/2</f>
        <v>5.25</v>
      </c>
      <c r="S343" s="218" t="s">
        <v>1</v>
      </c>
      <c r="T343" s="218"/>
      <c r="AA343" s="260"/>
    </row>
    <row r="344" spans="1:27" s="253" customFormat="1" hidden="1" x14ac:dyDescent="0.25">
      <c r="A344" s="218"/>
      <c r="B344" s="218"/>
      <c r="C344" s="218"/>
      <c r="D344" s="219"/>
      <c r="E344" s="220"/>
      <c r="F344" s="218"/>
      <c r="G344" s="219"/>
      <c r="H344" s="218"/>
      <c r="I344" s="218"/>
      <c r="J344" s="218"/>
      <c r="K344" s="218"/>
      <c r="L344" s="218"/>
      <c r="M344" s="218"/>
      <c r="N344" s="218"/>
      <c r="O344" s="218"/>
      <c r="P344" s="218"/>
      <c r="Q344" s="219"/>
      <c r="R344" s="221"/>
      <c r="S344" s="218"/>
      <c r="T344" s="218"/>
      <c r="AA344" s="260"/>
    </row>
    <row r="345" spans="1:27" s="253" customFormat="1" ht="18" hidden="1" x14ac:dyDescent="0.25">
      <c r="A345" s="218"/>
      <c r="B345" s="218"/>
      <c r="C345" s="218"/>
      <c r="D345" s="219"/>
      <c r="E345" s="220"/>
      <c r="F345" s="218"/>
      <c r="G345" s="219" t="s">
        <v>674</v>
      </c>
      <c r="H345" s="241">
        <v>4</v>
      </c>
      <c r="I345" s="218"/>
      <c r="J345" s="218"/>
      <c r="K345" s="218"/>
      <c r="L345" s="218"/>
      <c r="M345" s="218"/>
      <c r="N345" s="218"/>
      <c r="O345" s="218"/>
      <c r="P345" s="218"/>
      <c r="Q345" s="219" t="s">
        <v>674</v>
      </c>
      <c r="R345" s="221">
        <v>4</v>
      </c>
      <c r="S345" s="218"/>
      <c r="T345" s="218"/>
      <c r="AA345" s="260"/>
    </row>
    <row r="346" spans="1:27" s="253" customFormat="1" hidden="1" x14ac:dyDescent="0.25">
      <c r="A346" s="218"/>
      <c r="B346" s="218"/>
      <c r="C346" s="218"/>
      <c r="D346" s="219"/>
      <c r="E346" s="220"/>
      <c r="F346" s="218"/>
      <c r="G346" s="219"/>
      <c r="H346" s="218"/>
      <c r="I346" s="218"/>
      <c r="J346" s="218"/>
      <c r="K346" s="218"/>
      <c r="L346" s="218"/>
      <c r="M346" s="218"/>
      <c r="N346" s="218"/>
      <c r="O346" s="218"/>
      <c r="P346" s="218"/>
      <c r="Q346" s="219"/>
      <c r="R346" s="221"/>
      <c r="S346" s="218"/>
      <c r="T346" s="218"/>
      <c r="AA346" s="260"/>
    </row>
    <row r="347" spans="1:27" s="253" customFormat="1" ht="18" hidden="1" x14ac:dyDescent="0.25">
      <c r="A347" s="218"/>
      <c r="B347" s="218"/>
      <c r="C347" s="218"/>
      <c r="D347" s="219"/>
      <c r="E347" s="220"/>
      <c r="F347" s="218"/>
      <c r="G347" s="255" t="s">
        <v>675</v>
      </c>
      <c r="H347" s="218" t="s">
        <v>703</v>
      </c>
      <c r="I347" s="218"/>
      <c r="J347" s="218"/>
      <c r="K347" s="218"/>
      <c r="L347" s="218"/>
      <c r="M347" s="218"/>
      <c r="N347" s="218"/>
      <c r="O347" s="218"/>
      <c r="P347" s="218"/>
      <c r="Q347" s="255" t="s">
        <v>675</v>
      </c>
      <c r="R347" s="254">
        <f>n_v_top*Lweld_v_top</f>
        <v>30</v>
      </c>
      <c r="S347" s="218" t="s">
        <v>1</v>
      </c>
      <c r="T347" s="218"/>
      <c r="AA347" s="260"/>
    </row>
    <row r="348" spans="1:27" s="253" customFormat="1" hidden="1" x14ac:dyDescent="0.25">
      <c r="A348" s="218"/>
      <c r="B348" s="218"/>
      <c r="C348" s="218"/>
      <c r="D348" s="219"/>
      <c r="E348" s="220"/>
      <c r="F348" s="218"/>
      <c r="G348" s="219"/>
      <c r="H348" s="218"/>
      <c r="I348" s="218"/>
      <c r="J348" s="218"/>
      <c r="K348" s="218"/>
      <c r="L348" s="218"/>
      <c r="M348" s="218"/>
      <c r="N348" s="218"/>
      <c r="O348" s="218"/>
      <c r="P348" s="218"/>
      <c r="Q348" s="219"/>
      <c r="R348" s="221"/>
      <c r="S348" s="218"/>
      <c r="T348" s="218"/>
      <c r="AA348" s="260"/>
    </row>
    <row r="349" spans="1:27" s="253" customFormat="1" ht="18" hidden="1" x14ac:dyDescent="0.25">
      <c r="A349" s="218"/>
      <c r="B349" s="218"/>
      <c r="C349" s="218"/>
      <c r="D349" s="219"/>
      <c r="E349" s="220"/>
      <c r="F349" s="218"/>
      <c r="G349" s="255" t="s">
        <v>676</v>
      </c>
      <c r="H349" s="218" t="s">
        <v>704</v>
      </c>
      <c r="I349" s="218"/>
      <c r="J349" s="218"/>
      <c r="K349" s="218"/>
      <c r="L349" s="218"/>
      <c r="M349" s="218"/>
      <c r="N349" s="218"/>
      <c r="O349" s="218"/>
      <c r="P349" s="218"/>
      <c r="Q349" s="255" t="s">
        <v>676</v>
      </c>
      <c r="R349" s="254">
        <f>ΣLweld_v_top*ybar_v_top</f>
        <v>157.5</v>
      </c>
      <c r="S349" s="218" t="s">
        <v>328</v>
      </c>
      <c r="T349" s="218"/>
      <c r="AA349" s="260"/>
    </row>
    <row r="350" spans="1:27" s="253" customFormat="1" hidden="1" x14ac:dyDescent="0.25">
      <c r="A350" s="218"/>
      <c r="B350" s="218"/>
      <c r="C350" s="218"/>
      <c r="D350" s="219"/>
      <c r="E350" s="220"/>
      <c r="F350" s="218"/>
      <c r="G350" s="219"/>
      <c r="H350" s="218"/>
      <c r="I350" s="218"/>
      <c r="J350" s="218"/>
      <c r="K350" s="218"/>
      <c r="L350" s="218"/>
      <c r="M350" s="218"/>
      <c r="N350" s="218"/>
      <c r="O350" s="218"/>
      <c r="P350" s="218"/>
      <c r="Q350" s="219"/>
      <c r="R350" s="221"/>
      <c r="S350" s="218"/>
      <c r="T350" s="218"/>
      <c r="AA350" s="260"/>
    </row>
    <row r="351" spans="1:27" s="253" customFormat="1" ht="18" hidden="1" x14ac:dyDescent="0.25">
      <c r="A351" s="218"/>
      <c r="B351" s="218"/>
      <c r="C351" s="218"/>
      <c r="D351" s="219"/>
      <c r="E351" s="220" t="s">
        <v>421</v>
      </c>
      <c r="F351" s="218"/>
      <c r="G351" s="255" t="s">
        <v>681</v>
      </c>
      <c r="H351" s="218" t="s">
        <v>705</v>
      </c>
      <c r="I351" s="218"/>
      <c r="J351" s="218"/>
      <c r="K351" s="218"/>
      <c r="L351" s="218"/>
      <c r="M351" s="218"/>
      <c r="N351" s="218"/>
      <c r="O351" s="218"/>
      <c r="P351" s="218"/>
      <c r="Q351" s="255" t="s">
        <v>681</v>
      </c>
      <c r="R351" s="221">
        <f>ΣLweld_h1_top+ΣLweld_h2_top+ΣLweld_v_top</f>
        <v>30</v>
      </c>
      <c r="S351" s="218" t="s">
        <v>1</v>
      </c>
      <c r="T351" s="218"/>
      <c r="AA351" s="260"/>
    </row>
    <row r="352" spans="1:27" s="253" customFormat="1" hidden="1" x14ac:dyDescent="0.25">
      <c r="A352" s="218"/>
      <c r="B352" s="218"/>
      <c r="C352" s="218"/>
      <c r="D352" s="219"/>
      <c r="E352" s="220"/>
      <c r="F352" s="218"/>
      <c r="G352" s="219"/>
      <c r="H352" s="218"/>
      <c r="I352" s="218"/>
      <c r="J352" s="218"/>
      <c r="K352" s="218"/>
      <c r="L352" s="218"/>
      <c r="M352" s="218"/>
      <c r="N352" s="218"/>
      <c r="O352" s="218"/>
      <c r="P352" s="218"/>
      <c r="Q352" s="219"/>
      <c r="R352" s="221"/>
      <c r="S352" s="218"/>
      <c r="T352" s="218"/>
      <c r="AA352" s="260"/>
    </row>
    <row r="353" spans="1:27" s="253" customFormat="1" ht="18" hidden="1" x14ac:dyDescent="0.25">
      <c r="A353" s="218"/>
      <c r="B353" s="218"/>
      <c r="C353" s="218"/>
      <c r="D353" s="219"/>
      <c r="E353" s="220"/>
      <c r="F353" s="218"/>
      <c r="G353" s="219" t="s">
        <v>682</v>
      </c>
      <c r="H353" s="218" t="s">
        <v>706</v>
      </c>
      <c r="I353" s="218"/>
      <c r="J353" s="218"/>
      <c r="K353" s="218"/>
      <c r="L353" s="218"/>
      <c r="M353" s="218"/>
      <c r="N353" s="218"/>
      <c r="O353" s="218"/>
      <c r="P353" s="218"/>
      <c r="Q353" s="219" t="s">
        <v>682</v>
      </c>
      <c r="R353" s="254">
        <f>(ΣLweld_h1_topybar_h1_top+ΣLweld_h2_topybar_h2_top+ΣLweld_v_topybar_v_top)/ΣLweld_group_top</f>
        <v>5.25</v>
      </c>
      <c r="S353" s="218" t="s">
        <v>1</v>
      </c>
      <c r="T353" s="218"/>
      <c r="AA353" s="260"/>
    </row>
    <row r="354" spans="1:27" s="253" customFormat="1" hidden="1" x14ac:dyDescent="0.25">
      <c r="A354" s="218"/>
      <c r="B354" s="218"/>
      <c r="C354" s="218"/>
      <c r="D354" s="219"/>
      <c r="E354" s="220"/>
      <c r="F354" s="218"/>
      <c r="G354" s="219"/>
      <c r="H354" s="218"/>
      <c r="I354" s="218"/>
      <c r="J354" s="218"/>
      <c r="K354" s="218"/>
      <c r="L354" s="218"/>
      <c r="M354" s="218"/>
      <c r="N354" s="218"/>
      <c r="O354" s="218"/>
      <c r="P354" s="218"/>
      <c r="Q354" s="219"/>
      <c r="R354" s="221"/>
      <c r="S354" s="218"/>
      <c r="T354" s="218"/>
      <c r="AA354" s="260"/>
    </row>
    <row r="355" spans="1:27" s="253" customFormat="1" ht="18" hidden="1" x14ac:dyDescent="0.25">
      <c r="A355" s="218"/>
      <c r="B355" s="218"/>
      <c r="C355" s="218"/>
      <c r="D355" s="219"/>
      <c r="E355" s="220" t="s">
        <v>422</v>
      </c>
      <c r="F355" s="218"/>
      <c r="G355" s="219" t="s">
        <v>683</v>
      </c>
      <c r="H355" s="218" t="s">
        <v>707</v>
      </c>
      <c r="I355" s="218"/>
      <c r="J355" s="218"/>
      <c r="K355" s="218"/>
      <c r="L355" s="218"/>
      <c r="M355" s="218"/>
      <c r="N355" s="218"/>
      <c r="O355" s="218"/>
      <c r="P355" s="218"/>
      <c r="Q355" s="219" t="s">
        <v>683</v>
      </c>
      <c r="R355" s="254">
        <f>Lweld_h1_top*(ybar_weld_group_top)^2</f>
        <v>0</v>
      </c>
      <c r="S355" s="218" t="s">
        <v>423</v>
      </c>
      <c r="T355" s="218"/>
      <c r="AA355" s="260"/>
    </row>
    <row r="356" spans="1:27" s="253" customFormat="1" hidden="1" x14ac:dyDescent="0.25">
      <c r="A356" s="218"/>
      <c r="B356" s="218"/>
      <c r="C356" s="218"/>
      <c r="D356" s="219"/>
      <c r="E356" s="220"/>
      <c r="F356" s="218"/>
      <c r="G356" s="219"/>
      <c r="H356" s="218"/>
      <c r="I356" s="218"/>
      <c r="J356" s="218"/>
      <c r="K356" s="218"/>
      <c r="L356" s="218"/>
      <c r="M356" s="218"/>
      <c r="N356" s="218"/>
      <c r="O356" s="218"/>
      <c r="P356" s="218"/>
      <c r="Q356" s="219"/>
      <c r="R356" s="221"/>
      <c r="S356" s="218"/>
      <c r="T356" s="218"/>
      <c r="AA356" s="260"/>
    </row>
    <row r="357" spans="1:27" s="253" customFormat="1" ht="18" hidden="1" x14ac:dyDescent="0.25">
      <c r="A357" s="218"/>
      <c r="B357" s="218"/>
      <c r="C357" s="218"/>
      <c r="D357" s="219"/>
      <c r="E357" s="220"/>
      <c r="F357" s="218"/>
      <c r="G357" s="219" t="s">
        <v>684</v>
      </c>
      <c r="H357" s="218" t="s">
        <v>708</v>
      </c>
      <c r="I357" s="218"/>
      <c r="J357" s="218"/>
      <c r="K357" s="218"/>
      <c r="L357" s="218"/>
      <c r="M357" s="218"/>
      <c r="N357" s="218"/>
      <c r="O357" s="218"/>
      <c r="P357" s="218"/>
      <c r="Q357" s="219" t="s">
        <v>684</v>
      </c>
      <c r="R357" s="254">
        <f>Lweld_h2_top*(ybar_weld_group_top-tflange_top)^2</f>
        <v>0</v>
      </c>
      <c r="S357" s="218" t="s">
        <v>423</v>
      </c>
      <c r="T357" s="218"/>
      <c r="AA357" s="260"/>
    </row>
    <row r="358" spans="1:27" s="253" customFormat="1" hidden="1" x14ac:dyDescent="0.25">
      <c r="A358" s="218"/>
      <c r="B358" s="218"/>
      <c r="C358" s="218"/>
      <c r="D358" s="219"/>
      <c r="E358" s="220"/>
      <c r="F358" s="218"/>
      <c r="G358" s="219"/>
      <c r="H358" s="218"/>
      <c r="I358" s="218"/>
      <c r="J358" s="218"/>
      <c r="K358" s="218"/>
      <c r="L358" s="218"/>
      <c r="M358" s="218"/>
      <c r="N358" s="218"/>
      <c r="O358" s="218"/>
      <c r="P358" s="218"/>
      <c r="Q358" s="219"/>
      <c r="R358" s="221"/>
      <c r="S358" s="218"/>
      <c r="T358" s="218"/>
      <c r="AA358" s="260"/>
    </row>
    <row r="359" spans="1:27" s="253" customFormat="1" ht="18" hidden="1" x14ac:dyDescent="0.25">
      <c r="A359" s="218"/>
      <c r="B359" s="218"/>
      <c r="C359" s="218"/>
      <c r="D359" s="219"/>
      <c r="E359" s="220"/>
      <c r="F359" s="218"/>
      <c r="G359" s="219" t="s">
        <v>685</v>
      </c>
      <c r="H359" s="218" t="s">
        <v>709</v>
      </c>
      <c r="I359" s="218"/>
      <c r="J359" s="218"/>
      <c r="K359" s="218"/>
      <c r="L359" s="218"/>
      <c r="M359" s="218"/>
      <c r="N359" s="218"/>
      <c r="O359" s="218"/>
      <c r="P359" s="218"/>
      <c r="Q359" s="219" t="s">
        <v>685</v>
      </c>
      <c r="R359" s="254">
        <f>ABS(ybar_v_top-ybar_weld_group_top)</f>
        <v>0</v>
      </c>
      <c r="S359" s="218" t="s">
        <v>1</v>
      </c>
      <c r="T359" s="218"/>
      <c r="AA359" s="260"/>
    </row>
    <row r="360" spans="1:27" s="253" customFormat="1" hidden="1" x14ac:dyDescent="0.25">
      <c r="A360" s="218"/>
      <c r="B360" s="218"/>
      <c r="C360" s="218"/>
      <c r="D360" s="219"/>
      <c r="E360" s="220"/>
      <c r="F360" s="218"/>
      <c r="G360" s="219"/>
      <c r="H360" s="218"/>
      <c r="I360" s="218"/>
      <c r="J360" s="218"/>
      <c r="K360" s="218"/>
      <c r="L360" s="218"/>
      <c r="M360" s="218"/>
      <c r="N360" s="218"/>
      <c r="O360" s="218"/>
      <c r="P360" s="218"/>
      <c r="Q360" s="219"/>
      <c r="R360" s="221"/>
      <c r="S360" s="218"/>
      <c r="T360" s="218"/>
      <c r="AA360" s="260"/>
    </row>
    <row r="361" spans="1:27" s="253" customFormat="1" ht="18" hidden="1" x14ac:dyDescent="0.25">
      <c r="A361" s="218"/>
      <c r="B361" s="218"/>
      <c r="C361" s="218"/>
      <c r="D361" s="219"/>
      <c r="E361" s="220"/>
      <c r="F361" s="218"/>
      <c r="G361" s="219" t="s">
        <v>686</v>
      </c>
      <c r="H361" s="218" t="s">
        <v>710</v>
      </c>
      <c r="I361" s="218"/>
      <c r="J361" s="218"/>
      <c r="K361" s="218"/>
      <c r="L361" s="218"/>
      <c r="M361" s="218"/>
      <c r="N361" s="218"/>
      <c r="O361" s="218"/>
      <c r="P361" s="218"/>
      <c r="Q361" s="219" t="s">
        <v>686</v>
      </c>
      <c r="R361" s="254">
        <f>4*(Lweld_v_top^3/12 + Lweld_v_top*dv_top^2)</f>
        <v>140.625</v>
      </c>
      <c r="S361" s="218" t="s">
        <v>423</v>
      </c>
      <c r="T361" s="218"/>
      <c r="AA361" s="260"/>
    </row>
    <row r="362" spans="1:27" s="253" customFormat="1" hidden="1" x14ac:dyDescent="0.25">
      <c r="A362" s="218"/>
      <c r="B362" s="218"/>
      <c r="C362" s="218"/>
      <c r="D362" s="219"/>
      <c r="E362" s="220"/>
      <c r="F362" s="218"/>
      <c r="G362" s="219"/>
      <c r="H362" s="218"/>
      <c r="I362" s="218"/>
      <c r="J362" s="218"/>
      <c r="K362" s="218"/>
      <c r="L362" s="218"/>
      <c r="M362" s="218"/>
      <c r="N362" s="218"/>
      <c r="O362" s="218"/>
      <c r="P362" s="218"/>
      <c r="Q362" s="219"/>
      <c r="R362" s="221"/>
      <c r="S362" s="218"/>
      <c r="T362" s="218"/>
      <c r="AA362" s="260"/>
    </row>
    <row r="363" spans="1:27" s="253" customFormat="1" ht="18" hidden="1" x14ac:dyDescent="0.25">
      <c r="A363" s="218"/>
      <c r="B363" s="218"/>
      <c r="C363" s="218"/>
      <c r="D363" s="219"/>
      <c r="E363" s="220"/>
      <c r="F363" s="218"/>
      <c r="G363" s="219" t="s">
        <v>687</v>
      </c>
      <c r="H363" s="218" t="s">
        <v>711</v>
      </c>
      <c r="I363" s="218"/>
      <c r="J363" s="218"/>
      <c r="K363" s="218"/>
      <c r="L363" s="218"/>
      <c r="M363" s="218"/>
      <c r="N363" s="218"/>
      <c r="O363" s="218"/>
      <c r="P363" s="218"/>
      <c r="Q363" s="219" t="s">
        <v>687</v>
      </c>
      <c r="R363" s="221">
        <f>I_h1_top+I_h2_top+Iv_top</f>
        <v>140.625</v>
      </c>
      <c r="S363" s="218" t="s">
        <v>423</v>
      </c>
      <c r="T363" s="218"/>
      <c r="AA363" s="260"/>
    </row>
    <row r="364" spans="1:27" s="253" customFormat="1" hidden="1" x14ac:dyDescent="0.25">
      <c r="A364" s="218"/>
      <c r="B364" s="218"/>
      <c r="C364" s="218"/>
      <c r="D364" s="219"/>
      <c r="E364" s="220"/>
      <c r="F364" s="218"/>
      <c r="G364" s="219"/>
      <c r="H364" s="218"/>
      <c r="I364" s="218"/>
      <c r="J364" s="218"/>
      <c r="K364" s="218"/>
      <c r="L364" s="218"/>
      <c r="M364" s="218"/>
      <c r="N364" s="218"/>
      <c r="O364" s="218"/>
      <c r="P364" s="218"/>
      <c r="Q364" s="219"/>
      <c r="R364" s="221"/>
      <c r="S364" s="218"/>
      <c r="T364" s="218"/>
      <c r="AA364" s="260"/>
    </row>
    <row r="365" spans="1:27" s="253" customFormat="1" ht="18" hidden="1" x14ac:dyDescent="0.25">
      <c r="A365" s="218"/>
      <c r="B365" s="218"/>
      <c r="C365" s="218"/>
      <c r="D365" s="219"/>
      <c r="E365" s="220" t="s">
        <v>424</v>
      </c>
      <c r="F365" s="218"/>
      <c r="G365" s="219" t="s">
        <v>688</v>
      </c>
      <c r="H365" s="218" t="s">
        <v>712</v>
      </c>
      <c r="I365" s="218"/>
      <c r="J365" s="218"/>
      <c r="K365" s="218"/>
      <c r="L365" s="218"/>
      <c r="M365" s="218"/>
      <c r="N365" s="218"/>
      <c r="O365" s="218"/>
      <c r="P365" s="218"/>
      <c r="Q365" s="219" t="s">
        <v>688</v>
      </c>
      <c r="R365" s="254" t="e">
        <f>Pmod_sp/ΣLweld_group_top</f>
        <v>#DIV/0!</v>
      </c>
      <c r="S365" s="218" t="s">
        <v>425</v>
      </c>
      <c r="T365" s="218"/>
      <c r="AA365" s="260"/>
    </row>
    <row r="366" spans="1:27" s="253" customFormat="1" hidden="1" x14ac:dyDescent="0.25">
      <c r="A366" s="218"/>
      <c r="B366" s="218"/>
      <c r="C366" s="218"/>
      <c r="D366" s="219"/>
      <c r="E366" s="220"/>
      <c r="F366" s="218"/>
      <c r="G366" s="219"/>
      <c r="H366" s="218"/>
      <c r="I366" s="218"/>
      <c r="J366" s="218"/>
      <c r="K366" s="218"/>
      <c r="L366" s="218"/>
      <c r="M366" s="218"/>
      <c r="N366" s="218"/>
      <c r="O366" s="218"/>
      <c r="P366" s="218"/>
      <c r="Q366" s="219"/>
      <c r="R366" s="221"/>
      <c r="S366" s="218"/>
      <c r="T366" s="218"/>
      <c r="AA366" s="260"/>
    </row>
    <row r="367" spans="1:27" s="253" customFormat="1" ht="18" hidden="1" x14ac:dyDescent="0.25">
      <c r="A367" s="218"/>
      <c r="B367" s="218"/>
      <c r="C367" s="218"/>
      <c r="D367" s="219"/>
      <c r="E367" s="220"/>
      <c r="F367" s="218"/>
      <c r="G367" s="219" t="s">
        <v>689</v>
      </c>
      <c r="H367" s="218" t="s">
        <v>713</v>
      </c>
      <c r="I367" s="218"/>
      <c r="J367" s="218"/>
      <c r="K367" s="218"/>
      <c r="L367" s="218"/>
      <c r="M367" s="218"/>
      <c r="N367" s="218"/>
      <c r="O367" s="218"/>
      <c r="P367" s="218"/>
      <c r="Q367" s="219" t="s">
        <v>689</v>
      </c>
      <c r="R367" s="254">
        <f>MAX(ybar_weld_group_top,tflange_top+notchstiffener_top+Lweld_v_top-ybar_weld_group_top)</f>
        <v>5.25</v>
      </c>
      <c r="S367" s="218" t="s">
        <v>1</v>
      </c>
      <c r="T367" s="218"/>
      <c r="AA367" s="260"/>
    </row>
    <row r="368" spans="1:27" s="253" customFormat="1" hidden="1" x14ac:dyDescent="0.25">
      <c r="A368" s="218"/>
      <c r="B368" s="218"/>
      <c r="C368" s="218"/>
      <c r="D368" s="219"/>
      <c r="E368" s="220"/>
      <c r="F368" s="218"/>
      <c r="G368" s="219"/>
      <c r="H368" s="218"/>
      <c r="I368" s="218"/>
      <c r="J368" s="218"/>
      <c r="K368" s="218"/>
      <c r="L368" s="218"/>
      <c r="M368" s="218"/>
      <c r="N368" s="218"/>
      <c r="O368" s="218"/>
      <c r="P368" s="218"/>
      <c r="Q368" s="219"/>
      <c r="R368" s="221"/>
      <c r="S368" s="218"/>
      <c r="T368" s="218"/>
      <c r="AA368" s="260"/>
    </row>
    <row r="369" spans="1:27" s="253" customFormat="1" ht="18" hidden="1" x14ac:dyDescent="0.25">
      <c r="A369" s="218"/>
      <c r="B369" s="218"/>
      <c r="C369" s="218"/>
      <c r="D369" s="219"/>
      <c r="E369" s="220" t="s">
        <v>426</v>
      </c>
      <c r="F369" s="218"/>
      <c r="G369" s="219" t="s">
        <v>690</v>
      </c>
      <c r="H369" s="218" t="s">
        <v>714</v>
      </c>
      <c r="I369" s="218"/>
      <c r="J369" s="218"/>
      <c r="K369" s="218"/>
      <c r="L369" s="218"/>
      <c r="M369" s="218"/>
      <c r="N369" s="218"/>
      <c r="O369" s="218"/>
      <c r="P369" s="218"/>
      <c r="Q369" s="219" t="s">
        <v>690</v>
      </c>
      <c r="R369" s="254" t="e">
        <f>(Pmod_sp*armsp_top*cmax_top)/Iweld_group_top</f>
        <v>#DIV/0!</v>
      </c>
      <c r="S369" s="218" t="s">
        <v>425</v>
      </c>
      <c r="T369" s="218"/>
      <c r="AA369" s="260"/>
    </row>
    <row r="370" spans="1:27" s="253" customFormat="1" hidden="1" x14ac:dyDescent="0.25">
      <c r="A370" s="218"/>
      <c r="B370" s="218"/>
      <c r="C370" s="218"/>
      <c r="D370" s="219"/>
      <c r="E370" s="220"/>
      <c r="F370" s="218"/>
      <c r="G370" s="219"/>
      <c r="H370" s="218"/>
      <c r="I370" s="218"/>
      <c r="J370" s="218"/>
      <c r="K370" s="218"/>
      <c r="L370" s="218"/>
      <c r="M370" s="218"/>
      <c r="N370" s="218"/>
      <c r="O370" s="218"/>
      <c r="P370" s="218"/>
      <c r="Q370" s="219"/>
      <c r="R370" s="221"/>
      <c r="S370" s="218"/>
      <c r="T370" s="218"/>
      <c r="AA370" s="260"/>
    </row>
    <row r="371" spans="1:27" s="253" customFormat="1" ht="18" hidden="1" x14ac:dyDescent="0.25">
      <c r="A371" s="218"/>
      <c r="B371" s="218"/>
      <c r="C371" s="218"/>
      <c r="D371" s="219"/>
      <c r="E371" s="220" t="s">
        <v>427</v>
      </c>
      <c r="F371" s="218"/>
      <c r="G371" s="219" t="s">
        <v>691</v>
      </c>
      <c r="H371" s="218" t="s">
        <v>715</v>
      </c>
      <c r="I371" s="218"/>
      <c r="J371" s="218"/>
      <c r="K371" s="218"/>
      <c r="L371" s="218"/>
      <c r="M371" s="218"/>
      <c r="N371" s="218"/>
      <c r="O371" s="218"/>
      <c r="P371" s="218"/>
      <c r="Q371" s="219" t="s">
        <v>691</v>
      </c>
      <c r="R371" s="254" t="e">
        <f>SQRT(rp_top^2+rm_top^2)</f>
        <v>#DIV/0!</v>
      </c>
      <c r="S371" s="218" t="s">
        <v>425</v>
      </c>
      <c r="T371" s="218"/>
      <c r="AA371" s="260"/>
    </row>
    <row r="372" spans="1:27" s="253" customFormat="1" hidden="1" x14ac:dyDescent="0.25">
      <c r="A372" s="218"/>
      <c r="B372" s="218"/>
      <c r="C372" s="218"/>
      <c r="D372" s="219"/>
      <c r="E372" s="220"/>
      <c r="F372" s="218"/>
      <c r="G372" s="219"/>
      <c r="H372" s="218"/>
      <c r="I372" s="218"/>
      <c r="J372" s="218"/>
      <c r="K372" s="218"/>
      <c r="L372" s="218"/>
      <c r="M372" s="218"/>
      <c r="N372" s="218"/>
      <c r="O372" s="218"/>
      <c r="P372" s="218"/>
      <c r="Q372" s="219"/>
      <c r="R372" s="221"/>
      <c r="S372" s="218"/>
      <c r="T372" s="218"/>
      <c r="AA372" s="260"/>
    </row>
    <row r="373" spans="1:27" s="253" customFormat="1" ht="18" hidden="1" x14ac:dyDescent="0.25">
      <c r="A373" s="218"/>
      <c r="B373" s="218"/>
      <c r="C373" s="218"/>
      <c r="D373" s="219"/>
      <c r="E373" s="220" t="s">
        <v>428</v>
      </c>
      <c r="F373" s="218"/>
      <c r="G373" s="219" t="s">
        <v>692</v>
      </c>
      <c r="H373" s="218" t="s">
        <v>717</v>
      </c>
      <c r="I373" s="218"/>
      <c r="J373" s="218"/>
      <c r="K373" s="218"/>
      <c r="L373" s="218"/>
      <c r="M373" s="218"/>
      <c r="N373" s="218"/>
      <c r="O373" s="218"/>
      <c r="P373" s="218"/>
      <c r="Q373" s="219" t="s">
        <v>692</v>
      </c>
      <c r="R373" s="254">
        <f>0.6*FEXX_top*SQRT(2)/2*(Dfillet_top/16)</f>
        <v>14.849242404917499</v>
      </c>
      <c r="S373" s="218" t="s">
        <v>425</v>
      </c>
      <c r="T373" s="218"/>
      <c r="AA373" s="260"/>
    </row>
    <row r="374" spans="1:27" s="253" customFormat="1" hidden="1" x14ac:dyDescent="0.25">
      <c r="A374" s="218"/>
      <c r="B374" s="218"/>
      <c r="C374" s="218"/>
      <c r="D374" s="219"/>
      <c r="E374" s="220"/>
      <c r="F374" s="218"/>
      <c r="G374" s="219"/>
      <c r="H374" s="218"/>
      <c r="I374" s="218"/>
      <c r="J374" s="218"/>
      <c r="K374" s="218"/>
      <c r="L374" s="218"/>
      <c r="M374" s="218"/>
      <c r="N374" s="218"/>
      <c r="O374" s="218"/>
      <c r="P374" s="218"/>
      <c r="Q374" s="219"/>
      <c r="R374" s="221"/>
      <c r="S374" s="218"/>
      <c r="T374" s="218"/>
      <c r="AA374" s="260"/>
    </row>
    <row r="375" spans="1:27" s="253" customFormat="1" ht="18" hidden="1" x14ac:dyDescent="0.25">
      <c r="A375" s="218"/>
      <c r="B375" s="218"/>
      <c r="C375" s="218"/>
      <c r="D375" s="219"/>
      <c r="E375" s="220" t="s">
        <v>431</v>
      </c>
      <c r="F375" s="218"/>
      <c r="G375" s="255" t="s">
        <v>693</v>
      </c>
      <c r="H375" s="218" t="s">
        <v>718</v>
      </c>
      <c r="I375" s="218"/>
      <c r="J375" s="218"/>
      <c r="K375" s="218"/>
      <c r="L375" s="218"/>
      <c r="M375" s="218"/>
      <c r="N375" s="218"/>
      <c r="O375" s="218"/>
      <c r="P375" s="218"/>
      <c r="Q375" s="255" t="s">
        <v>693</v>
      </c>
      <c r="R375" s="254">
        <f>Φw*Rnweld_top</f>
        <v>11.136931803688125</v>
      </c>
      <c r="S375" s="218" t="s">
        <v>425</v>
      </c>
      <c r="T375" s="218"/>
      <c r="AA375" s="260"/>
    </row>
    <row r="376" spans="1:27" s="253" customFormat="1" hidden="1" x14ac:dyDescent="0.25">
      <c r="A376" s="218"/>
      <c r="B376" s="218"/>
      <c r="C376" s="218"/>
      <c r="D376" s="219"/>
      <c r="E376" s="220"/>
      <c r="F376" s="218"/>
      <c r="G376" s="219"/>
      <c r="H376" s="218"/>
      <c r="I376" s="218"/>
      <c r="J376" s="218"/>
      <c r="K376" s="218"/>
      <c r="L376" s="218"/>
      <c r="M376" s="218"/>
      <c r="N376" s="218"/>
      <c r="O376" s="218"/>
      <c r="P376" s="218"/>
      <c r="Q376" s="219"/>
      <c r="R376" s="221"/>
      <c r="S376" s="218"/>
      <c r="T376" s="218"/>
      <c r="AA376" s="260"/>
    </row>
    <row r="377" spans="1:27" s="253" customFormat="1" ht="18" hidden="1" x14ac:dyDescent="0.25">
      <c r="A377" s="218"/>
      <c r="B377" s="218"/>
      <c r="C377" s="218"/>
      <c r="D377" s="219"/>
      <c r="E377" s="266" t="s">
        <v>389</v>
      </c>
      <c r="F377" s="218"/>
      <c r="G377" s="219"/>
      <c r="H377" s="267" t="s">
        <v>719</v>
      </c>
      <c r="I377" s="271" t="e">
        <f>ru_top</f>
        <v>#DIV/0!</v>
      </c>
      <c r="J377" s="269" t="s">
        <v>425</v>
      </c>
      <c r="K377" s="270" t="s">
        <v>387</v>
      </c>
      <c r="L377" s="269"/>
      <c r="M377" s="278" t="s">
        <v>720</v>
      </c>
      <c r="N377" s="271">
        <f>ΦRnweld_top</f>
        <v>11.136931803688125</v>
      </c>
      <c r="O377" s="269" t="s">
        <v>425</v>
      </c>
      <c r="P377" s="269"/>
      <c r="Q377" s="267" t="s">
        <v>388</v>
      </c>
      <c r="R377" s="272" t="e">
        <f>I377/N377</f>
        <v>#DIV/0!</v>
      </c>
      <c r="S377" s="218"/>
      <c r="T377" s="218"/>
      <c r="AA377" s="260"/>
    </row>
    <row r="378" spans="1:27" s="253" customFormat="1" hidden="1" x14ac:dyDescent="0.25">
      <c r="D378" s="279"/>
      <c r="E378" s="280"/>
      <c r="G378" s="279"/>
      <c r="H378" s="281"/>
      <c r="I378" s="268"/>
      <c r="J378" s="217"/>
      <c r="K378" s="276"/>
      <c r="L378" s="217"/>
      <c r="M378" s="282"/>
      <c r="N378" s="268"/>
      <c r="O378" s="217"/>
      <c r="P378" s="217"/>
      <c r="Q378" s="281"/>
      <c r="R378" s="283"/>
      <c r="AA378" s="260"/>
    </row>
    <row r="379" spans="1:27" s="253" customFormat="1" hidden="1" x14ac:dyDescent="0.25">
      <c r="B379" s="587" t="s">
        <v>432</v>
      </c>
      <c r="C379" s="587"/>
      <c r="D379" s="587"/>
      <c r="E379" s="587"/>
      <c r="F379" s="587"/>
      <c r="G379" s="587"/>
      <c r="H379" s="587"/>
      <c r="I379" s="587"/>
      <c r="J379" s="587"/>
      <c r="K379" s="587"/>
      <c r="L379" s="587"/>
      <c r="M379" s="587"/>
      <c r="N379" s="587"/>
      <c r="O379" s="587"/>
      <c r="P379" s="587"/>
      <c r="Q379" s="587"/>
      <c r="R379" s="587"/>
      <c r="S379" s="587"/>
      <c r="T379" s="587"/>
      <c r="AA379" s="260"/>
    </row>
    <row r="380" spans="1:27" s="253" customFormat="1" hidden="1" x14ac:dyDescent="0.25">
      <c r="A380" s="284"/>
      <c r="B380" s="284"/>
      <c r="C380" s="284"/>
      <c r="D380" s="284"/>
      <c r="E380" s="284"/>
      <c r="F380" s="284"/>
      <c r="G380" s="284"/>
      <c r="H380" s="284"/>
      <c r="I380" s="284"/>
      <c r="J380" s="284"/>
      <c r="K380" s="284"/>
      <c r="L380" s="284"/>
      <c r="M380" s="284"/>
      <c r="N380" s="284"/>
      <c r="O380" s="284"/>
      <c r="P380" s="284"/>
      <c r="Q380" s="284"/>
      <c r="R380" s="284"/>
      <c r="S380" s="284"/>
      <c r="T380" s="284"/>
      <c r="AA380" s="260"/>
    </row>
    <row r="381" spans="1:27" s="253" customFormat="1" hidden="1" x14ac:dyDescent="0.25">
      <c r="B381" s="608" t="s">
        <v>332</v>
      </c>
      <c r="C381" s="608"/>
      <c r="D381" s="608"/>
      <c r="E381" s="608"/>
      <c r="F381" s="608"/>
      <c r="G381" s="608"/>
      <c r="H381" s="608"/>
      <c r="I381" s="608"/>
      <c r="J381" s="608"/>
      <c r="K381" s="608"/>
      <c r="L381" s="608"/>
      <c r="M381" s="608"/>
      <c r="N381" s="608"/>
      <c r="O381" s="608"/>
      <c r="P381" s="608"/>
      <c r="Q381" s="608"/>
      <c r="R381" s="608"/>
      <c r="S381" s="608"/>
      <c r="T381" s="608"/>
      <c r="AA381" s="260"/>
    </row>
    <row r="382" spans="1:27" s="253" customFormat="1" hidden="1" x14ac:dyDescent="0.25">
      <c r="A382" s="284"/>
      <c r="B382" s="284"/>
      <c r="C382" s="284"/>
      <c r="D382" s="284"/>
      <c r="E382" s="284"/>
      <c r="F382" s="284"/>
      <c r="G382" s="284"/>
      <c r="H382" s="284"/>
      <c r="I382" s="284"/>
      <c r="J382" s="284"/>
      <c r="K382" s="284"/>
      <c r="L382" s="284"/>
      <c r="M382" s="284"/>
      <c r="N382" s="284"/>
      <c r="O382" s="284"/>
      <c r="P382" s="284"/>
      <c r="Q382" s="284"/>
      <c r="R382" s="284"/>
      <c r="S382" s="284"/>
      <c r="T382" s="284"/>
      <c r="AA382" s="260"/>
    </row>
    <row r="383" spans="1:27" s="253" customFormat="1" ht="18" hidden="1" x14ac:dyDescent="0.25">
      <c r="A383" s="218"/>
      <c r="B383" s="602" t="s">
        <v>434</v>
      </c>
      <c r="C383" s="602"/>
      <c r="D383" s="602"/>
      <c r="E383" s="602"/>
      <c r="F383" s="218"/>
      <c r="G383" s="219" t="s">
        <v>607</v>
      </c>
      <c r="H383" s="218" t="s">
        <v>514</v>
      </c>
      <c r="I383" s="218"/>
      <c r="J383" s="218"/>
      <c r="K383" s="218"/>
      <c r="L383" s="218"/>
      <c r="M383" s="218"/>
      <c r="N383" s="218"/>
      <c r="O383" s="218"/>
      <c r="P383" s="218"/>
      <c r="Q383" s="219" t="s">
        <v>607</v>
      </c>
      <c r="R383" s="221">
        <f>Lstiffener_bot-notchstiffener_bot</f>
        <v>3.5</v>
      </c>
      <c r="S383" s="218" t="s">
        <v>1</v>
      </c>
      <c r="T383" s="218"/>
      <c r="AA383" s="260"/>
    </row>
    <row r="384" spans="1:27" s="253" customFormat="1" hidden="1" x14ac:dyDescent="0.25">
      <c r="A384" s="218"/>
      <c r="B384" s="602"/>
      <c r="C384" s="602"/>
      <c r="D384" s="602"/>
      <c r="E384" s="602"/>
      <c r="F384" s="218"/>
      <c r="G384" s="219"/>
      <c r="H384" s="218"/>
      <c r="I384" s="218"/>
      <c r="J384" s="218"/>
      <c r="K384" s="218"/>
      <c r="L384" s="218"/>
      <c r="M384" s="218"/>
      <c r="N384" s="218"/>
      <c r="O384" s="218"/>
      <c r="P384" s="218"/>
      <c r="Q384" s="219"/>
      <c r="R384" s="221"/>
      <c r="S384" s="218"/>
      <c r="T384" s="218"/>
      <c r="AA384" s="260"/>
    </row>
    <row r="385" spans="1:27" s="253" customFormat="1" ht="18" hidden="1" x14ac:dyDescent="0.25">
      <c r="A385" s="218"/>
      <c r="B385" s="218"/>
      <c r="C385" s="218"/>
      <c r="D385" s="219"/>
      <c r="E385" s="220" t="s">
        <v>435</v>
      </c>
      <c r="F385" s="218"/>
      <c r="G385" s="219" t="s">
        <v>608</v>
      </c>
      <c r="H385" s="218" t="s">
        <v>729</v>
      </c>
      <c r="I385" s="218"/>
      <c r="J385" s="218"/>
      <c r="K385" s="218"/>
      <c r="L385" s="218"/>
      <c r="M385" s="218"/>
      <c r="N385" s="218"/>
      <c r="O385" s="218"/>
      <c r="P385" s="218"/>
      <c r="Q385" s="219" t="s">
        <v>608</v>
      </c>
      <c r="R385" s="254" t="e">
        <f>rp_bot*2*Lweld_v_bot</f>
        <v>#DIV/0!</v>
      </c>
      <c r="S385" s="218" t="s">
        <v>385</v>
      </c>
      <c r="T385" s="218"/>
      <c r="AA385" s="260"/>
    </row>
    <row r="386" spans="1:27" s="253" customFormat="1" hidden="1" x14ac:dyDescent="0.25">
      <c r="A386" s="218"/>
      <c r="B386" s="218"/>
      <c r="C386" s="218"/>
      <c r="D386" s="219"/>
      <c r="E386" s="220"/>
      <c r="F386" s="218"/>
      <c r="G386" s="219"/>
      <c r="H386" s="218"/>
      <c r="I386" s="218"/>
      <c r="J386" s="218"/>
      <c r="K386" s="218"/>
      <c r="L386" s="218"/>
      <c r="M386" s="218"/>
      <c r="N386" s="218"/>
      <c r="O386" s="218"/>
      <c r="P386" s="218"/>
      <c r="Q386" s="219"/>
      <c r="R386" s="221"/>
      <c r="S386" s="218"/>
      <c r="T386" s="218"/>
      <c r="AA386" s="260"/>
    </row>
    <row r="387" spans="1:27" s="253" customFormat="1" ht="18" hidden="1" x14ac:dyDescent="0.25">
      <c r="A387" s="218"/>
      <c r="B387" s="218"/>
      <c r="C387" s="218"/>
      <c r="D387" s="219"/>
      <c r="E387" s="220" t="s">
        <v>436</v>
      </c>
      <c r="F387" s="218"/>
      <c r="G387" s="219" t="s">
        <v>609</v>
      </c>
      <c r="H387" s="218" t="s">
        <v>615</v>
      </c>
      <c r="I387" s="218"/>
      <c r="J387" s="218"/>
      <c r="K387" s="218"/>
      <c r="L387" s="218"/>
      <c r="M387" s="218"/>
      <c r="N387" s="218"/>
      <c r="O387" s="218"/>
      <c r="P387" s="218"/>
      <c r="Q387" s="219" t="s">
        <v>609</v>
      </c>
      <c r="R387" s="254">
        <f>SQRT(2)/2 * (Dfillet_bot/16)*Lweld_hstiffener_bot</f>
        <v>1.2374368670764582</v>
      </c>
      <c r="S387" s="218" t="s">
        <v>328</v>
      </c>
      <c r="T387" s="218"/>
      <c r="AA387" s="260"/>
    </row>
    <row r="388" spans="1:27" s="253" customFormat="1" hidden="1" x14ac:dyDescent="0.25">
      <c r="A388" s="218"/>
      <c r="B388" s="218"/>
      <c r="C388" s="218"/>
      <c r="D388" s="219"/>
      <c r="E388" s="220"/>
      <c r="F388" s="218"/>
      <c r="G388" s="219"/>
      <c r="H388" s="218"/>
      <c r="I388" s="218"/>
      <c r="J388" s="218"/>
      <c r="K388" s="218"/>
      <c r="L388" s="218"/>
      <c r="M388" s="218"/>
      <c r="N388" s="218"/>
      <c r="O388" s="218"/>
      <c r="P388" s="218"/>
      <c r="Q388" s="219"/>
      <c r="R388" s="221"/>
      <c r="S388" s="218"/>
      <c r="T388" s="218"/>
      <c r="AA388" s="260"/>
    </row>
    <row r="389" spans="1:27" s="253" customFormat="1" ht="18" hidden="1" x14ac:dyDescent="0.25">
      <c r="A389" s="218"/>
      <c r="B389" s="218"/>
      <c r="C389" s="218"/>
      <c r="D389" s="219"/>
      <c r="E389" s="220" t="s">
        <v>428</v>
      </c>
      <c r="F389" s="218"/>
      <c r="G389" s="219" t="s">
        <v>610</v>
      </c>
      <c r="H389" s="218" t="s">
        <v>637</v>
      </c>
      <c r="I389" s="218"/>
      <c r="J389" s="218"/>
      <c r="K389" s="218"/>
      <c r="L389" s="218"/>
      <c r="M389" s="218"/>
      <c r="N389" s="218"/>
      <c r="O389" s="218"/>
      <c r="P389" s="218"/>
      <c r="Q389" s="219" t="s">
        <v>610</v>
      </c>
      <c r="R389" s="254">
        <f>0.6*FEXX_bot*Aweld_h_bot</f>
        <v>51.972348417211244</v>
      </c>
      <c r="S389" s="218" t="s">
        <v>425</v>
      </c>
      <c r="T389" s="218"/>
      <c r="AA389" s="260"/>
    </row>
    <row r="390" spans="1:27" s="253" customFormat="1" hidden="1" x14ac:dyDescent="0.25">
      <c r="A390" s="218"/>
      <c r="B390" s="218"/>
      <c r="C390" s="218"/>
      <c r="D390" s="219"/>
      <c r="E390" s="220"/>
      <c r="F390" s="218"/>
      <c r="G390" s="219"/>
      <c r="H390" s="218"/>
      <c r="I390" s="218"/>
      <c r="J390" s="218"/>
      <c r="K390" s="218"/>
      <c r="L390" s="218"/>
      <c r="M390" s="218"/>
      <c r="N390" s="218"/>
      <c r="O390" s="218"/>
      <c r="P390" s="218"/>
      <c r="Q390" s="219"/>
      <c r="R390" s="221"/>
      <c r="S390" s="218"/>
      <c r="T390" s="218"/>
      <c r="AA390" s="260"/>
    </row>
    <row r="391" spans="1:27" s="253" customFormat="1" ht="18" hidden="1" x14ac:dyDescent="0.25">
      <c r="A391" s="218"/>
      <c r="B391" s="218"/>
      <c r="C391" s="218"/>
      <c r="D391" s="219"/>
      <c r="E391" s="220" t="s">
        <v>437</v>
      </c>
      <c r="F391" s="218"/>
      <c r="G391" s="219" t="s">
        <v>611</v>
      </c>
      <c r="H391" s="241">
        <v>2</v>
      </c>
      <c r="I391" s="218"/>
      <c r="J391" s="218"/>
      <c r="K391" s="218"/>
      <c r="L391" s="218"/>
      <c r="M391" s="218"/>
      <c r="N391" s="218"/>
      <c r="O391" s="218"/>
      <c r="P391" s="218"/>
      <c r="Q391" s="219" t="s">
        <v>611</v>
      </c>
      <c r="R391" s="221">
        <v>2</v>
      </c>
      <c r="S391" s="218"/>
      <c r="T391" s="218"/>
      <c r="AA391" s="260"/>
    </row>
    <row r="392" spans="1:27" s="253" customFormat="1" hidden="1" x14ac:dyDescent="0.25">
      <c r="A392" s="218"/>
      <c r="B392" s="218"/>
      <c r="C392" s="218"/>
      <c r="D392" s="219"/>
      <c r="E392" s="220"/>
      <c r="F392" s="218"/>
      <c r="G392" s="219"/>
      <c r="H392" s="218"/>
      <c r="I392" s="218"/>
      <c r="J392" s="218"/>
      <c r="K392" s="218"/>
      <c r="L392" s="218"/>
      <c r="M392" s="218"/>
      <c r="N392" s="218"/>
      <c r="O392" s="218"/>
      <c r="P392" s="218"/>
      <c r="Q392" s="219"/>
      <c r="R392" s="221"/>
      <c r="S392" s="218"/>
      <c r="T392" s="218"/>
      <c r="AA392" s="260"/>
    </row>
    <row r="393" spans="1:27" s="253" customFormat="1" ht="18" hidden="1" x14ac:dyDescent="0.25">
      <c r="A393" s="218"/>
      <c r="B393" s="218"/>
      <c r="C393" s="218"/>
      <c r="D393" s="219"/>
      <c r="E393" s="220" t="s">
        <v>431</v>
      </c>
      <c r="F393" s="218"/>
      <c r="G393" s="219" t="s">
        <v>612</v>
      </c>
      <c r="H393" s="218" t="s">
        <v>616</v>
      </c>
      <c r="I393" s="218"/>
      <c r="J393" s="218"/>
      <c r="K393" s="218"/>
      <c r="L393" s="218"/>
      <c r="M393" s="218"/>
      <c r="N393" s="218"/>
      <c r="O393" s="218"/>
      <c r="P393" s="218"/>
      <c r="Q393" s="219" t="s">
        <v>612</v>
      </c>
      <c r="R393" s="254">
        <f>nweld_h_bot*(Φw*Rnweld_h_bot)</f>
        <v>77.958522625816869</v>
      </c>
      <c r="S393" s="218" t="s">
        <v>425</v>
      </c>
      <c r="T393" s="218"/>
      <c r="AA393" s="260"/>
    </row>
    <row r="394" spans="1:27" s="253" customFormat="1" hidden="1" x14ac:dyDescent="0.25">
      <c r="A394" s="218"/>
      <c r="B394" s="218"/>
      <c r="C394" s="218"/>
      <c r="D394" s="219"/>
      <c r="E394" s="220"/>
      <c r="F394" s="218"/>
      <c r="G394" s="219"/>
      <c r="H394" s="218"/>
      <c r="I394" s="218"/>
      <c r="J394" s="218"/>
      <c r="K394" s="218"/>
      <c r="L394" s="218"/>
      <c r="M394" s="218"/>
      <c r="N394" s="218"/>
      <c r="O394" s="218"/>
      <c r="P394" s="218"/>
      <c r="Q394" s="219"/>
      <c r="R394" s="221"/>
      <c r="S394" s="218"/>
      <c r="T394" s="218"/>
      <c r="AA394" s="260"/>
    </row>
    <row r="395" spans="1:27" s="253" customFormat="1" ht="18" hidden="1" x14ac:dyDescent="0.25">
      <c r="A395" s="218"/>
      <c r="B395" s="218"/>
      <c r="C395" s="218"/>
      <c r="D395" s="219"/>
      <c r="E395" s="266" t="s">
        <v>389</v>
      </c>
      <c r="F395" s="218"/>
      <c r="G395" s="219"/>
      <c r="H395" s="267" t="s">
        <v>613</v>
      </c>
      <c r="I395" s="271" t="e">
        <f>rh_bot</f>
        <v>#DIV/0!</v>
      </c>
      <c r="J395" s="269" t="s">
        <v>425</v>
      </c>
      <c r="K395" s="270" t="s">
        <v>387</v>
      </c>
      <c r="L395" s="269"/>
      <c r="M395" s="267" t="s">
        <v>614</v>
      </c>
      <c r="N395" s="271">
        <f>ΦRnweld_h_bot</f>
        <v>77.958522625816869</v>
      </c>
      <c r="O395" s="269" t="s">
        <v>425</v>
      </c>
      <c r="P395" s="269"/>
      <c r="Q395" s="267" t="s">
        <v>388</v>
      </c>
      <c r="R395" s="272" t="e">
        <f>I395/N395</f>
        <v>#DIV/0!</v>
      </c>
      <c r="S395" s="218"/>
      <c r="T395" s="218"/>
      <c r="AA395" s="260"/>
    </row>
    <row r="396" spans="1:27" s="253" customFormat="1" hidden="1" x14ac:dyDescent="0.25">
      <c r="D396" s="279"/>
      <c r="E396" s="280"/>
      <c r="G396" s="279"/>
      <c r="H396" s="281"/>
      <c r="I396" s="268"/>
      <c r="J396" s="217"/>
      <c r="K396" s="276"/>
      <c r="L396" s="217"/>
      <c r="M396" s="282"/>
      <c r="N396" s="268"/>
      <c r="O396" s="217"/>
      <c r="P396" s="217"/>
      <c r="Q396" s="281"/>
      <c r="R396" s="283"/>
      <c r="AA396" s="260"/>
    </row>
    <row r="397" spans="1:27" s="253" customFormat="1" hidden="1" x14ac:dyDescent="0.25">
      <c r="B397" s="608" t="s">
        <v>358</v>
      </c>
      <c r="C397" s="608"/>
      <c r="D397" s="608"/>
      <c r="E397" s="608"/>
      <c r="F397" s="608"/>
      <c r="G397" s="608"/>
      <c r="H397" s="608"/>
      <c r="I397" s="608"/>
      <c r="J397" s="608"/>
      <c r="K397" s="608"/>
      <c r="L397" s="608"/>
      <c r="M397" s="608"/>
      <c r="N397" s="608"/>
      <c r="O397" s="608"/>
      <c r="P397" s="608"/>
      <c r="Q397" s="608"/>
      <c r="R397" s="608"/>
      <c r="S397" s="608"/>
      <c r="T397" s="608"/>
      <c r="AA397" s="260"/>
    </row>
    <row r="398" spans="1:27" s="253" customFormat="1" hidden="1" x14ac:dyDescent="0.25">
      <c r="A398" s="284"/>
      <c r="B398" s="284"/>
      <c r="C398" s="284"/>
      <c r="D398" s="284"/>
      <c r="E398" s="284"/>
      <c r="F398" s="284"/>
      <c r="G398" s="284"/>
      <c r="H398" s="284"/>
      <c r="I398" s="284"/>
      <c r="J398" s="284"/>
      <c r="K398" s="284"/>
      <c r="L398" s="284"/>
      <c r="M398" s="284"/>
      <c r="N398" s="284"/>
      <c r="O398" s="284"/>
      <c r="P398" s="284"/>
      <c r="Q398" s="284"/>
      <c r="R398" s="284"/>
      <c r="S398" s="284"/>
      <c r="T398" s="284"/>
      <c r="AA398" s="260"/>
    </row>
    <row r="399" spans="1:27" s="253" customFormat="1" ht="18" hidden="1" x14ac:dyDescent="0.25">
      <c r="A399" s="218"/>
      <c r="B399" s="602" t="s">
        <v>434</v>
      </c>
      <c r="C399" s="602"/>
      <c r="D399" s="602"/>
      <c r="E399" s="602"/>
      <c r="F399" s="218"/>
      <c r="G399" s="219" t="s">
        <v>721</v>
      </c>
      <c r="H399" s="218" t="s">
        <v>727</v>
      </c>
      <c r="I399" s="218"/>
      <c r="J399" s="218"/>
      <c r="K399" s="218"/>
      <c r="L399" s="218"/>
      <c r="M399" s="218"/>
      <c r="N399" s="218"/>
      <c r="O399" s="218"/>
      <c r="P399" s="218"/>
      <c r="Q399" s="219" t="s">
        <v>721</v>
      </c>
      <c r="R399" s="221">
        <f>Lstiffener_top-notchstiffener_top</f>
        <v>3.5</v>
      </c>
      <c r="S399" s="218" t="s">
        <v>1</v>
      </c>
      <c r="T399" s="218"/>
      <c r="AA399" s="260"/>
    </row>
    <row r="400" spans="1:27" s="253" customFormat="1" hidden="1" x14ac:dyDescent="0.25">
      <c r="A400" s="218"/>
      <c r="B400" s="602"/>
      <c r="C400" s="602"/>
      <c r="D400" s="602"/>
      <c r="E400" s="602"/>
      <c r="F400" s="218"/>
      <c r="G400" s="219"/>
      <c r="H400" s="218"/>
      <c r="I400" s="218"/>
      <c r="J400" s="218"/>
      <c r="K400" s="218"/>
      <c r="L400" s="218"/>
      <c r="M400" s="218"/>
      <c r="N400" s="218"/>
      <c r="O400" s="218"/>
      <c r="P400" s="218"/>
      <c r="Q400" s="219"/>
      <c r="R400" s="221"/>
      <c r="S400" s="218"/>
      <c r="T400" s="218"/>
      <c r="AA400" s="260"/>
    </row>
    <row r="401" spans="1:27" s="253" customFormat="1" ht="18" hidden="1" x14ac:dyDescent="0.25">
      <c r="A401" s="218"/>
      <c r="B401" s="218"/>
      <c r="C401" s="218"/>
      <c r="D401" s="219"/>
      <c r="E401" s="220" t="s">
        <v>435</v>
      </c>
      <c r="F401" s="218"/>
      <c r="G401" s="219" t="s">
        <v>722</v>
      </c>
      <c r="H401" s="218" t="s">
        <v>728</v>
      </c>
      <c r="I401" s="218"/>
      <c r="J401" s="218"/>
      <c r="K401" s="218"/>
      <c r="L401" s="218"/>
      <c r="M401" s="218"/>
      <c r="N401" s="218"/>
      <c r="O401" s="218"/>
      <c r="P401" s="218"/>
      <c r="Q401" s="219" t="s">
        <v>722</v>
      </c>
      <c r="R401" s="254" t="e">
        <f>rp_top*2*Lweld_v_top</f>
        <v>#DIV/0!</v>
      </c>
      <c r="S401" s="218" t="s">
        <v>385</v>
      </c>
      <c r="T401" s="218"/>
      <c r="AA401" s="260"/>
    </row>
    <row r="402" spans="1:27" s="253" customFormat="1" hidden="1" x14ac:dyDescent="0.25">
      <c r="A402" s="218"/>
      <c r="B402" s="218"/>
      <c r="C402" s="218"/>
      <c r="D402" s="219"/>
      <c r="E402" s="220"/>
      <c r="F402" s="218"/>
      <c r="G402" s="219"/>
      <c r="H402" s="218"/>
      <c r="I402" s="218"/>
      <c r="J402" s="218"/>
      <c r="K402" s="218"/>
      <c r="L402" s="218"/>
      <c r="M402" s="218"/>
      <c r="N402" s="218"/>
      <c r="O402" s="218"/>
      <c r="P402" s="218"/>
      <c r="Q402" s="219"/>
      <c r="R402" s="221"/>
      <c r="S402" s="218"/>
      <c r="T402" s="218"/>
      <c r="AA402" s="260"/>
    </row>
    <row r="403" spans="1:27" s="253" customFormat="1" ht="18" hidden="1" x14ac:dyDescent="0.25">
      <c r="A403" s="218"/>
      <c r="B403" s="218"/>
      <c r="C403" s="218"/>
      <c r="D403" s="219"/>
      <c r="E403" s="220" t="s">
        <v>436</v>
      </c>
      <c r="F403" s="218"/>
      <c r="G403" s="219" t="s">
        <v>723</v>
      </c>
      <c r="H403" s="218" t="s">
        <v>730</v>
      </c>
      <c r="I403" s="218"/>
      <c r="J403" s="218"/>
      <c r="K403" s="218"/>
      <c r="L403" s="218"/>
      <c r="M403" s="218"/>
      <c r="N403" s="218"/>
      <c r="O403" s="218"/>
      <c r="P403" s="218"/>
      <c r="Q403" s="219" t="s">
        <v>723</v>
      </c>
      <c r="R403" s="254">
        <f>SQRT(2)/2 * (Dfillet_top/16)*Lweld_hstiffener_top</f>
        <v>1.2374368670764582</v>
      </c>
      <c r="S403" s="218" t="s">
        <v>328</v>
      </c>
      <c r="T403" s="218"/>
      <c r="AA403" s="260"/>
    </row>
    <row r="404" spans="1:27" s="253" customFormat="1" hidden="1" x14ac:dyDescent="0.25">
      <c r="A404" s="218"/>
      <c r="B404" s="218"/>
      <c r="C404" s="218"/>
      <c r="D404" s="219"/>
      <c r="E404" s="220"/>
      <c r="F404" s="218"/>
      <c r="G404" s="219"/>
      <c r="H404" s="218"/>
      <c r="I404" s="218"/>
      <c r="J404" s="218"/>
      <c r="K404" s="218"/>
      <c r="L404" s="218"/>
      <c r="M404" s="218"/>
      <c r="N404" s="218"/>
      <c r="O404" s="218"/>
      <c r="P404" s="218"/>
      <c r="Q404" s="219"/>
      <c r="R404" s="221"/>
      <c r="S404" s="218"/>
      <c r="T404" s="218"/>
      <c r="AA404" s="260"/>
    </row>
    <row r="405" spans="1:27" s="253" customFormat="1" ht="18" hidden="1" x14ac:dyDescent="0.25">
      <c r="A405" s="218"/>
      <c r="B405" s="218"/>
      <c r="C405" s="218"/>
      <c r="D405" s="219"/>
      <c r="E405" s="220" t="s">
        <v>428</v>
      </c>
      <c r="F405" s="218"/>
      <c r="G405" s="219" t="s">
        <v>724</v>
      </c>
      <c r="H405" s="218" t="s">
        <v>731</v>
      </c>
      <c r="I405" s="218"/>
      <c r="J405" s="218"/>
      <c r="K405" s="218"/>
      <c r="L405" s="218"/>
      <c r="M405" s="218"/>
      <c r="N405" s="218"/>
      <c r="O405" s="218"/>
      <c r="P405" s="218"/>
      <c r="Q405" s="219" t="s">
        <v>724</v>
      </c>
      <c r="R405" s="254">
        <f>0.6*FEXX_top*Aweld_h_top</f>
        <v>51.972348417211244</v>
      </c>
      <c r="S405" s="218" t="s">
        <v>425</v>
      </c>
      <c r="T405" s="218"/>
      <c r="AA405" s="260"/>
    </row>
    <row r="406" spans="1:27" s="253" customFormat="1" hidden="1" x14ac:dyDescent="0.25">
      <c r="A406" s="218"/>
      <c r="B406" s="218"/>
      <c r="C406" s="218"/>
      <c r="D406" s="219"/>
      <c r="E406" s="220"/>
      <c r="F406" s="218"/>
      <c r="G406" s="219"/>
      <c r="H406" s="218"/>
      <c r="I406" s="218"/>
      <c r="J406" s="218"/>
      <c r="K406" s="218"/>
      <c r="L406" s="218"/>
      <c r="M406" s="218"/>
      <c r="N406" s="218"/>
      <c r="O406" s="218"/>
      <c r="P406" s="218"/>
      <c r="Q406" s="219"/>
      <c r="R406" s="221"/>
      <c r="S406" s="218"/>
      <c r="T406" s="218"/>
      <c r="AA406" s="260"/>
    </row>
    <row r="407" spans="1:27" s="253" customFormat="1" ht="18" hidden="1" x14ac:dyDescent="0.25">
      <c r="A407" s="218"/>
      <c r="B407" s="218"/>
      <c r="C407" s="218"/>
      <c r="D407" s="219"/>
      <c r="E407" s="220" t="s">
        <v>437</v>
      </c>
      <c r="F407" s="218"/>
      <c r="G407" s="219" t="s">
        <v>725</v>
      </c>
      <c r="H407" s="241">
        <v>2</v>
      </c>
      <c r="I407" s="218"/>
      <c r="J407" s="218"/>
      <c r="K407" s="218"/>
      <c r="L407" s="218"/>
      <c r="M407" s="218"/>
      <c r="N407" s="218"/>
      <c r="O407" s="218"/>
      <c r="P407" s="218"/>
      <c r="Q407" s="219" t="s">
        <v>725</v>
      </c>
      <c r="R407" s="221">
        <v>2</v>
      </c>
      <c r="S407" s="218"/>
      <c r="T407" s="218"/>
      <c r="AA407" s="260"/>
    </row>
    <row r="408" spans="1:27" s="253" customFormat="1" hidden="1" x14ac:dyDescent="0.25">
      <c r="A408" s="218"/>
      <c r="B408" s="218"/>
      <c r="C408" s="218"/>
      <c r="D408" s="219"/>
      <c r="E408" s="220"/>
      <c r="F408" s="218"/>
      <c r="G408" s="219"/>
      <c r="H408" s="218"/>
      <c r="I408" s="218"/>
      <c r="J408" s="218"/>
      <c r="K408" s="218"/>
      <c r="L408" s="218"/>
      <c r="M408" s="218"/>
      <c r="N408" s="218"/>
      <c r="O408" s="218"/>
      <c r="P408" s="218"/>
      <c r="Q408" s="219"/>
      <c r="R408" s="221"/>
      <c r="S408" s="218"/>
      <c r="T408" s="218"/>
      <c r="AA408" s="260"/>
    </row>
    <row r="409" spans="1:27" s="253" customFormat="1" ht="18" hidden="1" x14ac:dyDescent="0.25">
      <c r="A409" s="218"/>
      <c r="B409" s="218"/>
      <c r="C409" s="218"/>
      <c r="D409" s="219"/>
      <c r="E409" s="220" t="s">
        <v>431</v>
      </c>
      <c r="F409" s="218"/>
      <c r="G409" s="219" t="s">
        <v>726</v>
      </c>
      <c r="H409" s="218" t="s">
        <v>732</v>
      </c>
      <c r="I409" s="218"/>
      <c r="J409" s="218"/>
      <c r="K409" s="218"/>
      <c r="L409" s="218"/>
      <c r="M409" s="218"/>
      <c r="N409" s="218"/>
      <c r="O409" s="218"/>
      <c r="P409" s="218"/>
      <c r="Q409" s="219" t="s">
        <v>726</v>
      </c>
      <c r="R409" s="254">
        <f>nweld_h_top*(Φw*Rnweld_h_top)</f>
        <v>77.958522625816869</v>
      </c>
      <c r="S409" s="218" t="s">
        <v>425</v>
      </c>
      <c r="T409" s="218"/>
      <c r="AA409" s="260"/>
    </row>
    <row r="410" spans="1:27" s="253" customFormat="1" hidden="1" x14ac:dyDescent="0.25">
      <c r="A410" s="218"/>
      <c r="B410" s="218"/>
      <c r="C410" s="218"/>
      <c r="D410" s="219"/>
      <c r="E410" s="220"/>
      <c r="F410" s="218"/>
      <c r="G410" s="219"/>
      <c r="H410" s="218"/>
      <c r="I410" s="218"/>
      <c r="J410" s="218"/>
      <c r="K410" s="218"/>
      <c r="L410" s="218"/>
      <c r="M410" s="218"/>
      <c r="N410" s="218"/>
      <c r="O410" s="218"/>
      <c r="P410" s="218"/>
      <c r="Q410" s="219"/>
      <c r="R410" s="221"/>
      <c r="S410" s="218"/>
      <c r="T410" s="218"/>
      <c r="AA410" s="260"/>
    </row>
    <row r="411" spans="1:27" s="253" customFormat="1" ht="18" hidden="1" x14ac:dyDescent="0.25">
      <c r="A411" s="218"/>
      <c r="B411" s="218"/>
      <c r="C411" s="218"/>
      <c r="D411" s="219"/>
      <c r="E411" s="266" t="s">
        <v>389</v>
      </c>
      <c r="F411" s="218"/>
      <c r="G411" s="219"/>
      <c r="H411" s="267" t="s">
        <v>733</v>
      </c>
      <c r="I411" s="271" t="e">
        <f>rh_top</f>
        <v>#DIV/0!</v>
      </c>
      <c r="J411" s="269" t="s">
        <v>425</v>
      </c>
      <c r="K411" s="270" t="s">
        <v>387</v>
      </c>
      <c r="L411" s="269"/>
      <c r="M411" s="267" t="s">
        <v>734</v>
      </c>
      <c r="N411" s="271">
        <f>ΦRnweld_h_top</f>
        <v>77.958522625816869</v>
      </c>
      <c r="O411" s="269" t="s">
        <v>425</v>
      </c>
      <c r="P411" s="269"/>
      <c r="Q411" s="267" t="s">
        <v>388</v>
      </c>
      <c r="R411" s="272" t="e">
        <f>I411/N411</f>
        <v>#DIV/0!</v>
      </c>
      <c r="S411" s="218"/>
      <c r="T411" s="218"/>
      <c r="AA411" s="260"/>
    </row>
    <row r="412" spans="1:27" s="253" customFormat="1" hidden="1" x14ac:dyDescent="0.25">
      <c r="D412" s="279"/>
      <c r="E412" s="280"/>
      <c r="G412" s="279"/>
      <c r="H412" s="281"/>
      <c r="I412" s="268"/>
      <c r="J412" s="217"/>
      <c r="K412" s="276"/>
      <c r="L412" s="217"/>
      <c r="M412" s="282"/>
      <c r="N412" s="268"/>
      <c r="O412" s="217"/>
      <c r="P412" s="217"/>
      <c r="Q412" s="281"/>
      <c r="R412" s="283"/>
      <c r="AA412" s="260"/>
    </row>
    <row r="413" spans="1:27" s="253" customFormat="1" hidden="1" x14ac:dyDescent="0.25">
      <c r="D413" s="279"/>
      <c r="E413" s="280"/>
      <c r="G413" s="279"/>
      <c r="H413" s="281"/>
      <c r="I413" s="268"/>
      <c r="J413" s="217"/>
      <c r="K413" s="276"/>
      <c r="L413" s="217"/>
      <c r="M413" s="282"/>
      <c r="N413" s="268"/>
      <c r="O413" s="217"/>
      <c r="P413" s="217"/>
      <c r="Q413" s="281"/>
      <c r="R413" s="283"/>
      <c r="AA413" s="260"/>
    </row>
    <row r="414" spans="1:27" s="253" customFormat="1" hidden="1" x14ac:dyDescent="0.25">
      <c r="B414" s="587" t="s">
        <v>812</v>
      </c>
      <c r="C414" s="587"/>
      <c r="D414" s="587"/>
      <c r="E414" s="587"/>
      <c r="F414" s="587"/>
      <c r="G414" s="587"/>
      <c r="H414" s="587"/>
      <c r="I414" s="587"/>
      <c r="J414" s="587"/>
      <c r="K414" s="587"/>
      <c r="L414" s="587"/>
      <c r="M414" s="587"/>
      <c r="N414" s="587"/>
      <c r="O414" s="587"/>
      <c r="P414" s="587"/>
      <c r="Q414" s="587"/>
      <c r="R414" s="587"/>
      <c r="S414" s="587"/>
      <c r="T414" s="587"/>
      <c r="AA414" s="260"/>
    </row>
    <row r="415" spans="1:27" s="253" customFormat="1" hidden="1" x14ac:dyDescent="0.25">
      <c r="D415" s="279"/>
      <c r="E415" s="280"/>
      <c r="G415" s="279"/>
      <c r="H415" s="281"/>
      <c r="I415" s="268"/>
      <c r="J415" s="217"/>
      <c r="K415" s="276"/>
      <c r="L415" s="217"/>
      <c r="M415" s="282"/>
      <c r="N415" s="268"/>
      <c r="O415" s="217"/>
      <c r="P415" s="217"/>
      <c r="Q415" s="281"/>
      <c r="R415" s="283"/>
      <c r="AA415" s="260"/>
    </row>
    <row r="416" spans="1:27" s="253" customFormat="1" ht="18.75" hidden="1" x14ac:dyDescent="0.25">
      <c r="B416" s="218"/>
      <c r="C416" s="218"/>
      <c r="D416" s="219"/>
      <c r="E416" s="220" t="s">
        <v>433</v>
      </c>
      <c r="F416" s="218"/>
      <c r="G416" s="255" t="s">
        <v>439</v>
      </c>
      <c r="H416" s="241">
        <v>0.75</v>
      </c>
      <c r="I416" s="218"/>
      <c r="J416" s="218"/>
      <c r="K416" s="218"/>
      <c r="L416" s="218"/>
      <c r="M416" s="218"/>
      <c r="N416" s="218"/>
      <c r="O416" s="218"/>
      <c r="P416" s="218"/>
      <c r="Q416" s="255" t="s">
        <v>439</v>
      </c>
      <c r="R416" s="221">
        <v>0.75</v>
      </c>
      <c r="AA416" s="260"/>
    </row>
    <row r="417" spans="1:27" s="253" customFormat="1" hidden="1" x14ac:dyDescent="0.25">
      <c r="D417" s="279"/>
      <c r="E417" s="280"/>
      <c r="G417" s="279"/>
      <c r="H417" s="281"/>
      <c r="I417" s="268"/>
      <c r="J417" s="217"/>
      <c r="K417" s="276"/>
      <c r="L417" s="217"/>
      <c r="M417" s="282"/>
      <c r="N417" s="268"/>
      <c r="O417" s="217"/>
      <c r="P417" s="217"/>
      <c r="Q417" s="281"/>
      <c r="R417" s="283"/>
      <c r="AA417" s="260"/>
    </row>
    <row r="418" spans="1:27" s="253" customFormat="1" hidden="1" x14ac:dyDescent="0.25">
      <c r="B418" s="608" t="s">
        <v>332</v>
      </c>
      <c r="C418" s="608"/>
      <c r="D418" s="608"/>
      <c r="E418" s="608"/>
      <c r="F418" s="608"/>
      <c r="G418" s="608"/>
      <c r="H418" s="608"/>
      <c r="I418" s="608"/>
      <c r="J418" s="608"/>
      <c r="K418" s="608"/>
      <c r="L418" s="608"/>
      <c r="M418" s="608"/>
      <c r="N418" s="608"/>
      <c r="O418" s="608"/>
      <c r="P418" s="608"/>
      <c r="Q418" s="608"/>
      <c r="R418" s="608"/>
      <c r="S418" s="608"/>
      <c r="T418" s="608"/>
      <c r="AA418" s="260"/>
    </row>
    <row r="419" spans="1:27" s="253" customFormat="1" hidden="1" x14ac:dyDescent="0.25">
      <c r="A419" s="218"/>
      <c r="S419" s="218"/>
      <c r="T419" s="218"/>
      <c r="AA419" s="260"/>
    </row>
    <row r="420" spans="1:27" s="253" customFormat="1" hidden="1" x14ac:dyDescent="0.25">
      <c r="A420" s="218"/>
      <c r="B420" s="218"/>
      <c r="C420" s="218"/>
      <c r="D420" s="219"/>
      <c r="E420" s="220"/>
      <c r="F420" s="218"/>
      <c r="G420" s="219"/>
      <c r="H420" s="218"/>
      <c r="I420" s="218"/>
      <c r="J420" s="218"/>
      <c r="K420" s="218"/>
      <c r="L420" s="218"/>
      <c r="M420" s="218"/>
      <c r="N420" s="218"/>
      <c r="O420" s="218"/>
      <c r="P420" s="218"/>
      <c r="Q420" s="219"/>
      <c r="R420" s="221"/>
      <c r="S420" s="218"/>
      <c r="T420" s="218"/>
      <c r="AA420" s="260"/>
    </row>
    <row r="421" spans="1:27" s="253" customFormat="1" ht="18" hidden="1" x14ac:dyDescent="0.25">
      <c r="A421" s="218"/>
      <c r="B421" s="218"/>
      <c r="C421" s="218"/>
      <c r="D421" s="219"/>
      <c r="E421" s="220" t="s">
        <v>441</v>
      </c>
      <c r="F421" s="218"/>
      <c r="G421" s="219" t="s">
        <v>440</v>
      </c>
      <c r="H421" s="285" t="s">
        <v>495</v>
      </c>
      <c r="I421" s="218"/>
      <c r="J421" s="218"/>
      <c r="K421" s="218"/>
      <c r="L421" s="218"/>
      <c r="M421" s="218"/>
      <c r="N421" s="218"/>
      <c r="O421" s="218"/>
      <c r="P421" s="218"/>
      <c r="Q421" s="219" t="s">
        <v>638</v>
      </c>
      <c r="R421" s="258">
        <f>$Q$20</f>
        <v>6</v>
      </c>
      <c r="S421" s="218"/>
      <c r="T421" s="218"/>
      <c r="AA421" s="260"/>
    </row>
    <row r="422" spans="1:27" s="253" customFormat="1" hidden="1" x14ac:dyDescent="0.25">
      <c r="A422" s="218"/>
      <c r="B422" s="218"/>
      <c r="C422" s="218"/>
      <c r="D422" s="219"/>
      <c r="E422" s="220"/>
      <c r="F422" s="218"/>
      <c r="G422" s="219"/>
      <c r="H422" s="218"/>
      <c r="I422" s="218"/>
      <c r="J422" s="218"/>
      <c r="K422" s="218"/>
      <c r="L422" s="218"/>
      <c r="M422" s="218"/>
      <c r="N422" s="218"/>
      <c r="O422" s="218"/>
      <c r="P422" s="218"/>
      <c r="Q422" s="219"/>
      <c r="R422" s="221"/>
      <c r="S422" s="218"/>
      <c r="T422" s="218"/>
      <c r="AA422" s="260"/>
    </row>
    <row r="423" spans="1:27" s="253" customFormat="1" ht="18" hidden="1" x14ac:dyDescent="0.25">
      <c r="A423" s="218"/>
      <c r="B423" s="218"/>
      <c r="C423" s="218"/>
      <c r="D423" s="219"/>
      <c r="E423" s="220" t="s">
        <v>444</v>
      </c>
      <c r="F423" s="218"/>
      <c r="G423" s="219" t="s">
        <v>442</v>
      </c>
      <c r="H423" s="218" t="s">
        <v>645</v>
      </c>
      <c r="I423" s="218"/>
      <c r="J423" s="218"/>
      <c r="K423" s="218"/>
      <c r="L423" s="218"/>
      <c r="M423" s="218"/>
      <c r="N423" s="218"/>
      <c r="O423" s="218"/>
      <c r="P423" s="218"/>
      <c r="Q423" s="219" t="s">
        <v>639</v>
      </c>
      <c r="R423" s="254" t="e">
        <f>Ratiomod*(Φtr*nbolts_existing_bot*Futhreadedrod_bot*Athreadedrod_net_bot)</f>
        <v>#DIV/0!</v>
      </c>
      <c r="S423" s="218" t="s">
        <v>385</v>
      </c>
      <c r="T423" s="218"/>
      <c r="AA423" s="260"/>
    </row>
    <row r="424" spans="1:27" s="253" customFormat="1" hidden="1" x14ac:dyDescent="0.25">
      <c r="A424" s="218"/>
      <c r="B424" s="218"/>
      <c r="C424" s="218"/>
      <c r="D424" s="219"/>
      <c r="E424" s="220"/>
      <c r="F424" s="218"/>
      <c r="G424" s="219"/>
      <c r="H424" s="218"/>
      <c r="I424" s="218"/>
      <c r="J424" s="218"/>
      <c r="K424" s="218"/>
      <c r="L424" s="218"/>
      <c r="M424" s="218"/>
      <c r="N424" s="218"/>
      <c r="O424" s="218"/>
      <c r="P424" s="218"/>
      <c r="Q424" s="219"/>
      <c r="R424" s="221"/>
      <c r="S424" s="218"/>
      <c r="T424" s="218"/>
      <c r="AA424" s="260"/>
    </row>
    <row r="425" spans="1:27" s="253" customFormat="1" ht="18" hidden="1" x14ac:dyDescent="0.25">
      <c r="A425" s="218"/>
      <c r="B425" s="218"/>
      <c r="C425" s="218"/>
      <c r="D425" s="219"/>
      <c r="E425" s="220" t="s">
        <v>424</v>
      </c>
      <c r="F425" s="218"/>
      <c r="G425" s="219" t="s">
        <v>443</v>
      </c>
      <c r="H425" s="218" t="s">
        <v>646</v>
      </c>
      <c r="I425" s="218"/>
      <c r="J425" s="218"/>
      <c r="K425" s="218"/>
      <c r="L425" s="218"/>
      <c r="M425" s="218"/>
      <c r="N425" s="218"/>
      <c r="O425" s="218"/>
      <c r="P425" s="218"/>
      <c r="Q425" s="219" t="s">
        <v>640</v>
      </c>
      <c r="R425" s="254" t="e">
        <f>Tthreadedrod_distributed_bot/ΣLweld_group_bot</f>
        <v>#DIV/0!</v>
      </c>
      <c r="S425" s="218" t="s">
        <v>425</v>
      </c>
      <c r="T425" s="218"/>
      <c r="AA425" s="260"/>
    </row>
    <row r="426" spans="1:27" s="253" customFormat="1" hidden="1" x14ac:dyDescent="0.25">
      <c r="A426" s="218"/>
      <c r="B426" s="218"/>
      <c r="C426" s="218"/>
      <c r="D426" s="219"/>
      <c r="E426" s="220"/>
      <c r="F426" s="218"/>
      <c r="G426" s="219"/>
      <c r="H426" s="218"/>
      <c r="I426" s="218"/>
      <c r="J426" s="218"/>
      <c r="K426" s="218"/>
      <c r="L426" s="218"/>
      <c r="M426" s="218"/>
      <c r="N426" s="218"/>
      <c r="O426" s="218"/>
      <c r="P426" s="218"/>
      <c r="Q426" s="219"/>
      <c r="R426" s="221"/>
      <c r="S426" s="218"/>
      <c r="T426" s="218"/>
      <c r="AA426" s="260"/>
    </row>
    <row r="427" spans="1:27" s="253" customFormat="1" ht="18" hidden="1" x14ac:dyDescent="0.25">
      <c r="A427" s="218"/>
      <c r="B427" s="218"/>
      <c r="C427" s="218"/>
      <c r="D427" s="219"/>
      <c r="E427" s="220" t="s">
        <v>426</v>
      </c>
      <c r="F427" s="218"/>
      <c r="G427" s="219" t="s">
        <v>445</v>
      </c>
      <c r="H427" s="218" t="s">
        <v>647</v>
      </c>
      <c r="I427" s="218"/>
      <c r="J427" s="218"/>
      <c r="K427" s="218"/>
      <c r="L427" s="218"/>
      <c r="M427" s="218"/>
      <c r="N427" s="218"/>
      <c r="O427" s="218"/>
      <c r="P427" s="218"/>
      <c r="Q427" s="219" t="s">
        <v>641</v>
      </c>
      <c r="R427" s="254" t="e">
        <f>(Tthreadedrod_distributed_bot*armsp_bot*cmax_bot)/Iweld_group_bot</f>
        <v>#DIV/0!</v>
      </c>
      <c r="S427" s="218" t="s">
        <v>425</v>
      </c>
      <c r="T427" s="218"/>
      <c r="AA427" s="260"/>
    </row>
    <row r="428" spans="1:27" s="253" customFormat="1" hidden="1" x14ac:dyDescent="0.25">
      <c r="A428" s="218"/>
      <c r="B428" s="218"/>
      <c r="C428" s="218"/>
      <c r="D428" s="219"/>
      <c r="E428" s="220"/>
      <c r="F428" s="218"/>
      <c r="G428" s="219"/>
      <c r="H428" s="218"/>
      <c r="I428" s="218"/>
      <c r="J428" s="218"/>
      <c r="K428" s="218"/>
      <c r="L428" s="218"/>
      <c r="M428" s="218"/>
      <c r="N428" s="218"/>
      <c r="O428" s="218"/>
      <c r="P428" s="218"/>
      <c r="Q428" s="219"/>
      <c r="R428" s="221"/>
      <c r="S428" s="218"/>
      <c r="T428" s="218"/>
      <c r="AA428" s="260"/>
    </row>
    <row r="429" spans="1:27" s="253" customFormat="1" ht="18" hidden="1" x14ac:dyDescent="0.25">
      <c r="A429" s="218"/>
      <c r="B429" s="218"/>
      <c r="C429" s="218"/>
      <c r="D429" s="219"/>
      <c r="E429" s="220" t="s">
        <v>427</v>
      </c>
      <c r="F429" s="218"/>
      <c r="G429" s="219" t="s">
        <v>446</v>
      </c>
      <c r="H429" s="218" t="s">
        <v>648</v>
      </c>
      <c r="I429" s="218"/>
      <c r="J429" s="218"/>
      <c r="K429" s="218"/>
      <c r="L429" s="218"/>
      <c r="M429" s="218"/>
      <c r="N429" s="218"/>
      <c r="O429" s="218"/>
      <c r="P429" s="218"/>
      <c r="Q429" s="219" t="s">
        <v>642</v>
      </c>
      <c r="R429" s="254" t="e">
        <f>SQRT(rp_tens_bot^2+rm_tens_bot^2)</f>
        <v>#DIV/0!</v>
      </c>
      <c r="S429" s="218" t="s">
        <v>425</v>
      </c>
      <c r="T429" s="218"/>
      <c r="AA429" s="260"/>
    </row>
    <row r="430" spans="1:27" s="253" customFormat="1" hidden="1" x14ac:dyDescent="0.25">
      <c r="A430" s="218"/>
      <c r="B430" s="218"/>
      <c r="C430" s="218"/>
      <c r="D430" s="219"/>
      <c r="E430" s="220"/>
      <c r="F430" s="218"/>
      <c r="G430" s="219"/>
      <c r="H430" s="218"/>
      <c r="I430" s="218"/>
      <c r="J430" s="218"/>
      <c r="K430" s="218"/>
      <c r="L430" s="218"/>
      <c r="M430" s="218"/>
      <c r="N430" s="218"/>
      <c r="O430" s="218"/>
      <c r="P430" s="218"/>
      <c r="Q430" s="219"/>
      <c r="R430" s="221"/>
      <c r="S430" s="218"/>
      <c r="T430" s="218"/>
      <c r="AA430" s="260"/>
    </row>
    <row r="431" spans="1:27" s="253" customFormat="1" ht="18" hidden="1" x14ac:dyDescent="0.25">
      <c r="A431" s="218"/>
      <c r="B431" s="218"/>
      <c r="C431" s="218"/>
      <c r="D431" s="219"/>
      <c r="E431" s="220" t="s">
        <v>428</v>
      </c>
      <c r="F431" s="218"/>
      <c r="G431" s="219" t="s">
        <v>447</v>
      </c>
      <c r="H431" s="218" t="s">
        <v>649</v>
      </c>
      <c r="I431" s="218"/>
      <c r="J431" s="218"/>
      <c r="K431" s="218"/>
      <c r="L431" s="218"/>
      <c r="M431" s="218"/>
      <c r="N431" s="218"/>
      <c r="O431" s="218"/>
      <c r="P431" s="218"/>
      <c r="Q431" s="219" t="s">
        <v>643</v>
      </c>
      <c r="R431" s="254">
        <f>0.6*FEXX_bot*SQRT(2)/2*(Dfillet_bot/16)</f>
        <v>14.849242404917499</v>
      </c>
      <c r="S431" s="218" t="s">
        <v>425</v>
      </c>
      <c r="T431" s="218"/>
      <c r="AA431" s="260"/>
    </row>
    <row r="432" spans="1:27" s="253" customFormat="1" hidden="1" x14ac:dyDescent="0.25">
      <c r="A432" s="218"/>
      <c r="B432" s="218"/>
      <c r="C432" s="218"/>
      <c r="D432" s="219"/>
      <c r="E432" s="220"/>
      <c r="F432" s="218"/>
      <c r="G432" s="219"/>
      <c r="H432" s="218"/>
      <c r="I432" s="218"/>
      <c r="J432" s="218"/>
      <c r="K432" s="218"/>
      <c r="L432" s="218"/>
      <c r="M432" s="218"/>
      <c r="N432" s="218"/>
      <c r="O432" s="218"/>
      <c r="P432" s="218"/>
      <c r="Q432" s="219"/>
      <c r="R432" s="221"/>
      <c r="S432" s="218"/>
      <c r="T432" s="218"/>
      <c r="AA432" s="260"/>
    </row>
    <row r="433" spans="1:27" s="253" customFormat="1" ht="18" hidden="1" x14ac:dyDescent="0.25">
      <c r="A433" s="218"/>
      <c r="B433" s="218"/>
      <c r="C433" s="218"/>
      <c r="D433" s="219"/>
      <c r="E433" s="220" t="s">
        <v>431</v>
      </c>
      <c r="F433" s="218"/>
      <c r="G433" s="219" t="s">
        <v>448</v>
      </c>
      <c r="H433" s="218" t="s">
        <v>650</v>
      </c>
      <c r="I433" s="218"/>
      <c r="J433" s="218"/>
      <c r="K433" s="218"/>
      <c r="L433" s="218"/>
      <c r="M433" s="218"/>
      <c r="N433" s="218"/>
      <c r="O433" s="218"/>
      <c r="P433" s="218"/>
      <c r="Q433" s="219" t="s">
        <v>644</v>
      </c>
      <c r="R433" s="254">
        <f>Φw*Rnweld_tens_bot</f>
        <v>11.136931803688125</v>
      </c>
      <c r="S433" s="218" t="s">
        <v>425</v>
      </c>
      <c r="T433" s="218"/>
      <c r="AA433" s="260"/>
    </row>
    <row r="434" spans="1:27" s="253" customFormat="1" hidden="1" x14ac:dyDescent="0.25">
      <c r="A434" s="218"/>
      <c r="B434" s="218"/>
      <c r="C434" s="218"/>
      <c r="D434" s="219"/>
      <c r="E434" s="220"/>
      <c r="F434" s="218"/>
      <c r="G434" s="219"/>
      <c r="H434" s="218"/>
      <c r="I434" s="218"/>
      <c r="J434" s="218"/>
      <c r="K434" s="218"/>
      <c r="L434" s="218"/>
      <c r="M434" s="218"/>
      <c r="N434" s="218"/>
      <c r="O434" s="218"/>
      <c r="P434" s="218"/>
      <c r="Q434" s="219"/>
      <c r="R434" s="221"/>
      <c r="S434" s="218"/>
      <c r="T434" s="218"/>
      <c r="AA434" s="260"/>
    </row>
    <row r="435" spans="1:27" s="253" customFormat="1" ht="18" hidden="1" x14ac:dyDescent="0.25">
      <c r="A435" s="218"/>
      <c r="B435" s="218"/>
      <c r="C435" s="218"/>
      <c r="D435" s="219"/>
      <c r="E435" s="266" t="s">
        <v>389</v>
      </c>
      <c r="F435" s="218"/>
      <c r="G435" s="219"/>
      <c r="H435" s="267" t="s">
        <v>449</v>
      </c>
      <c r="I435" s="271" t="e">
        <f>ru_tens_bot</f>
        <v>#DIV/0!</v>
      </c>
      <c r="J435" s="269" t="s">
        <v>425</v>
      </c>
      <c r="K435" s="270" t="s">
        <v>387</v>
      </c>
      <c r="L435" s="269"/>
      <c r="M435" s="267" t="s">
        <v>450</v>
      </c>
      <c r="N435" s="271">
        <f>ΦRnweld_tens_bot</f>
        <v>11.136931803688125</v>
      </c>
      <c r="O435" s="269" t="s">
        <v>425</v>
      </c>
      <c r="P435" s="269"/>
      <c r="Q435" s="267" t="s">
        <v>388</v>
      </c>
      <c r="R435" s="272" t="e">
        <f>I435/N435</f>
        <v>#DIV/0!</v>
      </c>
      <c r="S435" s="218"/>
      <c r="T435" s="218"/>
      <c r="AA435" s="260"/>
    </row>
    <row r="437" spans="1:27" hidden="1" x14ac:dyDescent="0.25">
      <c r="B437" s="608" t="s">
        <v>358</v>
      </c>
      <c r="C437" s="608"/>
      <c r="D437" s="608"/>
      <c r="E437" s="608"/>
      <c r="F437" s="608"/>
      <c r="G437" s="608"/>
      <c r="H437" s="608"/>
      <c r="I437" s="608"/>
      <c r="J437" s="608"/>
      <c r="K437" s="608"/>
      <c r="L437" s="608"/>
      <c r="M437" s="608"/>
      <c r="N437" s="608"/>
      <c r="O437" s="608"/>
      <c r="P437" s="608"/>
      <c r="Q437" s="608"/>
      <c r="R437" s="608"/>
      <c r="S437" s="608"/>
      <c r="T437" s="608"/>
      <c r="U437" s="217"/>
      <c r="V437" s="217"/>
    </row>
    <row r="439" spans="1:27" ht="18" hidden="1" x14ac:dyDescent="0.25">
      <c r="E439" s="220" t="s">
        <v>441</v>
      </c>
      <c r="G439" s="219" t="s">
        <v>440</v>
      </c>
      <c r="H439" s="285" t="s">
        <v>495</v>
      </c>
      <c r="Q439" s="219" t="s">
        <v>735</v>
      </c>
      <c r="R439" s="258">
        <f>$Q$24</f>
        <v>6</v>
      </c>
    </row>
    <row r="441" spans="1:27" ht="18" hidden="1" x14ac:dyDescent="0.25">
      <c r="E441" s="220" t="s">
        <v>444</v>
      </c>
      <c r="G441" s="219" t="s">
        <v>442</v>
      </c>
      <c r="H441" s="218" t="s">
        <v>742</v>
      </c>
      <c r="Q441" s="219" t="s">
        <v>736</v>
      </c>
      <c r="R441" s="254" t="e">
        <f>Ratiomod*(Φtr*nbolts_existing_top*Futhreadedrod_top*Athreadedrod_net_top)</f>
        <v>#DIV/0!</v>
      </c>
      <c r="S441" s="218" t="s">
        <v>385</v>
      </c>
    </row>
    <row r="443" spans="1:27" ht="18" hidden="1" x14ac:dyDescent="0.25">
      <c r="E443" s="220" t="s">
        <v>424</v>
      </c>
      <c r="G443" s="219" t="s">
        <v>443</v>
      </c>
      <c r="H443" s="218" t="s">
        <v>743</v>
      </c>
      <c r="Q443" s="219" t="s">
        <v>737</v>
      </c>
      <c r="R443" s="254" t="e">
        <f>Tthreadedrod_distributed_top/ΣLweld_group_top</f>
        <v>#DIV/0!</v>
      </c>
      <c r="S443" s="218" t="s">
        <v>425</v>
      </c>
    </row>
    <row r="445" spans="1:27" ht="18" hidden="1" x14ac:dyDescent="0.25">
      <c r="E445" s="220" t="s">
        <v>426</v>
      </c>
      <c r="G445" s="219" t="s">
        <v>445</v>
      </c>
      <c r="H445" s="218" t="s">
        <v>744</v>
      </c>
      <c r="Q445" s="219" t="s">
        <v>738</v>
      </c>
      <c r="R445" s="254" t="e">
        <f>(Tthreadedrod_distributed_top*armsp_top*cmax_top)/Iweld_group_top</f>
        <v>#DIV/0!</v>
      </c>
      <c r="S445" s="218" t="s">
        <v>425</v>
      </c>
    </row>
    <row r="447" spans="1:27" ht="18" hidden="1" x14ac:dyDescent="0.25">
      <c r="E447" s="220" t="s">
        <v>427</v>
      </c>
      <c r="G447" s="219" t="s">
        <v>446</v>
      </c>
      <c r="H447" s="218" t="s">
        <v>745</v>
      </c>
      <c r="Q447" s="219" t="s">
        <v>739</v>
      </c>
      <c r="R447" s="254" t="e">
        <f>SQRT(rp_tens_top^2+rm_tens_top^2)</f>
        <v>#DIV/0!</v>
      </c>
      <c r="S447" s="218" t="s">
        <v>425</v>
      </c>
    </row>
    <row r="449" spans="2:20" ht="18" hidden="1" x14ac:dyDescent="0.25">
      <c r="E449" s="220" t="s">
        <v>428</v>
      </c>
      <c r="G449" s="219" t="s">
        <v>447</v>
      </c>
      <c r="H449" s="218" t="s">
        <v>746</v>
      </c>
      <c r="Q449" s="219" t="s">
        <v>740</v>
      </c>
      <c r="R449" s="254">
        <f>0.6*FEXX_top*SQRT(2)/2*(Dfillet_top/16)</f>
        <v>14.849242404917499</v>
      </c>
      <c r="S449" s="218" t="s">
        <v>425</v>
      </c>
    </row>
    <row r="451" spans="2:20" ht="18" hidden="1" x14ac:dyDescent="0.25">
      <c r="E451" s="220" t="s">
        <v>431</v>
      </c>
      <c r="G451" s="219" t="s">
        <v>448</v>
      </c>
      <c r="H451" s="218" t="s">
        <v>747</v>
      </c>
      <c r="Q451" s="219" t="s">
        <v>741</v>
      </c>
      <c r="R451" s="254">
        <f>Φw*Rnweld_tens_top</f>
        <v>11.136931803688125</v>
      </c>
      <c r="S451" s="218" t="s">
        <v>425</v>
      </c>
    </row>
    <row r="453" spans="2:20" ht="18" hidden="1" x14ac:dyDescent="0.25">
      <c r="E453" s="266" t="s">
        <v>389</v>
      </c>
      <c r="H453" s="267" t="s">
        <v>748</v>
      </c>
      <c r="I453" s="271" t="e">
        <f>ru_tens_top</f>
        <v>#DIV/0!</v>
      </c>
      <c r="J453" s="269" t="s">
        <v>425</v>
      </c>
      <c r="K453" s="270" t="s">
        <v>387</v>
      </c>
      <c r="L453" s="269"/>
      <c r="M453" s="267" t="s">
        <v>749</v>
      </c>
      <c r="N453" s="271">
        <f>ΦRnweld_tens_top</f>
        <v>11.136931803688125</v>
      </c>
      <c r="O453" s="269" t="s">
        <v>425</v>
      </c>
      <c r="P453" s="269"/>
      <c r="Q453" s="267" t="s">
        <v>388</v>
      </c>
      <c r="R453" s="272" t="e">
        <f>I453/N453</f>
        <v>#DIV/0!</v>
      </c>
    </row>
    <row r="454" spans="2:20" hidden="1" x14ac:dyDescent="0.25">
      <c r="E454" s="266"/>
      <c r="H454" s="267"/>
      <c r="I454" s="271"/>
      <c r="J454" s="269"/>
      <c r="K454" s="270"/>
      <c r="L454" s="269"/>
      <c r="M454" s="267"/>
      <c r="N454" s="271"/>
      <c r="O454" s="269"/>
      <c r="P454" s="269"/>
      <c r="Q454" s="267"/>
      <c r="R454" s="283"/>
    </row>
    <row r="456" spans="2:20" hidden="1" x14ac:dyDescent="0.25">
      <c r="B456" s="587" t="s">
        <v>438</v>
      </c>
      <c r="C456" s="587"/>
      <c r="D456" s="587"/>
      <c r="E456" s="587"/>
      <c r="F456" s="587"/>
      <c r="G456" s="587"/>
      <c r="H456" s="587"/>
      <c r="I456" s="587"/>
      <c r="J456" s="587"/>
      <c r="K456" s="587"/>
      <c r="L456" s="587"/>
      <c r="M456" s="587"/>
      <c r="N456" s="587"/>
      <c r="O456" s="587"/>
      <c r="P456" s="587"/>
      <c r="Q456" s="587"/>
      <c r="R456" s="587"/>
      <c r="S456" s="587"/>
      <c r="T456" s="587"/>
    </row>
    <row r="458" spans="2:20" hidden="1" x14ac:dyDescent="0.25">
      <c r="B458" s="608" t="s">
        <v>332</v>
      </c>
      <c r="C458" s="608"/>
      <c r="D458" s="608"/>
      <c r="E458" s="608"/>
      <c r="F458" s="608"/>
      <c r="G458" s="608"/>
      <c r="H458" s="608"/>
      <c r="I458" s="608"/>
      <c r="J458" s="608"/>
      <c r="K458" s="608"/>
      <c r="L458" s="608"/>
      <c r="M458" s="608"/>
      <c r="N458" s="608"/>
      <c r="O458" s="608"/>
      <c r="P458" s="608"/>
      <c r="Q458" s="608"/>
      <c r="R458" s="608"/>
      <c r="S458" s="608"/>
      <c r="T458" s="608"/>
    </row>
    <row r="460" spans="2:20" ht="18" hidden="1" x14ac:dyDescent="0.25">
      <c r="E460" s="220" t="s">
        <v>435</v>
      </c>
      <c r="G460" s="219" t="s">
        <v>653</v>
      </c>
      <c r="H460" s="218" t="s">
        <v>652</v>
      </c>
      <c r="Q460" s="219" t="s">
        <v>651</v>
      </c>
      <c r="R460" s="254" t="e">
        <f>nweld_h_bot*(rp_tens_bot*Lweld_v_bot)</f>
        <v>#DIV/0!</v>
      </c>
      <c r="S460" s="218" t="s">
        <v>425</v>
      </c>
    </row>
    <row r="462" spans="2:20" ht="18" hidden="1" x14ac:dyDescent="0.25">
      <c r="E462" s="266" t="s">
        <v>389</v>
      </c>
      <c r="H462" s="267" t="s">
        <v>654</v>
      </c>
      <c r="I462" s="271" t="e">
        <f>rh_tens_v_bot</f>
        <v>#DIV/0!</v>
      </c>
      <c r="J462" s="269" t="s">
        <v>425</v>
      </c>
      <c r="K462" s="270" t="s">
        <v>387</v>
      </c>
      <c r="L462" s="269"/>
      <c r="M462" s="267" t="s">
        <v>614</v>
      </c>
      <c r="N462" s="271">
        <f>ΦRnweld_h_bot</f>
        <v>77.958522625816869</v>
      </c>
      <c r="O462" s="269" t="s">
        <v>425</v>
      </c>
      <c r="P462" s="269"/>
      <c r="Q462" s="267" t="s">
        <v>388</v>
      </c>
      <c r="R462" s="272" t="e">
        <f>I462/N462</f>
        <v>#DIV/0!</v>
      </c>
    </row>
    <row r="464" spans="2:20" hidden="1" x14ac:dyDescent="0.25">
      <c r="B464" s="608" t="s">
        <v>358</v>
      </c>
      <c r="C464" s="608"/>
      <c r="D464" s="608"/>
      <c r="E464" s="608"/>
      <c r="F464" s="608"/>
      <c r="G464" s="608"/>
      <c r="H464" s="608"/>
      <c r="I464" s="608"/>
      <c r="J464" s="608"/>
      <c r="K464" s="608"/>
      <c r="L464" s="608"/>
      <c r="M464" s="608"/>
      <c r="N464" s="608"/>
      <c r="O464" s="608"/>
      <c r="P464" s="608"/>
      <c r="Q464" s="608"/>
      <c r="R464" s="608"/>
      <c r="S464" s="608"/>
      <c r="T464" s="608"/>
    </row>
    <row r="466" spans="1:27" ht="18" hidden="1" x14ac:dyDescent="0.25">
      <c r="E466" s="220" t="s">
        <v>435</v>
      </c>
      <c r="G466" s="219" t="s">
        <v>750</v>
      </c>
      <c r="H466" s="218" t="s">
        <v>751</v>
      </c>
      <c r="Q466" s="219" t="s">
        <v>753</v>
      </c>
      <c r="R466" s="254" t="e">
        <f>nweld_h_top*(rp_tens_top*Lweld_v_top)</f>
        <v>#DIV/0!</v>
      </c>
      <c r="S466" s="218" t="s">
        <v>425</v>
      </c>
    </row>
    <row r="468" spans="1:27" ht="18" hidden="1" x14ac:dyDescent="0.25">
      <c r="E468" s="266" t="s">
        <v>389</v>
      </c>
      <c r="H468" s="267" t="s">
        <v>752</v>
      </c>
      <c r="I468" s="271" t="e">
        <f>rh_tens_v_top</f>
        <v>#DIV/0!</v>
      </c>
      <c r="J468" s="269" t="s">
        <v>425</v>
      </c>
      <c r="K468" s="270" t="s">
        <v>387</v>
      </c>
      <c r="L468" s="269"/>
      <c r="M468" s="267" t="s">
        <v>734</v>
      </c>
      <c r="N468" s="271">
        <f>ΦRnweld_h_top</f>
        <v>77.958522625816869</v>
      </c>
      <c r="O468" s="269" t="s">
        <v>425</v>
      </c>
      <c r="P468" s="269"/>
      <c r="Q468" s="267" t="s">
        <v>388</v>
      </c>
      <c r="R468" s="272" t="e">
        <f>I468/N468</f>
        <v>#DIV/0!</v>
      </c>
    </row>
    <row r="471" spans="1:27" hidden="1" x14ac:dyDescent="0.25">
      <c r="B471" s="587" t="s">
        <v>451</v>
      </c>
      <c r="C471" s="587"/>
      <c r="D471" s="587"/>
      <c r="E471" s="587"/>
      <c r="F471" s="587"/>
      <c r="G471" s="587"/>
      <c r="H471" s="587"/>
      <c r="I471" s="587"/>
      <c r="J471" s="587"/>
      <c r="K471" s="587"/>
      <c r="L471" s="587"/>
      <c r="M471" s="587"/>
      <c r="N471" s="587"/>
      <c r="O471" s="587"/>
      <c r="P471" s="587"/>
      <c r="Q471" s="587"/>
      <c r="R471" s="587"/>
      <c r="S471" s="587"/>
      <c r="T471" s="587"/>
    </row>
    <row r="473" spans="1:27" ht="18.75" hidden="1" x14ac:dyDescent="0.25">
      <c r="E473" s="220" t="s">
        <v>453</v>
      </c>
      <c r="G473" s="255" t="s">
        <v>452</v>
      </c>
      <c r="H473" s="241">
        <v>0.9</v>
      </c>
      <c r="Q473" s="255" t="s">
        <v>452</v>
      </c>
      <c r="R473" s="221">
        <v>0.9</v>
      </c>
    </row>
    <row r="474" spans="1:27" s="253" customFormat="1" hidden="1" x14ac:dyDescent="0.25">
      <c r="A474" s="276"/>
      <c r="B474" s="218"/>
      <c r="C474" s="218"/>
      <c r="D474" s="219"/>
      <c r="E474" s="220"/>
      <c r="F474" s="218"/>
      <c r="G474" s="219"/>
      <c r="H474" s="218"/>
      <c r="I474" s="218"/>
      <c r="J474" s="218"/>
      <c r="K474" s="218"/>
      <c r="L474" s="218"/>
      <c r="M474" s="218"/>
      <c r="N474" s="218"/>
      <c r="O474" s="218"/>
      <c r="P474" s="218"/>
      <c r="Q474" s="219"/>
      <c r="R474" s="221"/>
      <c r="S474" s="218"/>
      <c r="T474" s="276"/>
      <c r="AA474" s="260"/>
    </row>
    <row r="475" spans="1:27" s="253" customFormat="1" ht="18.75" hidden="1" x14ac:dyDescent="0.25">
      <c r="A475" s="276"/>
      <c r="B475" s="218"/>
      <c r="C475" s="218"/>
      <c r="D475" s="219"/>
      <c r="E475" s="220" t="s">
        <v>455</v>
      </c>
      <c r="F475" s="218"/>
      <c r="G475" s="255" t="s">
        <v>454</v>
      </c>
      <c r="H475" s="264">
        <v>1</v>
      </c>
      <c r="I475" s="218"/>
      <c r="J475" s="218"/>
      <c r="K475" s="218"/>
      <c r="L475" s="218"/>
      <c r="M475" s="218"/>
      <c r="N475" s="218"/>
      <c r="O475" s="218"/>
      <c r="P475" s="218"/>
      <c r="Q475" s="255" t="s">
        <v>454</v>
      </c>
      <c r="R475" s="265">
        <v>1</v>
      </c>
      <c r="S475" s="218"/>
      <c r="T475" s="276"/>
      <c r="AA475" s="260"/>
    </row>
    <row r="476" spans="1:27" s="253" customFormat="1" hidden="1" x14ac:dyDescent="0.25">
      <c r="A476" s="276"/>
      <c r="B476" s="276"/>
      <c r="C476" s="276"/>
      <c r="D476" s="276"/>
      <c r="E476" s="276"/>
      <c r="F476" s="276"/>
      <c r="G476" s="276"/>
      <c r="H476" s="276"/>
      <c r="I476" s="276"/>
      <c r="J476" s="276"/>
      <c r="K476" s="276"/>
      <c r="L476" s="276"/>
      <c r="M476" s="276"/>
      <c r="N476" s="276"/>
      <c r="O476" s="276"/>
      <c r="P476" s="276"/>
      <c r="Q476" s="276"/>
      <c r="R476" s="276"/>
      <c r="S476" s="276"/>
      <c r="T476" s="276"/>
      <c r="AA476" s="260"/>
    </row>
    <row r="477" spans="1:27" s="253" customFormat="1" hidden="1" x14ac:dyDescent="0.25">
      <c r="B477" s="608" t="s">
        <v>332</v>
      </c>
      <c r="C477" s="608"/>
      <c r="D477" s="608"/>
      <c r="E477" s="608"/>
      <c r="F477" s="608"/>
      <c r="G477" s="608"/>
      <c r="H477" s="608"/>
      <c r="I477" s="608"/>
      <c r="J477" s="608"/>
      <c r="K477" s="608"/>
      <c r="L477" s="608"/>
      <c r="M477" s="608"/>
      <c r="N477" s="608"/>
      <c r="O477" s="608"/>
      <c r="P477" s="608"/>
      <c r="Q477" s="608"/>
      <c r="R477" s="608"/>
      <c r="S477" s="608"/>
      <c r="T477" s="608"/>
      <c r="AA477" s="260"/>
    </row>
    <row r="479" spans="1:27" ht="18" hidden="1" x14ac:dyDescent="0.25">
      <c r="B479" s="602" t="s">
        <v>457</v>
      </c>
      <c r="C479" s="602"/>
      <c r="D479" s="602"/>
      <c r="E479" s="602"/>
      <c r="G479" s="219" t="s">
        <v>456</v>
      </c>
      <c r="H479" s="218" t="s">
        <v>515</v>
      </c>
      <c r="Q479" s="219" t="s">
        <v>456</v>
      </c>
      <c r="R479" s="254">
        <f>tstiffener_bot*(Lstiffener_bot-notchstiffener_bot)</f>
        <v>1.75</v>
      </c>
      <c r="S479" s="218" t="s">
        <v>328</v>
      </c>
    </row>
    <row r="480" spans="1:27" hidden="1" x14ac:dyDescent="0.25">
      <c r="B480" s="602"/>
      <c r="C480" s="602"/>
      <c r="D480" s="602"/>
      <c r="E480" s="602"/>
    </row>
    <row r="481" spans="5:19" ht="18" hidden="1" x14ac:dyDescent="0.25">
      <c r="E481" s="220" t="s">
        <v>459</v>
      </c>
      <c r="G481" s="219" t="s">
        <v>466</v>
      </c>
      <c r="H481" s="218" t="s">
        <v>516</v>
      </c>
      <c r="Q481" s="219" t="s">
        <v>466</v>
      </c>
      <c r="R481" s="254">
        <f>Fystiffener_bot*Astiffener_bot</f>
        <v>87.5</v>
      </c>
      <c r="S481" s="218" t="s">
        <v>385</v>
      </c>
    </row>
    <row r="483" spans="5:19" ht="18" hidden="1" x14ac:dyDescent="0.25">
      <c r="E483" s="220" t="s">
        <v>460</v>
      </c>
      <c r="G483" s="219" t="s">
        <v>467</v>
      </c>
      <c r="H483" s="218" t="s">
        <v>517</v>
      </c>
      <c r="Q483" s="219" t="s">
        <v>467</v>
      </c>
      <c r="R483" s="254">
        <f>Φty*Rntstiffener_bot</f>
        <v>78.75</v>
      </c>
      <c r="S483" s="218" t="s">
        <v>385</v>
      </c>
    </row>
    <row r="485" spans="5:19" ht="18" hidden="1" x14ac:dyDescent="0.25">
      <c r="E485" s="220" t="s">
        <v>461</v>
      </c>
      <c r="G485" s="219" t="s">
        <v>468</v>
      </c>
      <c r="H485" s="218" t="s">
        <v>518</v>
      </c>
      <c r="Q485" s="219" t="s">
        <v>468</v>
      </c>
      <c r="R485" s="254">
        <f>0.6*Fystiffener_bot*Astiffener_bot</f>
        <v>52.5</v>
      </c>
      <c r="S485" s="218" t="s">
        <v>385</v>
      </c>
    </row>
    <row r="487" spans="5:19" ht="18" hidden="1" x14ac:dyDescent="0.25">
      <c r="E487" s="220" t="s">
        <v>462</v>
      </c>
      <c r="G487" s="219" t="s">
        <v>469</v>
      </c>
      <c r="H487" s="218" t="s">
        <v>519</v>
      </c>
      <c r="Q487" s="219" t="s">
        <v>469</v>
      </c>
      <c r="R487" s="254">
        <f>Φv*Rnvstiffener_bot</f>
        <v>52.5</v>
      </c>
      <c r="S487" s="218" t="s">
        <v>385</v>
      </c>
    </row>
    <row r="489" spans="5:19" ht="18" hidden="1" x14ac:dyDescent="0.25">
      <c r="G489" s="219" t="s">
        <v>767</v>
      </c>
      <c r="H489" s="218" t="s">
        <v>633</v>
      </c>
      <c r="Q489" s="219" t="s">
        <v>767</v>
      </c>
      <c r="R489" s="254" t="e">
        <f>(Pmod_sp*armsp_bot*cmax_bot)/Iweld_group_bot</f>
        <v>#DIV/0!</v>
      </c>
      <c r="S489" s="218" t="s">
        <v>425</v>
      </c>
    </row>
    <row r="491" spans="5:19" ht="18" hidden="1" x14ac:dyDescent="0.25">
      <c r="G491" s="219" t="s">
        <v>768</v>
      </c>
      <c r="H491" s="218" t="s">
        <v>769</v>
      </c>
      <c r="Q491" s="219" t="s">
        <v>768</v>
      </c>
      <c r="R491" s="254" t="e">
        <f>(Pmod_sp*armsp_bot*notchstiffener_bot)/Iweld_group_bot</f>
        <v>#DIV/0!</v>
      </c>
      <c r="S491" s="218" t="s">
        <v>425</v>
      </c>
    </row>
    <row r="493" spans="5:19" ht="18" hidden="1" x14ac:dyDescent="0.25">
      <c r="E493" s="220" t="s">
        <v>458</v>
      </c>
      <c r="G493" s="219" t="s">
        <v>764</v>
      </c>
      <c r="H493" s="218" t="s">
        <v>763</v>
      </c>
      <c r="Q493" s="219" t="s">
        <v>764</v>
      </c>
      <c r="R493" s="254" t="e">
        <f>nweld_h_bot*(f1_bot+f2_bot)*Lweld_hstiffener_bot/2</f>
        <v>#DIV/0!</v>
      </c>
      <c r="S493" s="218" t="s">
        <v>385</v>
      </c>
    </row>
    <row r="495" spans="5:19" ht="18" hidden="1" x14ac:dyDescent="0.25">
      <c r="E495" s="266"/>
      <c r="G495" s="263" t="s">
        <v>844</v>
      </c>
      <c r="H495" s="286" t="s">
        <v>765</v>
      </c>
      <c r="I495" s="271"/>
      <c r="J495" s="269"/>
      <c r="K495" s="270"/>
      <c r="L495" s="269"/>
      <c r="M495" s="267"/>
      <c r="N495" s="271"/>
      <c r="O495" s="269"/>
      <c r="P495" s="269"/>
      <c r="Q495" s="267" t="s">
        <v>844</v>
      </c>
      <c r="R495" s="272" t="e">
        <f>rh_tens_v_bot/ΦRntstiffener_bot + (rh_tens_h_bot/ΦRnvstiffener_bot)^2</f>
        <v>#DIV/0!</v>
      </c>
    </row>
    <row r="497" spans="2:20" ht="18" hidden="1" x14ac:dyDescent="0.25">
      <c r="B497" s="602" t="s">
        <v>465</v>
      </c>
      <c r="C497" s="602"/>
      <c r="D497" s="602"/>
      <c r="E497" s="602"/>
      <c r="G497" s="219" t="s">
        <v>834</v>
      </c>
      <c r="H497" s="218" t="s">
        <v>835</v>
      </c>
      <c r="Q497" s="219" t="s">
        <v>834</v>
      </c>
      <c r="R497" s="254">
        <f>tstiffener_bot*(hstiffener_bot-notchstiffener_bot)</f>
        <v>3.75</v>
      </c>
      <c r="S497" s="218" t="s">
        <v>328</v>
      </c>
    </row>
    <row r="498" spans="2:20" hidden="1" x14ac:dyDescent="0.25">
      <c r="B498" s="602"/>
      <c r="C498" s="602"/>
      <c r="D498" s="602"/>
      <c r="E498" s="602"/>
      <c r="R498" s="254"/>
    </row>
    <row r="499" spans="2:20" ht="18" hidden="1" x14ac:dyDescent="0.25">
      <c r="E499" s="220" t="s">
        <v>459</v>
      </c>
      <c r="G499" s="219" t="s">
        <v>837</v>
      </c>
      <c r="H499" s="218" t="s">
        <v>838</v>
      </c>
      <c r="Q499" s="219" t="s">
        <v>837</v>
      </c>
      <c r="R499" s="254">
        <f>Fystiffener_bot*Astiffenertop_bot</f>
        <v>187.5</v>
      </c>
      <c r="S499" s="218" t="s">
        <v>385</v>
      </c>
    </row>
    <row r="500" spans="2:20" hidden="1" x14ac:dyDescent="0.25">
      <c r="R500" s="254"/>
    </row>
    <row r="501" spans="2:20" ht="18" hidden="1" x14ac:dyDescent="0.25">
      <c r="E501" s="220" t="s">
        <v>460</v>
      </c>
      <c r="G501" s="219" t="s">
        <v>836</v>
      </c>
      <c r="H501" s="218" t="s">
        <v>839</v>
      </c>
      <c r="Q501" s="219" t="s">
        <v>836</v>
      </c>
      <c r="R501" s="254">
        <f>Φty*Rntstiffenertop_bot</f>
        <v>168.75</v>
      </c>
      <c r="S501" s="218" t="s">
        <v>385</v>
      </c>
    </row>
    <row r="502" spans="2:20" hidden="1" x14ac:dyDescent="0.25">
      <c r="R502" s="254"/>
    </row>
    <row r="503" spans="2:20" ht="18" hidden="1" x14ac:dyDescent="0.25">
      <c r="E503" s="220" t="s">
        <v>461</v>
      </c>
      <c r="G503" s="219" t="s">
        <v>841</v>
      </c>
      <c r="H503" s="218" t="s">
        <v>840</v>
      </c>
      <c r="Q503" s="219" t="s">
        <v>841</v>
      </c>
      <c r="R503" s="254">
        <f>0.6*Fystiffener_bot*Astiffenertop_bot</f>
        <v>112.5</v>
      </c>
      <c r="S503" s="218" t="s">
        <v>385</v>
      </c>
    </row>
    <row r="504" spans="2:20" hidden="1" x14ac:dyDescent="0.25">
      <c r="R504" s="254"/>
    </row>
    <row r="505" spans="2:20" ht="18" hidden="1" x14ac:dyDescent="0.25">
      <c r="E505" s="220" t="s">
        <v>462</v>
      </c>
      <c r="G505" s="219" t="s">
        <v>842</v>
      </c>
      <c r="H505" s="218" t="s">
        <v>843</v>
      </c>
      <c r="Q505" s="219" t="s">
        <v>842</v>
      </c>
      <c r="R505" s="254">
        <f>Φv*Rnvstiffenertop_bot</f>
        <v>112.5</v>
      </c>
      <c r="S505" s="218" t="s">
        <v>385</v>
      </c>
    </row>
    <row r="506" spans="2:20" hidden="1" x14ac:dyDescent="0.25">
      <c r="R506" s="254"/>
    </row>
    <row r="507" spans="2:20" ht="18" hidden="1" x14ac:dyDescent="0.25">
      <c r="G507" s="263" t="s">
        <v>845</v>
      </c>
      <c r="H507" s="286" t="s">
        <v>846</v>
      </c>
      <c r="Q507" s="267" t="s">
        <v>845</v>
      </c>
      <c r="R507" s="272" t="e">
        <f>rh_tens_h_bot/ΦRntstiffenertop_bot + (rh_tens_v_bot/ΦRnvstiffenertop_bot)^2</f>
        <v>#DIV/0!</v>
      </c>
    </row>
    <row r="509" spans="2:20" hidden="1" x14ac:dyDescent="0.25">
      <c r="B509" s="608" t="s">
        <v>358</v>
      </c>
      <c r="C509" s="608"/>
      <c r="D509" s="608"/>
      <c r="E509" s="608"/>
      <c r="F509" s="608"/>
      <c r="G509" s="608"/>
      <c r="H509" s="608"/>
      <c r="I509" s="608"/>
      <c r="J509" s="608"/>
      <c r="K509" s="608"/>
      <c r="L509" s="608"/>
      <c r="M509" s="608"/>
      <c r="N509" s="608"/>
      <c r="O509" s="608"/>
      <c r="P509" s="608"/>
      <c r="Q509" s="608"/>
      <c r="R509" s="608"/>
      <c r="S509" s="608"/>
      <c r="T509" s="608"/>
    </row>
    <row r="511" spans="2:20" ht="18" hidden="1" customHeight="1" x14ac:dyDescent="0.25">
      <c r="B511" s="602" t="s">
        <v>457</v>
      </c>
      <c r="C511" s="602"/>
      <c r="D511" s="602"/>
      <c r="E511" s="602"/>
      <c r="G511" s="219" t="s">
        <v>464</v>
      </c>
      <c r="H511" s="218" t="s">
        <v>787</v>
      </c>
      <c r="Q511" s="219" t="s">
        <v>464</v>
      </c>
      <c r="R511" s="291">
        <f>tstiffener_top*(Lstiffener_top-notchstiffener_top)</f>
        <v>1.75</v>
      </c>
      <c r="S511" s="218" t="s">
        <v>328</v>
      </c>
    </row>
    <row r="512" spans="2:20" hidden="1" x14ac:dyDescent="0.25">
      <c r="B512" s="602"/>
      <c r="C512" s="602"/>
      <c r="D512" s="602"/>
      <c r="E512" s="602"/>
    </row>
    <row r="513" spans="4:27" ht="18" hidden="1" x14ac:dyDescent="0.25">
      <c r="E513" s="220" t="s">
        <v>459</v>
      </c>
      <c r="G513" s="219" t="s">
        <v>470</v>
      </c>
      <c r="H513" s="218" t="s">
        <v>577</v>
      </c>
      <c r="Q513" s="219" t="s">
        <v>470</v>
      </c>
      <c r="R513" s="221">
        <f>Fystiffener_top*Astiffener_top</f>
        <v>87.5</v>
      </c>
      <c r="S513" s="218" t="s">
        <v>385</v>
      </c>
    </row>
    <row r="515" spans="4:27" ht="18" hidden="1" x14ac:dyDescent="0.25">
      <c r="E515" s="220" t="s">
        <v>460</v>
      </c>
      <c r="G515" s="219" t="s">
        <v>471</v>
      </c>
      <c r="H515" s="218" t="s">
        <v>520</v>
      </c>
      <c r="Q515" s="219" t="s">
        <v>471</v>
      </c>
      <c r="R515" s="221">
        <f>Φty*Rntstiffener_top</f>
        <v>78.75</v>
      </c>
      <c r="S515" s="218" t="s">
        <v>385</v>
      </c>
    </row>
    <row r="517" spans="4:27" ht="18" hidden="1" x14ac:dyDescent="0.25">
      <c r="E517" s="220" t="s">
        <v>461</v>
      </c>
      <c r="G517" s="219" t="s">
        <v>472</v>
      </c>
      <c r="H517" s="218" t="s">
        <v>578</v>
      </c>
      <c r="Q517" s="219" t="s">
        <v>472</v>
      </c>
      <c r="R517" s="221">
        <f>0.6*Fystiffener_top*Astiffener_top</f>
        <v>52.5</v>
      </c>
      <c r="S517" s="218" t="s">
        <v>385</v>
      </c>
    </row>
    <row r="519" spans="4:27" ht="18" hidden="1" x14ac:dyDescent="0.25">
      <c r="E519" s="220" t="s">
        <v>462</v>
      </c>
      <c r="G519" s="219" t="s">
        <v>473</v>
      </c>
      <c r="H519" s="218" t="s">
        <v>521</v>
      </c>
      <c r="Q519" s="219" t="s">
        <v>473</v>
      </c>
      <c r="R519" s="221">
        <f>Φv*Rnvstiffener_top</f>
        <v>52.5</v>
      </c>
      <c r="S519" s="218" t="s">
        <v>385</v>
      </c>
    </row>
    <row r="521" spans="4:27" ht="18" hidden="1" x14ac:dyDescent="0.25">
      <c r="G521" s="219" t="s">
        <v>770</v>
      </c>
      <c r="H521" s="218" t="s">
        <v>714</v>
      </c>
      <c r="Q521" s="219" t="s">
        <v>770</v>
      </c>
      <c r="R521" s="254" t="e">
        <f>(Pmod_sp*armsp_top*cmax_top)/Iweld_group_top</f>
        <v>#DIV/0!</v>
      </c>
      <c r="S521" s="218" t="s">
        <v>425</v>
      </c>
    </row>
    <row r="523" spans="4:27" ht="18" hidden="1" x14ac:dyDescent="0.25">
      <c r="G523" s="219" t="s">
        <v>771</v>
      </c>
      <c r="H523" s="218" t="s">
        <v>773</v>
      </c>
      <c r="Q523" s="219" t="s">
        <v>771</v>
      </c>
      <c r="R523" s="254" t="e">
        <f>(Pmod_sp*armsp_top*notchstiffener_top)/Iweld_group_top</f>
        <v>#DIV/0!</v>
      </c>
      <c r="S523" s="218" t="s">
        <v>425</v>
      </c>
    </row>
    <row r="525" spans="4:27" ht="18" hidden="1" x14ac:dyDescent="0.25">
      <c r="G525" s="219" t="s">
        <v>772</v>
      </c>
      <c r="H525" s="218" t="s">
        <v>774</v>
      </c>
      <c r="Q525" s="219" t="s">
        <v>772</v>
      </c>
      <c r="R525" s="254" t="e">
        <f>nweld_h_top*(f1_top+f2_top)*Lweld_hstiffener_top/2</f>
        <v>#DIV/0!</v>
      </c>
      <c r="S525" s="218" t="s">
        <v>385</v>
      </c>
    </row>
    <row r="527" spans="4:27" ht="18" hidden="1" x14ac:dyDescent="0.25">
      <c r="G527" s="263" t="s">
        <v>463</v>
      </c>
      <c r="H527" s="286" t="s">
        <v>775</v>
      </c>
      <c r="I527" s="271"/>
      <c r="J527" s="269"/>
      <c r="K527" s="270"/>
      <c r="L527" s="269"/>
      <c r="M527" s="267"/>
      <c r="N527" s="271"/>
      <c r="O527" s="269"/>
      <c r="P527" s="269"/>
      <c r="Q527" s="267" t="s">
        <v>463</v>
      </c>
      <c r="R527" s="272" t="e">
        <f>rh_tens_v_top/ΦRntstiffener_top + (rh_tens_h_top/ΦRnvstiffener_top)^2</f>
        <v>#DIV/0!</v>
      </c>
      <c r="S527" s="253"/>
    </row>
    <row r="528" spans="4:27" s="253" customFormat="1" hidden="1" x14ac:dyDescent="0.25">
      <c r="D528" s="279"/>
      <c r="E528" s="317"/>
      <c r="G528" s="224"/>
      <c r="H528" s="318"/>
      <c r="I528" s="268"/>
      <c r="J528" s="217"/>
      <c r="K528" s="276"/>
      <c r="L528" s="217"/>
      <c r="M528" s="281"/>
      <c r="N528" s="268"/>
      <c r="O528" s="217"/>
      <c r="P528" s="217"/>
      <c r="Q528" s="281"/>
      <c r="R528" s="283"/>
      <c r="AA528" s="260"/>
    </row>
    <row r="529" spans="1:27" s="253" customFormat="1" ht="18" hidden="1" x14ac:dyDescent="0.25">
      <c r="B529" s="602" t="s">
        <v>465</v>
      </c>
      <c r="C529" s="602"/>
      <c r="D529" s="602"/>
      <c r="E529" s="602"/>
      <c r="F529" s="218"/>
      <c r="G529" s="219" t="s">
        <v>847</v>
      </c>
      <c r="H529" s="218" t="s">
        <v>852</v>
      </c>
      <c r="I529" s="218"/>
      <c r="J529" s="218"/>
      <c r="K529" s="218"/>
      <c r="L529" s="218"/>
      <c r="M529" s="218"/>
      <c r="N529" s="218"/>
      <c r="O529" s="218"/>
      <c r="P529" s="218"/>
      <c r="Q529" s="219" t="s">
        <v>847</v>
      </c>
      <c r="R529" s="254">
        <f>tstiffener_top*(hstiffener_top-notchstiffener_top)</f>
        <v>3.75</v>
      </c>
      <c r="S529" s="218" t="s">
        <v>328</v>
      </c>
      <c r="AA529" s="260"/>
    </row>
    <row r="530" spans="1:27" s="253" customFormat="1" hidden="1" x14ac:dyDescent="0.25">
      <c r="B530" s="602"/>
      <c r="C530" s="602"/>
      <c r="D530" s="602"/>
      <c r="E530" s="602"/>
      <c r="F530" s="218"/>
      <c r="G530" s="219"/>
      <c r="H530" s="218"/>
      <c r="I530" s="218"/>
      <c r="J530" s="218"/>
      <c r="K530" s="218"/>
      <c r="L530" s="218"/>
      <c r="M530" s="218"/>
      <c r="N530" s="218"/>
      <c r="O530" s="218"/>
      <c r="P530" s="218"/>
      <c r="Q530" s="219"/>
      <c r="R530" s="254"/>
      <c r="S530" s="218"/>
      <c r="AA530" s="260"/>
    </row>
    <row r="531" spans="1:27" s="253" customFormat="1" ht="18" hidden="1" x14ac:dyDescent="0.25">
      <c r="B531" s="218"/>
      <c r="C531" s="218"/>
      <c r="D531" s="219"/>
      <c r="E531" s="220" t="s">
        <v>459</v>
      </c>
      <c r="F531" s="218"/>
      <c r="G531" s="219" t="s">
        <v>848</v>
      </c>
      <c r="H531" s="218" t="s">
        <v>853</v>
      </c>
      <c r="I531" s="218"/>
      <c r="J531" s="218"/>
      <c r="K531" s="218"/>
      <c r="L531" s="218"/>
      <c r="M531" s="218"/>
      <c r="N531" s="218"/>
      <c r="O531" s="218"/>
      <c r="P531" s="218"/>
      <c r="Q531" s="219" t="s">
        <v>848</v>
      </c>
      <c r="R531" s="254">
        <f>Fystiffener_top*Astiffenertop_top</f>
        <v>187.5</v>
      </c>
      <c r="S531" s="218" t="s">
        <v>385</v>
      </c>
      <c r="AA531" s="260"/>
    </row>
    <row r="532" spans="1:27" s="253" customFormat="1" hidden="1" x14ac:dyDescent="0.25">
      <c r="B532" s="218"/>
      <c r="C532" s="218"/>
      <c r="D532" s="219"/>
      <c r="E532" s="220"/>
      <c r="F532" s="218"/>
      <c r="G532" s="219"/>
      <c r="H532" s="218"/>
      <c r="I532" s="218"/>
      <c r="J532" s="218"/>
      <c r="K532" s="218"/>
      <c r="L532" s="218"/>
      <c r="M532" s="218"/>
      <c r="N532" s="218"/>
      <c r="O532" s="218"/>
      <c r="P532" s="218"/>
      <c r="Q532" s="219"/>
      <c r="R532" s="254"/>
      <c r="S532" s="218"/>
      <c r="AA532" s="260"/>
    </row>
    <row r="533" spans="1:27" s="253" customFormat="1" ht="18" hidden="1" x14ac:dyDescent="0.25">
      <c r="B533" s="218"/>
      <c r="C533" s="218"/>
      <c r="D533" s="219"/>
      <c r="E533" s="220" t="s">
        <v>460</v>
      </c>
      <c r="F533" s="218"/>
      <c r="G533" s="219" t="s">
        <v>849</v>
      </c>
      <c r="H533" s="218" t="s">
        <v>854</v>
      </c>
      <c r="I533" s="218"/>
      <c r="J533" s="218"/>
      <c r="K533" s="218"/>
      <c r="L533" s="218"/>
      <c r="M533" s="218"/>
      <c r="N533" s="218"/>
      <c r="O533" s="218"/>
      <c r="P533" s="218"/>
      <c r="Q533" s="219" t="s">
        <v>849</v>
      </c>
      <c r="R533" s="254">
        <f>Φty*Rntstiffenertop_top</f>
        <v>168.75</v>
      </c>
      <c r="S533" s="218" t="s">
        <v>385</v>
      </c>
      <c r="AA533" s="260"/>
    </row>
    <row r="534" spans="1:27" s="253" customFormat="1" hidden="1" x14ac:dyDescent="0.25">
      <c r="B534" s="218"/>
      <c r="C534" s="218"/>
      <c r="D534" s="219"/>
      <c r="E534" s="220"/>
      <c r="F534" s="218"/>
      <c r="G534" s="219"/>
      <c r="H534" s="218"/>
      <c r="I534" s="218"/>
      <c r="J534" s="218"/>
      <c r="K534" s="218"/>
      <c r="L534" s="218"/>
      <c r="M534" s="218"/>
      <c r="N534" s="218"/>
      <c r="O534" s="218"/>
      <c r="P534" s="218"/>
      <c r="Q534" s="219"/>
      <c r="R534" s="254"/>
      <c r="S534" s="218"/>
      <c r="AA534" s="260"/>
    </row>
    <row r="535" spans="1:27" s="253" customFormat="1" ht="18" hidden="1" x14ac:dyDescent="0.25">
      <c r="B535" s="218"/>
      <c r="C535" s="218"/>
      <c r="D535" s="219"/>
      <c r="E535" s="220" t="s">
        <v>461</v>
      </c>
      <c r="F535" s="218"/>
      <c r="G535" s="219" t="s">
        <v>850</v>
      </c>
      <c r="H535" s="218" t="s">
        <v>855</v>
      </c>
      <c r="I535" s="218"/>
      <c r="J535" s="218"/>
      <c r="K535" s="218"/>
      <c r="L535" s="218"/>
      <c r="M535" s="218"/>
      <c r="N535" s="218"/>
      <c r="O535" s="218"/>
      <c r="P535" s="218"/>
      <c r="Q535" s="219" t="s">
        <v>850</v>
      </c>
      <c r="R535" s="254">
        <f>0.6*Fystiffener_top*Astiffenertop_top</f>
        <v>112.5</v>
      </c>
      <c r="S535" s="218" t="s">
        <v>385</v>
      </c>
      <c r="AA535" s="260"/>
    </row>
    <row r="536" spans="1:27" s="253" customFormat="1" hidden="1" x14ac:dyDescent="0.25">
      <c r="B536" s="218"/>
      <c r="C536" s="218"/>
      <c r="D536" s="219"/>
      <c r="E536" s="220"/>
      <c r="F536" s="218"/>
      <c r="G536" s="219"/>
      <c r="H536" s="218"/>
      <c r="I536" s="218"/>
      <c r="J536" s="218"/>
      <c r="K536" s="218"/>
      <c r="L536" s="218"/>
      <c r="M536" s="218"/>
      <c r="N536" s="218"/>
      <c r="O536" s="218"/>
      <c r="P536" s="218"/>
      <c r="Q536" s="219"/>
      <c r="R536" s="254"/>
      <c r="S536" s="218"/>
      <c r="AA536" s="260"/>
    </row>
    <row r="537" spans="1:27" s="253" customFormat="1" ht="18" hidden="1" x14ac:dyDescent="0.25">
      <c r="B537" s="218"/>
      <c r="C537" s="218"/>
      <c r="D537" s="219"/>
      <c r="E537" s="220" t="s">
        <v>462</v>
      </c>
      <c r="F537" s="218"/>
      <c r="G537" s="219" t="s">
        <v>851</v>
      </c>
      <c r="H537" s="218" t="s">
        <v>856</v>
      </c>
      <c r="I537" s="218"/>
      <c r="J537" s="218"/>
      <c r="K537" s="218"/>
      <c r="L537" s="218"/>
      <c r="M537" s="218"/>
      <c r="N537" s="218"/>
      <c r="O537" s="218"/>
      <c r="P537" s="218"/>
      <c r="Q537" s="219" t="s">
        <v>851</v>
      </c>
      <c r="R537" s="254">
        <f>Φv*Rnvstiffenertop_top</f>
        <v>112.5</v>
      </c>
      <c r="S537" s="218" t="s">
        <v>385</v>
      </c>
      <c r="AA537" s="260"/>
    </row>
    <row r="538" spans="1:27" s="253" customFormat="1" hidden="1" x14ac:dyDescent="0.25">
      <c r="B538" s="218"/>
      <c r="C538" s="218"/>
      <c r="D538" s="219"/>
      <c r="E538" s="220"/>
      <c r="F538" s="218"/>
      <c r="G538" s="219"/>
      <c r="H538" s="218"/>
      <c r="I538" s="218"/>
      <c r="J538" s="218"/>
      <c r="K538" s="218"/>
      <c r="L538" s="218"/>
      <c r="M538" s="218"/>
      <c r="N538" s="218"/>
      <c r="O538" s="218"/>
      <c r="P538" s="218"/>
      <c r="Q538" s="219"/>
      <c r="R538" s="254"/>
      <c r="S538" s="218"/>
      <c r="AA538" s="260"/>
    </row>
    <row r="539" spans="1:27" s="253" customFormat="1" ht="18" hidden="1" x14ac:dyDescent="0.25">
      <c r="B539" s="218"/>
      <c r="C539" s="218"/>
      <c r="D539" s="219"/>
      <c r="E539" s="220"/>
      <c r="F539" s="218"/>
      <c r="G539" s="263" t="s">
        <v>845</v>
      </c>
      <c r="H539" s="286" t="s">
        <v>857</v>
      </c>
      <c r="I539" s="218"/>
      <c r="J539" s="218"/>
      <c r="K539" s="218"/>
      <c r="L539" s="218"/>
      <c r="M539" s="218"/>
      <c r="N539" s="218"/>
      <c r="O539" s="218"/>
      <c r="P539" s="218"/>
      <c r="Q539" s="267" t="s">
        <v>845</v>
      </c>
      <c r="R539" s="272" t="e">
        <f>rh_tens_h_bot/ΦRntstiffenertop_bot + (rh_tens_v_bot/ΦRnvstiffenertop_bot)^2</f>
        <v>#DIV/0!</v>
      </c>
      <c r="S539" s="218"/>
      <c r="AA539" s="260"/>
    </row>
    <row r="540" spans="1:27" s="253" customFormat="1" hidden="1" x14ac:dyDescent="0.25">
      <c r="D540" s="279"/>
      <c r="E540" s="317"/>
      <c r="G540" s="224"/>
      <c r="H540" s="318"/>
      <c r="I540" s="268"/>
      <c r="J540" s="217"/>
      <c r="K540" s="276"/>
      <c r="L540" s="217"/>
      <c r="M540" s="281"/>
      <c r="N540" s="268"/>
      <c r="O540" s="217"/>
      <c r="P540" s="217"/>
      <c r="Q540" s="281"/>
      <c r="R540" s="283"/>
      <c r="AA540" s="260"/>
    </row>
    <row r="541" spans="1:27" s="253" customFormat="1" hidden="1" x14ac:dyDescent="0.25">
      <c r="D541" s="279"/>
      <c r="E541" s="317"/>
      <c r="G541" s="224"/>
      <c r="H541" s="318"/>
      <c r="I541" s="268"/>
      <c r="J541" s="217"/>
      <c r="K541" s="276"/>
      <c r="L541" s="217"/>
      <c r="M541" s="281"/>
      <c r="N541" s="268"/>
      <c r="O541" s="217"/>
      <c r="P541" s="217"/>
      <c r="Q541" s="281"/>
      <c r="R541" s="283"/>
      <c r="AA541" s="260"/>
    </row>
    <row r="542" spans="1:27" hidden="1" x14ac:dyDescent="0.25">
      <c r="B542" s="587" t="s">
        <v>859</v>
      </c>
      <c r="C542" s="587"/>
      <c r="D542" s="587"/>
      <c r="E542" s="587"/>
      <c r="F542" s="587"/>
      <c r="G542" s="587"/>
      <c r="H542" s="587"/>
      <c r="I542" s="587"/>
      <c r="J542" s="587"/>
      <c r="K542" s="587"/>
      <c r="L542" s="587"/>
      <c r="M542" s="587"/>
      <c r="N542" s="587"/>
      <c r="O542" s="587"/>
      <c r="P542" s="587"/>
      <c r="Q542" s="587"/>
      <c r="R542" s="587"/>
      <c r="S542" s="587"/>
      <c r="T542" s="587"/>
    </row>
    <row r="543" spans="1:27" s="222" customFormat="1" hidden="1" x14ac:dyDescent="0.25">
      <c r="A543" s="287"/>
      <c r="B543" s="287"/>
      <c r="C543" s="287"/>
      <c r="D543" s="287"/>
      <c r="E543" s="287"/>
      <c r="F543" s="287"/>
      <c r="G543" s="287"/>
      <c r="H543" s="287"/>
      <c r="I543" s="287"/>
      <c r="J543" s="287"/>
      <c r="K543" s="287"/>
      <c r="L543" s="287"/>
      <c r="M543" s="287"/>
      <c r="N543" s="287"/>
      <c r="O543" s="287"/>
      <c r="P543" s="287"/>
      <c r="Q543" s="287"/>
      <c r="R543" s="287"/>
      <c r="S543" s="287"/>
      <c r="T543" s="287"/>
      <c r="AA543" s="313"/>
    </row>
    <row r="544" spans="1:27" s="222" customFormat="1" ht="18" hidden="1" x14ac:dyDescent="0.25">
      <c r="A544" s="602" t="s">
        <v>792</v>
      </c>
      <c r="B544" s="602"/>
      <c r="C544" s="602"/>
      <c r="D544" s="602"/>
      <c r="E544" s="602"/>
      <c r="F544" s="218"/>
      <c r="G544" s="219" t="s">
        <v>474</v>
      </c>
      <c r="H544" s="285" t="s">
        <v>495</v>
      </c>
      <c r="I544" s="218"/>
      <c r="J544" s="218"/>
      <c r="K544" s="218"/>
      <c r="L544" s="218"/>
      <c r="M544" s="218"/>
      <c r="N544" s="218"/>
      <c r="O544" s="218"/>
      <c r="P544" s="218"/>
      <c r="Q544" s="219" t="s">
        <v>474</v>
      </c>
      <c r="R544" s="251">
        <v>45</v>
      </c>
      <c r="S544" s="218" t="s">
        <v>0</v>
      </c>
      <c r="T544" s="261"/>
      <c r="AA544" s="313"/>
    </row>
    <row r="545" spans="1:27" s="222" customFormat="1" hidden="1" x14ac:dyDescent="0.25">
      <c r="A545" s="602"/>
      <c r="B545" s="602"/>
      <c r="C545" s="602"/>
      <c r="D545" s="602"/>
      <c r="E545" s="602"/>
      <c r="F545" s="218"/>
      <c r="G545" s="219"/>
      <c r="H545" s="218"/>
      <c r="I545" s="218"/>
      <c r="J545" s="218"/>
      <c r="K545" s="218"/>
      <c r="L545" s="218"/>
      <c r="M545" s="218"/>
      <c r="N545" s="218"/>
      <c r="O545" s="218"/>
      <c r="P545" s="218"/>
      <c r="Q545" s="219"/>
      <c r="R545" s="221"/>
      <c r="S545" s="218"/>
      <c r="T545" s="218"/>
      <c r="AA545" s="313"/>
    </row>
    <row r="546" spans="1:27" s="222" customFormat="1" ht="18" hidden="1" x14ac:dyDescent="0.25">
      <c r="A546" s="218"/>
      <c r="B546" s="218"/>
      <c r="C546" s="218"/>
      <c r="D546" s="219"/>
      <c r="E546" s="220" t="s">
        <v>791</v>
      </c>
      <c r="F546" s="218"/>
      <c r="G546" s="219" t="s">
        <v>475</v>
      </c>
      <c r="H546" s="286" t="s">
        <v>793</v>
      </c>
      <c r="I546" s="218"/>
      <c r="J546" s="218"/>
      <c r="K546" s="218"/>
      <c r="L546" s="218"/>
      <c r="M546" s="218"/>
      <c r="N546" s="218"/>
      <c r="O546" s="218"/>
      <c r="P546" s="218"/>
      <c r="Q546" s="219" t="s">
        <v>475</v>
      </c>
      <c r="R546" s="251">
        <f>PI()/4*(0.5^2)</f>
        <v>0.19634954084936207</v>
      </c>
      <c r="S546" s="218" t="s">
        <v>328</v>
      </c>
      <c r="T546" s="218"/>
      <c r="AA546" s="313"/>
    </row>
    <row r="547" spans="1:27" s="222" customFormat="1" hidden="1" x14ac:dyDescent="0.25">
      <c r="A547" s="218"/>
      <c r="B547" s="218"/>
      <c r="C547" s="218"/>
      <c r="D547" s="219"/>
      <c r="E547" s="220"/>
      <c r="F547" s="218"/>
      <c r="G547" s="219"/>
      <c r="H547" s="218"/>
      <c r="I547" s="218"/>
      <c r="J547" s="218"/>
      <c r="K547" s="218"/>
      <c r="L547" s="218"/>
      <c r="M547" s="218"/>
      <c r="N547" s="218"/>
      <c r="O547" s="218"/>
      <c r="P547" s="218"/>
      <c r="Q547" s="219"/>
      <c r="R547" s="221"/>
      <c r="S547" s="218"/>
      <c r="T547" s="218"/>
      <c r="AA547" s="313"/>
    </row>
    <row r="548" spans="1:27" s="222" customFormat="1" ht="20.25" hidden="1" x14ac:dyDescent="0.25">
      <c r="A548" s="218"/>
      <c r="B548" s="218"/>
      <c r="C548" s="218"/>
      <c r="D548" s="219"/>
      <c r="E548" s="220" t="s">
        <v>477</v>
      </c>
      <c r="F548" s="218"/>
      <c r="G548" s="255" t="s">
        <v>476</v>
      </c>
      <c r="H548" s="241">
        <v>0.75</v>
      </c>
      <c r="I548" s="218"/>
      <c r="J548" s="218"/>
      <c r="K548" s="218"/>
      <c r="L548" s="218"/>
      <c r="M548" s="218"/>
      <c r="N548" s="218"/>
      <c r="O548" s="218"/>
      <c r="P548" s="218"/>
      <c r="Q548" s="255" t="s">
        <v>487</v>
      </c>
      <c r="R548" s="221">
        <v>0.75</v>
      </c>
      <c r="S548" s="218"/>
      <c r="T548" s="218"/>
      <c r="AA548" s="313"/>
    </row>
    <row r="549" spans="1:27" s="222" customFormat="1" hidden="1" x14ac:dyDescent="0.25">
      <c r="A549" s="218"/>
      <c r="B549" s="218"/>
      <c r="C549" s="218"/>
      <c r="D549" s="219"/>
      <c r="E549" s="220"/>
      <c r="F549" s="218"/>
      <c r="G549" s="255"/>
      <c r="H549" s="241"/>
      <c r="I549" s="218"/>
      <c r="J549" s="218"/>
      <c r="K549" s="218"/>
      <c r="L549" s="218"/>
      <c r="M549" s="218"/>
      <c r="N549" s="218"/>
      <c r="O549" s="218"/>
      <c r="P549" s="218"/>
      <c r="Q549" s="255"/>
      <c r="R549" s="221"/>
      <c r="S549" s="218"/>
      <c r="T549" s="218"/>
      <c r="AA549" s="313"/>
    </row>
    <row r="550" spans="1:27" s="222" customFormat="1" hidden="1" x14ac:dyDescent="0.25">
      <c r="B550" s="608" t="s">
        <v>797</v>
      </c>
      <c r="C550" s="608"/>
      <c r="D550" s="608"/>
      <c r="E550" s="608"/>
      <c r="F550" s="608"/>
      <c r="G550" s="608"/>
      <c r="H550" s="608"/>
      <c r="I550" s="608"/>
      <c r="J550" s="608"/>
      <c r="K550" s="608"/>
      <c r="L550" s="608"/>
      <c r="M550" s="608"/>
      <c r="N550" s="608"/>
      <c r="O550" s="608"/>
      <c r="P550" s="608"/>
      <c r="Q550" s="608"/>
      <c r="R550" s="608"/>
      <c r="S550" s="608"/>
      <c r="T550" s="608"/>
      <c r="AA550" s="313"/>
    </row>
    <row r="551" spans="1:27" s="222" customFormat="1" hidden="1" x14ac:dyDescent="0.25">
      <c r="A551" s="218"/>
      <c r="B551" s="218"/>
      <c r="C551" s="218"/>
      <c r="D551" s="219"/>
      <c r="E551" s="220"/>
      <c r="F551" s="218"/>
      <c r="G551" s="255"/>
      <c r="H551" s="241"/>
      <c r="I551" s="218"/>
      <c r="J551" s="218"/>
      <c r="K551" s="218"/>
      <c r="L551" s="218"/>
      <c r="M551" s="218"/>
      <c r="N551" s="218"/>
      <c r="O551" s="218"/>
      <c r="P551" s="218"/>
      <c r="Q551" s="255"/>
      <c r="R551" s="221"/>
      <c r="S551" s="218"/>
      <c r="T551" s="218"/>
      <c r="AA551" s="313"/>
    </row>
    <row r="552" spans="1:27" s="222" customFormat="1" ht="18" hidden="1" x14ac:dyDescent="0.25">
      <c r="A552" s="218"/>
      <c r="B552" s="218"/>
      <c r="C552" s="218"/>
      <c r="D552" s="219"/>
      <c r="E552" s="235" t="s">
        <v>798</v>
      </c>
      <c r="F552" s="218"/>
      <c r="G552" s="255"/>
      <c r="P552" s="234"/>
      <c r="Q552" s="222" t="s">
        <v>799</v>
      </c>
      <c r="R552" s="236">
        <f>360/$Q$20</f>
        <v>60</v>
      </c>
      <c r="S552" s="233" t="s">
        <v>778</v>
      </c>
      <c r="AA552" s="313"/>
    </row>
    <row r="553" spans="1:27" s="222" customFormat="1" hidden="1" x14ac:dyDescent="0.25">
      <c r="A553" s="218"/>
      <c r="B553" s="218"/>
      <c r="C553" s="218"/>
      <c r="D553" s="219"/>
      <c r="E553" s="220"/>
      <c r="F553" s="218"/>
      <c r="G553" s="255"/>
      <c r="AA553" s="313"/>
    </row>
    <row r="554" spans="1:27" s="222" customFormat="1" ht="18" hidden="1" x14ac:dyDescent="0.25">
      <c r="A554" s="218"/>
      <c r="B554" s="218"/>
      <c r="C554" s="218"/>
      <c r="D554" s="219"/>
      <c r="E554" s="235" t="s">
        <v>801</v>
      </c>
      <c r="F554" s="218"/>
      <c r="G554" s="255"/>
      <c r="Q554" s="222" t="s">
        <v>800</v>
      </c>
      <c r="R554" s="236">
        <f>360/$Q$24</f>
        <v>60</v>
      </c>
      <c r="S554" s="233" t="s">
        <v>778</v>
      </c>
      <c r="AA554" s="313"/>
    </row>
    <row r="555" spans="1:27" s="222" customFormat="1" hidden="1" x14ac:dyDescent="0.25">
      <c r="A555" s="218"/>
      <c r="B555" s="218"/>
      <c r="C555" s="218"/>
      <c r="D555" s="219"/>
      <c r="E555" s="220"/>
      <c r="F555" s="218"/>
      <c r="G555" s="255"/>
      <c r="AA555" s="313"/>
    </row>
    <row r="556" spans="1:27" s="222" customFormat="1" hidden="1" x14ac:dyDescent="0.25">
      <c r="A556" s="218"/>
      <c r="B556" s="218"/>
      <c r="C556" s="218"/>
      <c r="D556" s="219"/>
      <c r="E556" s="609" t="s">
        <v>332</v>
      </c>
      <c r="F556" s="610"/>
      <c r="G556" s="610"/>
      <c r="H556" s="610"/>
      <c r="I556" s="610"/>
      <c r="J556" s="611"/>
      <c r="K556" s="218"/>
      <c r="L556" s="609" t="s">
        <v>358</v>
      </c>
      <c r="M556" s="610"/>
      <c r="N556" s="610"/>
      <c r="O556" s="610"/>
      <c r="P556" s="610"/>
      <c r="Q556" s="611"/>
      <c r="AA556" s="313"/>
    </row>
    <row r="557" spans="1:27" s="222" customFormat="1" ht="60" hidden="1" x14ac:dyDescent="0.25">
      <c r="A557" s="218"/>
      <c r="B557" s="218"/>
      <c r="C557" s="218"/>
      <c r="D557" s="219"/>
      <c r="E557" s="288" t="s">
        <v>796</v>
      </c>
      <c r="F557" s="288" t="s">
        <v>802</v>
      </c>
      <c r="G557" s="288" t="s">
        <v>780</v>
      </c>
      <c r="H557" s="288" t="s">
        <v>242</v>
      </c>
      <c r="I557" s="288" t="s">
        <v>782</v>
      </c>
      <c r="J557" s="288" t="s">
        <v>781</v>
      </c>
      <c r="K557" s="221"/>
      <c r="L557" s="288" t="s">
        <v>796</v>
      </c>
      <c r="M557" s="288" t="s">
        <v>802</v>
      </c>
      <c r="N557" s="288" t="s">
        <v>780</v>
      </c>
      <c r="O557" s="288" t="s">
        <v>242</v>
      </c>
      <c r="P557" s="288" t="s">
        <v>782</v>
      </c>
      <c r="Q557" s="288" t="s">
        <v>781</v>
      </c>
      <c r="AA557" s="313"/>
    </row>
    <row r="558" spans="1:27" s="222" customFormat="1" hidden="1" x14ac:dyDescent="0.25">
      <c r="A558" s="218"/>
      <c r="B558" s="218"/>
      <c r="C558" s="218"/>
      <c r="D558" s="219"/>
      <c r="E558" s="289">
        <v>1</v>
      </c>
      <c r="F558" s="289">
        <f>IF($Q$22=1,(E558-1)*(360/$Q$20),$R$552/2)</f>
        <v>0</v>
      </c>
      <c r="G558" s="273">
        <f t="shared" ref="G558:G587" si="0">IF(E558="","",$Q$21/2*SIN(RADIANS(F558)))</f>
        <v>0</v>
      </c>
      <c r="H558" s="273">
        <f t="shared" ref="H558:H587" si="1">IF(E558="","",$Q$21/2*COS(RADIANS(F558)))</f>
        <v>6</v>
      </c>
      <c r="I558" s="289">
        <f t="shared" ref="I558:I587" si="2">IF(E558="","",IF(E558&lt;=$Q$40,1,0))</f>
        <v>1</v>
      </c>
      <c r="J558" s="273">
        <f>IF(E558="","",I558*H558)</f>
        <v>6</v>
      </c>
      <c r="K558" s="221"/>
      <c r="L558" s="289">
        <v>1</v>
      </c>
      <c r="M558" s="289">
        <f>IF($Q$26=1,(L558-1)*(360/$Q$24),$R$554/2)</f>
        <v>0</v>
      </c>
      <c r="N558" s="273">
        <f>IF(L558="","",$Q$25/2*SIN(RADIANS(M558)))</f>
        <v>0</v>
      </c>
      <c r="O558" s="273">
        <f t="shared" ref="O558:O587" si="3">IF(L558="","",$Q$25/2*COS(RADIANS(M558)))</f>
        <v>6</v>
      </c>
      <c r="P558" s="289">
        <f t="shared" ref="P558:P587" si="4">IF(L558="","",IF(L558&lt;=$Q$45,1,0))</f>
        <v>1</v>
      </c>
      <c r="Q558" s="273">
        <f>IF(L558="","",P558*O558)</f>
        <v>6</v>
      </c>
      <c r="AA558" s="313"/>
    </row>
    <row r="559" spans="1:27" s="222" customFormat="1" hidden="1" x14ac:dyDescent="0.25">
      <c r="A559" s="218"/>
      <c r="B559" s="218"/>
      <c r="C559" s="218"/>
      <c r="D559" s="219"/>
      <c r="E559" s="289">
        <f t="shared" ref="E559:E587" si="5">IFERROR(IF(E558+1&lt;=$Q$20,E558+1,""),"")</f>
        <v>2</v>
      </c>
      <c r="F559" s="289">
        <f>IF(E559="","",F558-$R$552)</f>
        <v>-60</v>
      </c>
      <c r="G559" s="273">
        <f t="shared" si="0"/>
        <v>-5.196152422706632</v>
      </c>
      <c r="H559" s="273">
        <f t="shared" si="1"/>
        <v>3.0000000000000009</v>
      </c>
      <c r="I559" s="289">
        <f t="shared" si="2"/>
        <v>1</v>
      </c>
      <c r="J559" s="273">
        <f t="shared" ref="J559:J587" si="6">IF(E559="","",I559*H559)</f>
        <v>3.0000000000000009</v>
      </c>
      <c r="K559" s="221"/>
      <c r="L559" s="289">
        <f t="shared" ref="L559:L587" si="7">IFERROR(IF(L558+1&lt;=$Q$24,L558+1,""),"")</f>
        <v>2</v>
      </c>
      <c r="M559" s="289">
        <f>IF(L559="","",M558-$R$554)</f>
        <v>-60</v>
      </c>
      <c r="N559" s="273">
        <f>IF(L559="","",$Q$25/2*SIN(RADIANS(M559)))</f>
        <v>-5.196152422706632</v>
      </c>
      <c r="O559" s="273">
        <f t="shared" si="3"/>
        <v>3.0000000000000009</v>
      </c>
      <c r="P559" s="289">
        <f t="shared" si="4"/>
        <v>1</v>
      </c>
      <c r="Q559" s="273">
        <f t="shared" ref="Q559:Q587" si="8">IF(L559="","",P559*O559)</f>
        <v>3.0000000000000009</v>
      </c>
      <c r="AA559" s="313"/>
    </row>
    <row r="560" spans="1:27" s="222" customFormat="1" hidden="1" x14ac:dyDescent="0.25">
      <c r="A560" s="218"/>
      <c r="B560" s="218"/>
      <c r="C560" s="218"/>
      <c r="D560" s="219"/>
      <c r="E560" s="289">
        <f t="shared" si="5"/>
        <v>3</v>
      </c>
      <c r="F560" s="289">
        <f>IF(E560="","",F558+$R$552)</f>
        <v>60</v>
      </c>
      <c r="G560" s="273">
        <f t="shared" si="0"/>
        <v>5.196152422706632</v>
      </c>
      <c r="H560" s="273">
        <f t="shared" si="1"/>
        <v>3.0000000000000009</v>
      </c>
      <c r="I560" s="289">
        <f t="shared" si="2"/>
        <v>1</v>
      </c>
      <c r="J560" s="273">
        <f t="shared" si="6"/>
        <v>3.0000000000000009</v>
      </c>
      <c r="K560" s="221"/>
      <c r="L560" s="289">
        <f t="shared" si="7"/>
        <v>3</v>
      </c>
      <c r="M560" s="289">
        <f>IF(L560="","",M558+$R$554)</f>
        <v>60</v>
      </c>
      <c r="N560" s="273">
        <f t="shared" ref="N560:N587" si="9">IF(L560="","",$Q$21/2*SIN(RADIANS(M560)))</f>
        <v>5.196152422706632</v>
      </c>
      <c r="O560" s="273">
        <f t="shared" si="3"/>
        <v>3.0000000000000009</v>
      </c>
      <c r="P560" s="289">
        <f t="shared" si="4"/>
        <v>1</v>
      </c>
      <c r="Q560" s="273">
        <f t="shared" si="8"/>
        <v>3.0000000000000009</v>
      </c>
      <c r="AA560" s="313"/>
    </row>
    <row r="561" spans="1:27" s="222" customFormat="1" hidden="1" x14ac:dyDescent="0.25">
      <c r="A561" s="218"/>
      <c r="B561" s="218"/>
      <c r="C561" s="218"/>
      <c r="D561" s="219"/>
      <c r="E561" s="289">
        <f t="shared" si="5"/>
        <v>4</v>
      </c>
      <c r="F561" s="289">
        <f>IF(E561="","",F559-$R$552)</f>
        <v>-120</v>
      </c>
      <c r="G561" s="273">
        <f t="shared" si="0"/>
        <v>-5.196152422706632</v>
      </c>
      <c r="H561" s="273">
        <f t="shared" si="1"/>
        <v>-2.9999999999999987</v>
      </c>
      <c r="I561" s="289">
        <f t="shared" si="2"/>
        <v>0</v>
      </c>
      <c r="J561" s="273">
        <f t="shared" si="6"/>
        <v>0</v>
      </c>
      <c r="K561" s="221"/>
      <c r="L561" s="289">
        <f t="shared" si="7"/>
        <v>4</v>
      </c>
      <c r="M561" s="289">
        <f>IF(L561="","",M559-$R$554)</f>
        <v>-120</v>
      </c>
      <c r="N561" s="273">
        <f t="shared" si="9"/>
        <v>-5.196152422706632</v>
      </c>
      <c r="O561" s="273">
        <f t="shared" si="3"/>
        <v>-2.9999999999999987</v>
      </c>
      <c r="P561" s="289">
        <f t="shared" si="4"/>
        <v>0</v>
      </c>
      <c r="Q561" s="273">
        <f t="shared" si="8"/>
        <v>0</v>
      </c>
      <c r="AA561" s="313"/>
    </row>
    <row r="562" spans="1:27" s="222" customFormat="1" hidden="1" x14ac:dyDescent="0.25">
      <c r="A562" s="218"/>
      <c r="B562" s="218"/>
      <c r="C562" s="218"/>
      <c r="D562" s="219"/>
      <c r="E562" s="289">
        <f t="shared" si="5"/>
        <v>5</v>
      </c>
      <c r="F562" s="289">
        <f>IF(E562="","",F560+$R$552)</f>
        <v>120</v>
      </c>
      <c r="G562" s="273">
        <f t="shared" si="0"/>
        <v>5.196152422706632</v>
      </c>
      <c r="H562" s="273">
        <f t="shared" si="1"/>
        <v>-2.9999999999999987</v>
      </c>
      <c r="I562" s="289">
        <f t="shared" si="2"/>
        <v>0</v>
      </c>
      <c r="J562" s="273">
        <f t="shared" si="6"/>
        <v>0</v>
      </c>
      <c r="K562" s="221"/>
      <c r="L562" s="289">
        <f t="shared" si="7"/>
        <v>5</v>
      </c>
      <c r="M562" s="289">
        <f>IF(L562="","",M560+$R$554)</f>
        <v>120</v>
      </c>
      <c r="N562" s="273">
        <f t="shared" si="9"/>
        <v>5.196152422706632</v>
      </c>
      <c r="O562" s="273">
        <f t="shared" si="3"/>
        <v>-2.9999999999999987</v>
      </c>
      <c r="P562" s="289">
        <f t="shared" si="4"/>
        <v>0</v>
      </c>
      <c r="Q562" s="273">
        <f t="shared" si="8"/>
        <v>0</v>
      </c>
      <c r="AA562" s="313"/>
    </row>
    <row r="563" spans="1:27" s="222" customFormat="1" hidden="1" x14ac:dyDescent="0.25">
      <c r="A563" s="218"/>
      <c r="B563" s="218"/>
      <c r="C563" s="218"/>
      <c r="D563" s="219"/>
      <c r="E563" s="289">
        <f t="shared" si="5"/>
        <v>6</v>
      </c>
      <c r="F563" s="289">
        <f>IF(E563="","",F561-$R$552)</f>
        <v>-180</v>
      </c>
      <c r="G563" s="273">
        <f t="shared" si="0"/>
        <v>-7.3508907294517201E-16</v>
      </c>
      <c r="H563" s="273">
        <f t="shared" si="1"/>
        <v>-6</v>
      </c>
      <c r="I563" s="289">
        <f t="shared" si="2"/>
        <v>0</v>
      </c>
      <c r="J563" s="273">
        <f t="shared" si="6"/>
        <v>0</v>
      </c>
      <c r="K563" s="221"/>
      <c r="L563" s="289">
        <f t="shared" si="7"/>
        <v>6</v>
      </c>
      <c r="M563" s="289">
        <f>IF(L563="","",M561-$R$554)</f>
        <v>-180</v>
      </c>
      <c r="N563" s="273">
        <f t="shared" si="9"/>
        <v>-7.3508907294517201E-16</v>
      </c>
      <c r="O563" s="273">
        <f t="shared" si="3"/>
        <v>-6</v>
      </c>
      <c r="P563" s="289">
        <f t="shared" si="4"/>
        <v>0</v>
      </c>
      <c r="Q563" s="273">
        <f t="shared" si="8"/>
        <v>0</v>
      </c>
      <c r="AA563" s="313"/>
    </row>
    <row r="564" spans="1:27" s="222" customFormat="1" hidden="1" x14ac:dyDescent="0.25">
      <c r="A564" s="218"/>
      <c r="B564" s="218"/>
      <c r="C564" s="218"/>
      <c r="D564" s="219"/>
      <c r="E564" s="289" t="str">
        <f t="shared" si="5"/>
        <v/>
      </c>
      <c r="F564" s="289" t="str">
        <f>IF(E564="","",F562+$R$552)</f>
        <v/>
      </c>
      <c r="G564" s="273" t="str">
        <f t="shared" si="0"/>
        <v/>
      </c>
      <c r="H564" s="273" t="str">
        <f t="shared" si="1"/>
        <v/>
      </c>
      <c r="I564" s="289" t="str">
        <f t="shared" si="2"/>
        <v/>
      </c>
      <c r="J564" s="273" t="str">
        <f t="shared" si="6"/>
        <v/>
      </c>
      <c r="K564" s="221"/>
      <c r="L564" s="289" t="str">
        <f t="shared" si="7"/>
        <v/>
      </c>
      <c r="M564" s="289" t="str">
        <f>IF(L564="","",M562+$R$554)</f>
        <v/>
      </c>
      <c r="N564" s="273" t="str">
        <f t="shared" si="9"/>
        <v/>
      </c>
      <c r="O564" s="273" t="str">
        <f t="shared" si="3"/>
        <v/>
      </c>
      <c r="P564" s="289" t="str">
        <f t="shared" si="4"/>
        <v/>
      </c>
      <c r="Q564" s="273" t="str">
        <f t="shared" si="8"/>
        <v/>
      </c>
      <c r="AA564" s="313"/>
    </row>
    <row r="565" spans="1:27" s="222" customFormat="1" hidden="1" x14ac:dyDescent="0.25">
      <c r="A565" s="218"/>
      <c r="B565" s="218"/>
      <c r="C565" s="218"/>
      <c r="D565" s="219"/>
      <c r="E565" s="289" t="str">
        <f t="shared" si="5"/>
        <v/>
      </c>
      <c r="F565" s="289" t="str">
        <f>IF(E565="","",F563-$R$552)</f>
        <v/>
      </c>
      <c r="G565" s="273" t="str">
        <f t="shared" si="0"/>
        <v/>
      </c>
      <c r="H565" s="273" t="str">
        <f t="shared" si="1"/>
        <v/>
      </c>
      <c r="I565" s="289" t="str">
        <f t="shared" si="2"/>
        <v/>
      </c>
      <c r="J565" s="273" t="str">
        <f t="shared" si="6"/>
        <v/>
      </c>
      <c r="K565" s="221"/>
      <c r="L565" s="289" t="str">
        <f t="shared" si="7"/>
        <v/>
      </c>
      <c r="M565" s="289" t="str">
        <f>IF(L565="","",M563-$R$554)</f>
        <v/>
      </c>
      <c r="N565" s="273" t="str">
        <f t="shared" si="9"/>
        <v/>
      </c>
      <c r="O565" s="273" t="str">
        <f t="shared" si="3"/>
        <v/>
      </c>
      <c r="P565" s="289" t="str">
        <f t="shared" si="4"/>
        <v/>
      </c>
      <c r="Q565" s="273" t="str">
        <f t="shared" si="8"/>
        <v/>
      </c>
      <c r="AA565" s="313"/>
    </row>
    <row r="566" spans="1:27" s="222" customFormat="1" hidden="1" x14ac:dyDescent="0.25">
      <c r="A566" s="218"/>
      <c r="B566" s="218"/>
      <c r="C566" s="218"/>
      <c r="D566" s="219"/>
      <c r="E566" s="289" t="str">
        <f t="shared" si="5"/>
        <v/>
      </c>
      <c r="F566" s="289" t="str">
        <f>IF(E566="","",F564+$R$552)</f>
        <v/>
      </c>
      <c r="G566" s="273" t="str">
        <f t="shared" si="0"/>
        <v/>
      </c>
      <c r="H566" s="273" t="str">
        <f t="shared" si="1"/>
        <v/>
      </c>
      <c r="I566" s="289" t="str">
        <f t="shared" si="2"/>
        <v/>
      </c>
      <c r="J566" s="273" t="str">
        <f t="shared" si="6"/>
        <v/>
      </c>
      <c r="K566" s="221"/>
      <c r="L566" s="289" t="str">
        <f t="shared" si="7"/>
        <v/>
      </c>
      <c r="M566" s="289" t="str">
        <f>IF(L566="","",M564+$R$554)</f>
        <v/>
      </c>
      <c r="N566" s="273" t="str">
        <f t="shared" si="9"/>
        <v/>
      </c>
      <c r="O566" s="273" t="str">
        <f t="shared" si="3"/>
        <v/>
      </c>
      <c r="P566" s="289" t="str">
        <f t="shared" si="4"/>
        <v/>
      </c>
      <c r="Q566" s="273" t="str">
        <f t="shared" si="8"/>
        <v/>
      </c>
      <c r="AA566" s="313"/>
    </row>
    <row r="567" spans="1:27" s="222" customFormat="1" hidden="1" x14ac:dyDescent="0.25">
      <c r="A567" s="218"/>
      <c r="B567" s="218"/>
      <c r="C567" s="218"/>
      <c r="D567" s="219"/>
      <c r="E567" s="289" t="str">
        <f t="shared" si="5"/>
        <v/>
      </c>
      <c r="F567" s="289" t="str">
        <f>IF(E567="","",F565-$R$552)</f>
        <v/>
      </c>
      <c r="G567" s="273" t="str">
        <f t="shared" si="0"/>
        <v/>
      </c>
      <c r="H567" s="273" t="str">
        <f t="shared" si="1"/>
        <v/>
      </c>
      <c r="I567" s="289" t="str">
        <f t="shared" si="2"/>
        <v/>
      </c>
      <c r="J567" s="273" t="str">
        <f t="shared" si="6"/>
        <v/>
      </c>
      <c r="K567" s="221"/>
      <c r="L567" s="289" t="str">
        <f t="shared" si="7"/>
        <v/>
      </c>
      <c r="M567" s="289" t="str">
        <f>IF(L567="","",M565-$R$554)</f>
        <v/>
      </c>
      <c r="N567" s="273" t="str">
        <f t="shared" si="9"/>
        <v/>
      </c>
      <c r="O567" s="273" t="str">
        <f t="shared" si="3"/>
        <v/>
      </c>
      <c r="P567" s="289" t="str">
        <f t="shared" si="4"/>
        <v/>
      </c>
      <c r="Q567" s="273" t="str">
        <f t="shared" si="8"/>
        <v/>
      </c>
      <c r="AA567" s="313"/>
    </row>
    <row r="568" spans="1:27" s="222" customFormat="1" hidden="1" x14ac:dyDescent="0.25">
      <c r="A568" s="218"/>
      <c r="B568" s="218"/>
      <c r="C568" s="218"/>
      <c r="D568" s="219"/>
      <c r="E568" s="289" t="str">
        <f t="shared" si="5"/>
        <v/>
      </c>
      <c r="F568" s="289" t="str">
        <f>IF(E568="","",F566+$R$552)</f>
        <v/>
      </c>
      <c r="G568" s="273" t="str">
        <f t="shared" si="0"/>
        <v/>
      </c>
      <c r="H568" s="273" t="str">
        <f t="shared" si="1"/>
        <v/>
      </c>
      <c r="I568" s="289" t="str">
        <f t="shared" si="2"/>
        <v/>
      </c>
      <c r="J568" s="273" t="str">
        <f t="shared" si="6"/>
        <v/>
      </c>
      <c r="K568" s="221"/>
      <c r="L568" s="289" t="str">
        <f t="shared" si="7"/>
        <v/>
      </c>
      <c r="M568" s="289" t="str">
        <f>IF(L568="","",M566+$R$554)</f>
        <v/>
      </c>
      <c r="N568" s="273" t="str">
        <f t="shared" si="9"/>
        <v/>
      </c>
      <c r="O568" s="273" t="str">
        <f t="shared" si="3"/>
        <v/>
      </c>
      <c r="P568" s="289" t="str">
        <f t="shared" si="4"/>
        <v/>
      </c>
      <c r="Q568" s="273" t="str">
        <f t="shared" si="8"/>
        <v/>
      </c>
      <c r="AA568" s="313"/>
    </row>
    <row r="569" spans="1:27" s="222" customFormat="1" hidden="1" x14ac:dyDescent="0.25">
      <c r="A569" s="218"/>
      <c r="B569" s="218"/>
      <c r="C569" s="218"/>
      <c r="D569" s="219"/>
      <c r="E569" s="289" t="str">
        <f t="shared" si="5"/>
        <v/>
      </c>
      <c r="F569" s="289" t="str">
        <f>IF(E569="","",F567-$R$552)</f>
        <v/>
      </c>
      <c r="G569" s="273" t="str">
        <f t="shared" si="0"/>
        <v/>
      </c>
      <c r="H569" s="273" t="str">
        <f t="shared" si="1"/>
        <v/>
      </c>
      <c r="I569" s="289" t="str">
        <f t="shared" si="2"/>
        <v/>
      </c>
      <c r="J569" s="273" t="str">
        <f t="shared" si="6"/>
        <v/>
      </c>
      <c r="K569" s="221"/>
      <c r="L569" s="289" t="str">
        <f t="shared" si="7"/>
        <v/>
      </c>
      <c r="M569" s="289" t="str">
        <f>IF(L569="","",M567-$R$554)</f>
        <v/>
      </c>
      <c r="N569" s="273" t="str">
        <f t="shared" si="9"/>
        <v/>
      </c>
      <c r="O569" s="273" t="str">
        <f t="shared" si="3"/>
        <v/>
      </c>
      <c r="P569" s="289" t="str">
        <f t="shared" si="4"/>
        <v/>
      </c>
      <c r="Q569" s="273" t="str">
        <f t="shared" si="8"/>
        <v/>
      </c>
      <c r="AA569" s="313"/>
    </row>
    <row r="570" spans="1:27" s="222" customFormat="1" hidden="1" x14ac:dyDescent="0.25">
      <c r="A570" s="218"/>
      <c r="B570" s="218"/>
      <c r="C570" s="218"/>
      <c r="D570" s="219"/>
      <c r="E570" s="289" t="str">
        <f t="shared" si="5"/>
        <v/>
      </c>
      <c r="F570" s="289" t="str">
        <f>IF(E570="","",F568+$R$552)</f>
        <v/>
      </c>
      <c r="G570" s="273" t="str">
        <f t="shared" si="0"/>
        <v/>
      </c>
      <c r="H570" s="273" t="str">
        <f t="shared" si="1"/>
        <v/>
      </c>
      <c r="I570" s="289" t="str">
        <f t="shared" si="2"/>
        <v/>
      </c>
      <c r="J570" s="273" t="str">
        <f t="shared" si="6"/>
        <v/>
      </c>
      <c r="K570" s="221"/>
      <c r="L570" s="289" t="str">
        <f t="shared" si="7"/>
        <v/>
      </c>
      <c r="M570" s="289" t="str">
        <f>IF(L570="","",M568+$R$554)</f>
        <v/>
      </c>
      <c r="N570" s="273" t="str">
        <f t="shared" si="9"/>
        <v/>
      </c>
      <c r="O570" s="273" t="str">
        <f t="shared" si="3"/>
        <v/>
      </c>
      <c r="P570" s="289" t="str">
        <f t="shared" si="4"/>
        <v/>
      </c>
      <c r="Q570" s="273" t="str">
        <f t="shared" si="8"/>
        <v/>
      </c>
      <c r="AA570" s="313"/>
    </row>
    <row r="571" spans="1:27" s="222" customFormat="1" hidden="1" x14ac:dyDescent="0.25">
      <c r="A571" s="218"/>
      <c r="B571" s="218"/>
      <c r="C571" s="218"/>
      <c r="D571" s="219"/>
      <c r="E571" s="289" t="str">
        <f t="shared" si="5"/>
        <v/>
      </c>
      <c r="F571" s="289" t="str">
        <f>IF(E571="","",F569-$R$552)</f>
        <v/>
      </c>
      <c r="G571" s="273" t="str">
        <f t="shared" si="0"/>
        <v/>
      </c>
      <c r="H571" s="273" t="str">
        <f t="shared" si="1"/>
        <v/>
      </c>
      <c r="I571" s="289" t="str">
        <f t="shared" si="2"/>
        <v/>
      </c>
      <c r="J571" s="273" t="str">
        <f t="shared" si="6"/>
        <v/>
      </c>
      <c r="K571" s="221"/>
      <c r="L571" s="289" t="str">
        <f t="shared" si="7"/>
        <v/>
      </c>
      <c r="M571" s="289" t="str">
        <f>IF(L571="","",M569-$R$554)</f>
        <v/>
      </c>
      <c r="N571" s="273" t="str">
        <f t="shared" si="9"/>
        <v/>
      </c>
      <c r="O571" s="273" t="str">
        <f t="shared" si="3"/>
        <v/>
      </c>
      <c r="P571" s="289" t="str">
        <f t="shared" si="4"/>
        <v/>
      </c>
      <c r="Q571" s="273" t="str">
        <f t="shared" si="8"/>
        <v/>
      </c>
      <c r="AA571" s="313"/>
    </row>
    <row r="572" spans="1:27" s="222" customFormat="1" hidden="1" x14ac:dyDescent="0.25">
      <c r="A572" s="218"/>
      <c r="B572" s="218"/>
      <c r="C572" s="218"/>
      <c r="D572" s="219"/>
      <c r="E572" s="289" t="str">
        <f t="shared" si="5"/>
        <v/>
      </c>
      <c r="F572" s="289" t="str">
        <f>IF(E572="","",F570+$R$552)</f>
        <v/>
      </c>
      <c r="G572" s="273" t="str">
        <f t="shared" si="0"/>
        <v/>
      </c>
      <c r="H572" s="273" t="str">
        <f t="shared" si="1"/>
        <v/>
      </c>
      <c r="I572" s="289" t="str">
        <f t="shared" si="2"/>
        <v/>
      </c>
      <c r="J572" s="273" t="str">
        <f t="shared" si="6"/>
        <v/>
      </c>
      <c r="K572" s="221"/>
      <c r="L572" s="289" t="str">
        <f t="shared" si="7"/>
        <v/>
      </c>
      <c r="M572" s="289" t="str">
        <f>IF(L572="","",M570+$R$554)</f>
        <v/>
      </c>
      <c r="N572" s="273" t="str">
        <f t="shared" si="9"/>
        <v/>
      </c>
      <c r="O572" s="273" t="str">
        <f t="shared" si="3"/>
        <v/>
      </c>
      <c r="P572" s="289" t="str">
        <f t="shared" si="4"/>
        <v/>
      </c>
      <c r="Q572" s="273" t="str">
        <f t="shared" si="8"/>
        <v/>
      </c>
      <c r="AA572" s="313"/>
    </row>
    <row r="573" spans="1:27" s="222" customFormat="1" hidden="1" x14ac:dyDescent="0.25">
      <c r="A573" s="218"/>
      <c r="B573" s="218"/>
      <c r="C573" s="218"/>
      <c r="D573" s="219"/>
      <c r="E573" s="289" t="str">
        <f t="shared" si="5"/>
        <v/>
      </c>
      <c r="F573" s="289" t="str">
        <f>IF(E573="","",F571-$R$552)</f>
        <v/>
      </c>
      <c r="G573" s="273" t="str">
        <f t="shared" si="0"/>
        <v/>
      </c>
      <c r="H573" s="273" t="str">
        <f t="shared" si="1"/>
        <v/>
      </c>
      <c r="I573" s="289" t="str">
        <f t="shared" si="2"/>
        <v/>
      </c>
      <c r="J573" s="273" t="str">
        <f t="shared" si="6"/>
        <v/>
      </c>
      <c r="K573" s="221"/>
      <c r="L573" s="289" t="str">
        <f t="shared" si="7"/>
        <v/>
      </c>
      <c r="M573" s="289" t="str">
        <f>IF(L573="","",M571-$R$554)</f>
        <v/>
      </c>
      <c r="N573" s="273" t="str">
        <f t="shared" si="9"/>
        <v/>
      </c>
      <c r="O573" s="273" t="str">
        <f t="shared" si="3"/>
        <v/>
      </c>
      <c r="P573" s="289" t="str">
        <f t="shared" si="4"/>
        <v/>
      </c>
      <c r="Q573" s="273" t="str">
        <f t="shared" si="8"/>
        <v/>
      </c>
      <c r="AA573" s="313"/>
    </row>
    <row r="574" spans="1:27" s="222" customFormat="1" hidden="1" x14ac:dyDescent="0.25">
      <c r="A574" s="218"/>
      <c r="B574" s="218"/>
      <c r="C574" s="218"/>
      <c r="D574" s="219"/>
      <c r="E574" s="289" t="str">
        <f t="shared" si="5"/>
        <v/>
      </c>
      <c r="F574" s="289" t="str">
        <f>IF(E574="","",F572+$R$552)</f>
        <v/>
      </c>
      <c r="G574" s="273" t="str">
        <f t="shared" si="0"/>
        <v/>
      </c>
      <c r="H574" s="273" t="str">
        <f t="shared" si="1"/>
        <v/>
      </c>
      <c r="I574" s="289" t="str">
        <f t="shared" si="2"/>
        <v/>
      </c>
      <c r="J574" s="273" t="str">
        <f t="shared" si="6"/>
        <v/>
      </c>
      <c r="K574" s="221"/>
      <c r="L574" s="289" t="str">
        <f t="shared" si="7"/>
        <v/>
      </c>
      <c r="M574" s="289" t="str">
        <f>IF(L574="","",M572+$R$554)</f>
        <v/>
      </c>
      <c r="N574" s="273" t="str">
        <f t="shared" si="9"/>
        <v/>
      </c>
      <c r="O574" s="273" t="str">
        <f t="shared" si="3"/>
        <v/>
      </c>
      <c r="P574" s="289" t="str">
        <f t="shared" si="4"/>
        <v/>
      </c>
      <c r="Q574" s="273" t="str">
        <f t="shared" si="8"/>
        <v/>
      </c>
      <c r="AA574" s="313"/>
    </row>
    <row r="575" spans="1:27" s="222" customFormat="1" hidden="1" x14ac:dyDescent="0.25">
      <c r="A575" s="218"/>
      <c r="B575" s="218"/>
      <c r="C575" s="218"/>
      <c r="D575" s="219"/>
      <c r="E575" s="289" t="str">
        <f t="shared" si="5"/>
        <v/>
      </c>
      <c r="F575" s="289" t="str">
        <f>IF(E575="","",F573-$R$552)</f>
        <v/>
      </c>
      <c r="G575" s="273" t="str">
        <f t="shared" si="0"/>
        <v/>
      </c>
      <c r="H575" s="273" t="str">
        <f t="shared" si="1"/>
        <v/>
      </c>
      <c r="I575" s="289" t="str">
        <f t="shared" si="2"/>
        <v/>
      </c>
      <c r="J575" s="273" t="str">
        <f t="shared" si="6"/>
        <v/>
      </c>
      <c r="K575" s="221"/>
      <c r="L575" s="289" t="str">
        <f t="shared" si="7"/>
        <v/>
      </c>
      <c r="M575" s="289" t="str">
        <f>IF(L575="","",M573-$R$554)</f>
        <v/>
      </c>
      <c r="N575" s="273" t="str">
        <f t="shared" si="9"/>
        <v/>
      </c>
      <c r="O575" s="273" t="str">
        <f t="shared" si="3"/>
        <v/>
      </c>
      <c r="P575" s="289" t="str">
        <f t="shared" si="4"/>
        <v/>
      </c>
      <c r="Q575" s="273" t="str">
        <f t="shared" si="8"/>
        <v/>
      </c>
      <c r="AA575" s="313"/>
    </row>
    <row r="576" spans="1:27" s="222" customFormat="1" hidden="1" x14ac:dyDescent="0.25">
      <c r="A576" s="218"/>
      <c r="B576" s="218"/>
      <c r="C576" s="218"/>
      <c r="D576" s="219"/>
      <c r="E576" s="289" t="str">
        <f t="shared" si="5"/>
        <v/>
      </c>
      <c r="F576" s="289" t="str">
        <f>IF(E576="","",F574+$R$552)</f>
        <v/>
      </c>
      <c r="G576" s="273" t="str">
        <f t="shared" si="0"/>
        <v/>
      </c>
      <c r="H576" s="273" t="str">
        <f t="shared" si="1"/>
        <v/>
      </c>
      <c r="I576" s="289" t="str">
        <f t="shared" si="2"/>
        <v/>
      </c>
      <c r="J576" s="273" t="str">
        <f t="shared" si="6"/>
        <v/>
      </c>
      <c r="K576" s="221"/>
      <c r="L576" s="289" t="str">
        <f t="shared" si="7"/>
        <v/>
      </c>
      <c r="M576" s="289" t="str">
        <f>IF(L576="","",M574+$R$554)</f>
        <v/>
      </c>
      <c r="N576" s="273" t="str">
        <f t="shared" si="9"/>
        <v/>
      </c>
      <c r="O576" s="273" t="str">
        <f t="shared" si="3"/>
        <v/>
      </c>
      <c r="P576" s="289" t="str">
        <f t="shared" si="4"/>
        <v/>
      </c>
      <c r="Q576" s="273" t="str">
        <f t="shared" si="8"/>
        <v/>
      </c>
      <c r="AA576" s="313"/>
    </row>
    <row r="577" spans="1:27" s="222" customFormat="1" hidden="1" x14ac:dyDescent="0.25">
      <c r="A577" s="218"/>
      <c r="B577" s="218"/>
      <c r="C577" s="218"/>
      <c r="D577" s="219"/>
      <c r="E577" s="289" t="str">
        <f t="shared" si="5"/>
        <v/>
      </c>
      <c r="F577" s="289" t="str">
        <f>IF(E577="","",F575-$R$552)</f>
        <v/>
      </c>
      <c r="G577" s="273" t="str">
        <f t="shared" si="0"/>
        <v/>
      </c>
      <c r="H577" s="273" t="str">
        <f t="shared" si="1"/>
        <v/>
      </c>
      <c r="I577" s="289" t="str">
        <f t="shared" si="2"/>
        <v/>
      </c>
      <c r="J577" s="273" t="str">
        <f t="shared" si="6"/>
        <v/>
      </c>
      <c r="K577" s="221"/>
      <c r="L577" s="289" t="str">
        <f t="shared" si="7"/>
        <v/>
      </c>
      <c r="M577" s="289" t="str">
        <f>IF(L577="","",M575-$R$554)</f>
        <v/>
      </c>
      <c r="N577" s="273" t="str">
        <f t="shared" si="9"/>
        <v/>
      </c>
      <c r="O577" s="273" t="str">
        <f t="shared" si="3"/>
        <v/>
      </c>
      <c r="P577" s="289" t="str">
        <f t="shared" si="4"/>
        <v/>
      </c>
      <c r="Q577" s="273" t="str">
        <f t="shared" si="8"/>
        <v/>
      </c>
      <c r="AA577" s="313"/>
    </row>
    <row r="578" spans="1:27" s="222" customFormat="1" hidden="1" x14ac:dyDescent="0.25">
      <c r="A578" s="218"/>
      <c r="B578" s="218"/>
      <c r="C578" s="218"/>
      <c r="D578" s="219"/>
      <c r="E578" s="289" t="str">
        <f t="shared" si="5"/>
        <v/>
      </c>
      <c r="F578" s="289" t="str">
        <f>IF(E578="","",F576+$R$552)</f>
        <v/>
      </c>
      <c r="G578" s="273" t="str">
        <f t="shared" si="0"/>
        <v/>
      </c>
      <c r="H578" s="273" t="str">
        <f t="shared" si="1"/>
        <v/>
      </c>
      <c r="I578" s="289" t="str">
        <f t="shared" si="2"/>
        <v/>
      </c>
      <c r="J578" s="273" t="str">
        <f t="shared" si="6"/>
        <v/>
      </c>
      <c r="K578" s="221"/>
      <c r="L578" s="289" t="str">
        <f t="shared" si="7"/>
        <v/>
      </c>
      <c r="M578" s="289" t="str">
        <f>IF(L578="","",M576+$R$554)</f>
        <v/>
      </c>
      <c r="N578" s="273" t="str">
        <f t="shared" si="9"/>
        <v/>
      </c>
      <c r="O578" s="273" t="str">
        <f t="shared" si="3"/>
        <v/>
      </c>
      <c r="P578" s="289" t="str">
        <f t="shared" si="4"/>
        <v/>
      </c>
      <c r="Q578" s="273" t="str">
        <f t="shared" si="8"/>
        <v/>
      </c>
      <c r="AA578" s="313"/>
    </row>
    <row r="579" spans="1:27" s="222" customFormat="1" hidden="1" x14ac:dyDescent="0.25">
      <c r="A579" s="218"/>
      <c r="B579" s="218"/>
      <c r="C579" s="218"/>
      <c r="D579" s="219"/>
      <c r="E579" s="289" t="str">
        <f t="shared" si="5"/>
        <v/>
      </c>
      <c r="F579" s="289" t="str">
        <f>IF(E579="","",F577-$R$552)</f>
        <v/>
      </c>
      <c r="G579" s="273" t="str">
        <f t="shared" si="0"/>
        <v/>
      </c>
      <c r="H579" s="273" t="str">
        <f t="shared" si="1"/>
        <v/>
      </c>
      <c r="I579" s="289" t="str">
        <f t="shared" si="2"/>
        <v/>
      </c>
      <c r="J579" s="273" t="str">
        <f t="shared" si="6"/>
        <v/>
      </c>
      <c r="K579" s="221"/>
      <c r="L579" s="289" t="str">
        <f t="shared" si="7"/>
        <v/>
      </c>
      <c r="M579" s="289" t="str">
        <f>IF(L579="","",M577-$R$554)</f>
        <v/>
      </c>
      <c r="N579" s="273" t="str">
        <f t="shared" si="9"/>
        <v/>
      </c>
      <c r="O579" s="273" t="str">
        <f t="shared" si="3"/>
        <v/>
      </c>
      <c r="P579" s="289" t="str">
        <f t="shared" si="4"/>
        <v/>
      </c>
      <c r="Q579" s="273" t="str">
        <f t="shared" si="8"/>
        <v/>
      </c>
      <c r="AA579" s="313"/>
    </row>
    <row r="580" spans="1:27" s="222" customFormat="1" hidden="1" x14ac:dyDescent="0.25">
      <c r="A580" s="218"/>
      <c r="B580" s="218"/>
      <c r="C580" s="218"/>
      <c r="D580" s="219"/>
      <c r="E580" s="289" t="str">
        <f t="shared" si="5"/>
        <v/>
      </c>
      <c r="F580" s="289" t="str">
        <f>IF(E580="","",F578+$R$552)</f>
        <v/>
      </c>
      <c r="G580" s="273" t="str">
        <f t="shared" si="0"/>
        <v/>
      </c>
      <c r="H580" s="273" t="str">
        <f t="shared" si="1"/>
        <v/>
      </c>
      <c r="I580" s="289" t="str">
        <f t="shared" si="2"/>
        <v/>
      </c>
      <c r="J580" s="273" t="str">
        <f t="shared" si="6"/>
        <v/>
      </c>
      <c r="K580" s="221"/>
      <c r="L580" s="289" t="str">
        <f t="shared" si="7"/>
        <v/>
      </c>
      <c r="M580" s="289" t="str">
        <f>IF(L580="","",M578+$R$554)</f>
        <v/>
      </c>
      <c r="N580" s="273" t="str">
        <f t="shared" si="9"/>
        <v/>
      </c>
      <c r="O580" s="273" t="str">
        <f t="shared" si="3"/>
        <v/>
      </c>
      <c r="P580" s="289" t="str">
        <f t="shared" si="4"/>
        <v/>
      </c>
      <c r="Q580" s="273" t="str">
        <f t="shared" si="8"/>
        <v/>
      </c>
      <c r="AA580" s="313"/>
    </row>
    <row r="581" spans="1:27" s="222" customFormat="1" hidden="1" x14ac:dyDescent="0.25">
      <c r="A581" s="218"/>
      <c r="B581" s="218"/>
      <c r="C581" s="218"/>
      <c r="D581" s="219"/>
      <c r="E581" s="289" t="str">
        <f t="shared" si="5"/>
        <v/>
      </c>
      <c r="F581" s="289" t="str">
        <f>IF(E581="","",F579-$R$552)</f>
        <v/>
      </c>
      <c r="G581" s="273" t="str">
        <f t="shared" si="0"/>
        <v/>
      </c>
      <c r="H581" s="273" t="str">
        <f t="shared" si="1"/>
        <v/>
      </c>
      <c r="I581" s="289" t="str">
        <f t="shared" si="2"/>
        <v/>
      </c>
      <c r="J581" s="273" t="str">
        <f t="shared" si="6"/>
        <v/>
      </c>
      <c r="K581" s="221"/>
      <c r="L581" s="289" t="str">
        <f t="shared" si="7"/>
        <v/>
      </c>
      <c r="M581" s="289" t="str">
        <f>IF(L581="","",M579-$R$554)</f>
        <v/>
      </c>
      <c r="N581" s="273" t="str">
        <f t="shared" si="9"/>
        <v/>
      </c>
      <c r="O581" s="273" t="str">
        <f t="shared" si="3"/>
        <v/>
      </c>
      <c r="P581" s="289" t="str">
        <f t="shared" si="4"/>
        <v/>
      </c>
      <c r="Q581" s="273" t="str">
        <f t="shared" si="8"/>
        <v/>
      </c>
      <c r="AA581" s="313"/>
    </row>
    <row r="582" spans="1:27" s="222" customFormat="1" hidden="1" x14ac:dyDescent="0.25">
      <c r="A582" s="218"/>
      <c r="B582" s="218"/>
      <c r="C582" s="218"/>
      <c r="D582" s="219"/>
      <c r="E582" s="289" t="str">
        <f t="shared" si="5"/>
        <v/>
      </c>
      <c r="F582" s="289" t="str">
        <f>IF(E582="","",F580+$R$552)</f>
        <v/>
      </c>
      <c r="G582" s="273" t="str">
        <f t="shared" si="0"/>
        <v/>
      </c>
      <c r="H582" s="273" t="str">
        <f t="shared" si="1"/>
        <v/>
      </c>
      <c r="I582" s="289" t="str">
        <f t="shared" si="2"/>
        <v/>
      </c>
      <c r="J582" s="273" t="str">
        <f t="shared" si="6"/>
        <v/>
      </c>
      <c r="K582" s="221"/>
      <c r="L582" s="289" t="str">
        <f t="shared" si="7"/>
        <v/>
      </c>
      <c r="M582" s="289" t="str">
        <f>IF(L582="","",M580+$R$554)</f>
        <v/>
      </c>
      <c r="N582" s="273" t="str">
        <f t="shared" si="9"/>
        <v/>
      </c>
      <c r="O582" s="273" t="str">
        <f t="shared" si="3"/>
        <v/>
      </c>
      <c r="P582" s="289" t="str">
        <f t="shared" si="4"/>
        <v/>
      </c>
      <c r="Q582" s="273" t="str">
        <f t="shared" si="8"/>
        <v/>
      </c>
      <c r="AA582" s="313"/>
    </row>
    <row r="583" spans="1:27" s="222" customFormat="1" hidden="1" x14ac:dyDescent="0.25">
      <c r="A583" s="218"/>
      <c r="B583" s="218"/>
      <c r="C583" s="218"/>
      <c r="D583" s="219"/>
      <c r="E583" s="289" t="str">
        <f t="shared" si="5"/>
        <v/>
      </c>
      <c r="F583" s="289" t="str">
        <f>IF(E583="","",F581-$R$552)</f>
        <v/>
      </c>
      <c r="G583" s="273" t="str">
        <f t="shared" si="0"/>
        <v/>
      </c>
      <c r="H583" s="273" t="str">
        <f t="shared" si="1"/>
        <v/>
      </c>
      <c r="I583" s="289" t="str">
        <f t="shared" si="2"/>
        <v/>
      </c>
      <c r="J583" s="273" t="str">
        <f t="shared" si="6"/>
        <v/>
      </c>
      <c r="K583" s="221"/>
      <c r="L583" s="289" t="str">
        <f t="shared" si="7"/>
        <v/>
      </c>
      <c r="M583" s="289" t="str">
        <f>IF(L583="","",M581-$R$554)</f>
        <v/>
      </c>
      <c r="N583" s="273" t="str">
        <f t="shared" si="9"/>
        <v/>
      </c>
      <c r="O583" s="273" t="str">
        <f t="shared" si="3"/>
        <v/>
      </c>
      <c r="P583" s="289" t="str">
        <f t="shared" si="4"/>
        <v/>
      </c>
      <c r="Q583" s="273" t="str">
        <f t="shared" si="8"/>
        <v/>
      </c>
      <c r="AA583" s="313"/>
    </row>
    <row r="584" spans="1:27" s="222" customFormat="1" hidden="1" x14ac:dyDescent="0.25">
      <c r="A584" s="218"/>
      <c r="B584" s="218"/>
      <c r="C584" s="218"/>
      <c r="D584" s="219"/>
      <c r="E584" s="289" t="str">
        <f t="shared" si="5"/>
        <v/>
      </c>
      <c r="F584" s="289" t="str">
        <f>IF(E584="","",F582+$R$552)</f>
        <v/>
      </c>
      <c r="G584" s="273" t="str">
        <f t="shared" si="0"/>
        <v/>
      </c>
      <c r="H584" s="273" t="str">
        <f t="shared" si="1"/>
        <v/>
      </c>
      <c r="I584" s="289" t="str">
        <f t="shared" si="2"/>
        <v/>
      </c>
      <c r="J584" s="273" t="str">
        <f t="shared" si="6"/>
        <v/>
      </c>
      <c r="K584" s="221"/>
      <c r="L584" s="289" t="str">
        <f t="shared" si="7"/>
        <v/>
      </c>
      <c r="M584" s="289" t="str">
        <f>IF(L584="","",M582+$R$554)</f>
        <v/>
      </c>
      <c r="N584" s="273" t="str">
        <f t="shared" si="9"/>
        <v/>
      </c>
      <c r="O584" s="273" t="str">
        <f t="shared" si="3"/>
        <v/>
      </c>
      <c r="P584" s="289" t="str">
        <f t="shared" si="4"/>
        <v/>
      </c>
      <c r="Q584" s="273" t="str">
        <f t="shared" si="8"/>
        <v/>
      </c>
      <c r="AA584" s="313"/>
    </row>
    <row r="585" spans="1:27" s="222" customFormat="1" hidden="1" x14ac:dyDescent="0.25">
      <c r="A585" s="218"/>
      <c r="B585" s="218"/>
      <c r="C585" s="218"/>
      <c r="D585" s="219"/>
      <c r="E585" s="289" t="str">
        <f t="shared" si="5"/>
        <v/>
      </c>
      <c r="F585" s="289" t="str">
        <f>IF(E585="","",F583-$R$552)</f>
        <v/>
      </c>
      <c r="G585" s="273" t="str">
        <f t="shared" si="0"/>
        <v/>
      </c>
      <c r="H585" s="273" t="str">
        <f t="shared" si="1"/>
        <v/>
      </c>
      <c r="I585" s="289" t="str">
        <f t="shared" si="2"/>
        <v/>
      </c>
      <c r="J585" s="273" t="str">
        <f t="shared" si="6"/>
        <v/>
      </c>
      <c r="K585" s="221"/>
      <c r="L585" s="289" t="str">
        <f t="shared" si="7"/>
        <v/>
      </c>
      <c r="M585" s="289" t="str">
        <f>IF(L585="","",M583-$R$554)</f>
        <v/>
      </c>
      <c r="N585" s="273" t="str">
        <f t="shared" si="9"/>
        <v/>
      </c>
      <c r="O585" s="273" t="str">
        <f t="shared" si="3"/>
        <v/>
      </c>
      <c r="P585" s="289" t="str">
        <f t="shared" si="4"/>
        <v/>
      </c>
      <c r="Q585" s="273" t="str">
        <f t="shared" si="8"/>
        <v/>
      </c>
      <c r="AA585" s="313"/>
    </row>
    <row r="586" spans="1:27" s="222" customFormat="1" hidden="1" x14ac:dyDescent="0.25">
      <c r="A586" s="218"/>
      <c r="B586" s="218"/>
      <c r="C586" s="218"/>
      <c r="D586" s="219"/>
      <c r="E586" s="289" t="str">
        <f t="shared" si="5"/>
        <v/>
      </c>
      <c r="F586" s="289" t="str">
        <f>IF(E586="","",F584+$R$552)</f>
        <v/>
      </c>
      <c r="G586" s="273" t="str">
        <f t="shared" si="0"/>
        <v/>
      </c>
      <c r="H586" s="273" t="str">
        <f t="shared" si="1"/>
        <v/>
      </c>
      <c r="I586" s="289" t="str">
        <f t="shared" si="2"/>
        <v/>
      </c>
      <c r="J586" s="273" t="str">
        <f t="shared" si="6"/>
        <v/>
      </c>
      <c r="K586" s="221"/>
      <c r="L586" s="289" t="str">
        <f t="shared" si="7"/>
        <v/>
      </c>
      <c r="M586" s="289" t="str">
        <f>IF(L586="","",M584+$R$554)</f>
        <v/>
      </c>
      <c r="N586" s="273" t="str">
        <f t="shared" si="9"/>
        <v/>
      </c>
      <c r="O586" s="273" t="str">
        <f t="shared" si="3"/>
        <v/>
      </c>
      <c r="P586" s="289" t="str">
        <f t="shared" si="4"/>
        <v/>
      </c>
      <c r="Q586" s="273" t="str">
        <f t="shared" si="8"/>
        <v/>
      </c>
      <c r="AA586" s="313"/>
    </row>
    <row r="587" spans="1:27" s="222" customFormat="1" hidden="1" x14ac:dyDescent="0.25">
      <c r="A587" s="218"/>
      <c r="B587" s="218"/>
      <c r="C587" s="218"/>
      <c r="D587" s="219"/>
      <c r="E587" s="289" t="str">
        <f t="shared" si="5"/>
        <v/>
      </c>
      <c r="F587" s="289" t="str">
        <f>IF(E587="","",F585-$R$552)</f>
        <v/>
      </c>
      <c r="G587" s="273" t="str">
        <f t="shared" si="0"/>
        <v/>
      </c>
      <c r="H587" s="273" t="str">
        <f t="shared" si="1"/>
        <v/>
      </c>
      <c r="I587" s="289" t="str">
        <f t="shared" si="2"/>
        <v/>
      </c>
      <c r="J587" s="273" t="str">
        <f t="shared" si="6"/>
        <v/>
      </c>
      <c r="K587" s="221"/>
      <c r="L587" s="289" t="str">
        <f t="shared" si="7"/>
        <v/>
      </c>
      <c r="M587" s="289" t="str">
        <f>IF(L587="","",M585-$R$554)</f>
        <v/>
      </c>
      <c r="N587" s="273" t="str">
        <f t="shared" si="9"/>
        <v/>
      </c>
      <c r="O587" s="273" t="str">
        <f t="shared" si="3"/>
        <v/>
      </c>
      <c r="P587" s="289" t="str">
        <f t="shared" si="4"/>
        <v/>
      </c>
      <c r="Q587" s="273" t="str">
        <f t="shared" si="8"/>
        <v/>
      </c>
      <c r="AA587" s="313"/>
    </row>
    <row r="588" spans="1:27" s="222" customFormat="1" hidden="1" x14ac:dyDescent="0.25">
      <c r="A588" s="218"/>
      <c r="B588" s="218"/>
      <c r="C588" s="218"/>
      <c r="D588" s="219"/>
      <c r="E588" s="220"/>
      <c r="F588" s="218"/>
      <c r="G588" s="255"/>
      <c r="AA588" s="313"/>
    </row>
    <row r="589" spans="1:27" hidden="1" x14ac:dyDescent="0.25">
      <c r="B589" s="608" t="s">
        <v>332</v>
      </c>
      <c r="C589" s="608"/>
      <c r="D589" s="608"/>
      <c r="E589" s="608"/>
      <c r="F589" s="608"/>
      <c r="G589" s="608"/>
      <c r="H589" s="608"/>
      <c r="I589" s="608"/>
      <c r="J589" s="608"/>
      <c r="K589" s="608"/>
      <c r="L589" s="608"/>
      <c r="M589" s="608"/>
      <c r="N589" s="608"/>
      <c r="O589" s="608"/>
      <c r="P589" s="608"/>
      <c r="Q589" s="608"/>
      <c r="R589" s="608"/>
      <c r="S589" s="608"/>
      <c r="T589" s="608"/>
    </row>
    <row r="591" spans="1:27" ht="18" hidden="1" x14ac:dyDescent="0.25">
      <c r="A591" s="602" t="s">
        <v>795</v>
      </c>
      <c r="B591" s="602"/>
      <c r="C591" s="602"/>
      <c r="D591" s="602"/>
      <c r="E591" s="602"/>
      <c r="G591" s="219" t="s">
        <v>656</v>
      </c>
      <c r="H591" s="290" t="s">
        <v>803</v>
      </c>
      <c r="Q591" s="219" t="s">
        <v>656</v>
      </c>
      <c r="R591" s="260" t="e">
        <f>MAX($J$558:$J$587)-Yrein</f>
        <v>#DIV/0!</v>
      </c>
      <c r="S591" s="218" t="s">
        <v>1</v>
      </c>
      <c r="T591" s="261"/>
    </row>
    <row r="592" spans="1:27" hidden="1" x14ac:dyDescent="0.25">
      <c r="A592" s="602"/>
      <c r="B592" s="602"/>
      <c r="C592" s="602"/>
      <c r="D592" s="602"/>
      <c r="E592" s="602"/>
      <c r="H592" s="253"/>
      <c r="T592" s="261"/>
    </row>
    <row r="593" spans="1:33" ht="18" hidden="1" x14ac:dyDescent="0.25">
      <c r="A593" s="602" t="s">
        <v>794</v>
      </c>
      <c r="B593" s="602"/>
      <c r="C593" s="602"/>
      <c r="D593" s="602"/>
      <c r="E593" s="602"/>
      <c r="G593" s="219" t="s">
        <v>657</v>
      </c>
      <c r="H593" s="290" t="s">
        <v>804</v>
      </c>
      <c r="Q593" s="219" t="s">
        <v>657</v>
      </c>
      <c r="R593" s="260" t="e">
        <f>MIN($J$558:$J$587)-Yrein</f>
        <v>#DIV/0!</v>
      </c>
      <c r="S593" s="218" t="s">
        <v>1</v>
      </c>
      <c r="T593" s="261"/>
    </row>
    <row r="594" spans="1:33" hidden="1" x14ac:dyDescent="0.25">
      <c r="A594" s="602"/>
      <c r="B594" s="602"/>
      <c r="C594" s="602"/>
      <c r="D594" s="602"/>
      <c r="E594" s="602"/>
    </row>
    <row r="595" spans="1:33" ht="18" hidden="1" x14ac:dyDescent="0.25">
      <c r="E595" s="220" t="s">
        <v>483</v>
      </c>
      <c r="G595" s="219" t="s">
        <v>658</v>
      </c>
      <c r="H595" s="218" t="s">
        <v>655</v>
      </c>
      <c r="Q595" s="219" t="s">
        <v>658</v>
      </c>
      <c r="R595" s="291" t="e">
        <f>Pmod_sp/nthreadedrod_bot</f>
        <v>#DIV/0!</v>
      </c>
      <c r="S595" s="218" t="s">
        <v>481</v>
      </c>
      <c r="T595" s="262"/>
    </row>
    <row r="597" spans="1:33" ht="18" hidden="1" x14ac:dyDescent="0.25">
      <c r="E597" s="220" t="s">
        <v>484</v>
      </c>
      <c r="G597" s="219" t="s">
        <v>659</v>
      </c>
      <c r="H597" s="218" t="s">
        <v>760</v>
      </c>
      <c r="Q597" s="219" t="s">
        <v>659</v>
      </c>
      <c r="R597" s="254" t="e">
        <f>Pthreadedrod_bot*(xarm_pos_bot+2*xarm_neg_bot)</f>
        <v>#DIV/0!</v>
      </c>
      <c r="S597" s="218" t="s">
        <v>482</v>
      </c>
    </row>
    <row r="599" spans="1:33" ht="18" hidden="1" x14ac:dyDescent="0.25">
      <c r="E599" s="220" t="s">
        <v>485</v>
      </c>
      <c r="G599" s="219" t="s">
        <v>660</v>
      </c>
      <c r="H599" s="218" t="s">
        <v>754</v>
      </c>
      <c r="Q599" s="219" t="s">
        <v>660</v>
      </c>
      <c r="R599" s="254" t="e">
        <f>ABS(Mthreadedrod_bot/ai)</f>
        <v>#DIV/0!</v>
      </c>
      <c r="S599" s="218" t="s">
        <v>480</v>
      </c>
    </row>
    <row r="601" spans="1:33" ht="20.25" hidden="1" x14ac:dyDescent="0.25">
      <c r="E601" s="220" t="s">
        <v>486</v>
      </c>
      <c r="G601" s="255" t="s">
        <v>488</v>
      </c>
      <c r="H601" s="218" t="s">
        <v>523</v>
      </c>
      <c r="Q601" s="255" t="s">
        <v>488</v>
      </c>
      <c r="R601" s="254">
        <f>2*(ΦUbolt*FntUbolt*Agross_Ubolt)</f>
        <v>13.253594007331939</v>
      </c>
      <c r="S601" s="218" t="s">
        <v>480</v>
      </c>
    </row>
    <row r="602" spans="1:33" hidden="1" x14ac:dyDescent="0.25">
      <c r="Y602" s="219"/>
      <c r="Z602" s="219"/>
      <c r="AF602" s="219"/>
      <c r="AG602" s="219"/>
    </row>
    <row r="603" spans="1:33" ht="20.25" hidden="1" x14ac:dyDescent="0.25">
      <c r="E603" s="266" t="s">
        <v>389</v>
      </c>
      <c r="H603" s="219" t="s">
        <v>660</v>
      </c>
      <c r="I603" s="271" t="e">
        <f>TUbolt_bot</f>
        <v>#DIV/0!</v>
      </c>
      <c r="J603" s="218" t="s">
        <v>480</v>
      </c>
      <c r="K603" s="270" t="s">
        <v>387</v>
      </c>
      <c r="L603" s="269"/>
      <c r="M603" s="255" t="s">
        <v>488</v>
      </c>
      <c r="N603" s="271">
        <f>ΦRnUbolt</f>
        <v>13.253594007331939</v>
      </c>
      <c r="O603" s="218" t="s">
        <v>480</v>
      </c>
      <c r="P603" s="269"/>
      <c r="Q603" s="267" t="s">
        <v>388</v>
      </c>
      <c r="R603" s="272" t="e">
        <f>I603/N603</f>
        <v>#DIV/0!</v>
      </c>
    </row>
    <row r="605" spans="1:33" hidden="1" x14ac:dyDescent="0.25">
      <c r="B605" s="608" t="s">
        <v>358</v>
      </c>
      <c r="C605" s="608"/>
      <c r="D605" s="608"/>
      <c r="E605" s="608"/>
      <c r="F605" s="608"/>
      <c r="G605" s="608"/>
      <c r="H605" s="608"/>
      <c r="I605" s="608"/>
      <c r="J605" s="608"/>
      <c r="K605" s="608"/>
      <c r="L605" s="608"/>
      <c r="M605" s="608"/>
      <c r="N605" s="608"/>
      <c r="O605" s="608"/>
      <c r="P605" s="608"/>
      <c r="Q605" s="608"/>
      <c r="R605" s="608"/>
      <c r="S605" s="608"/>
      <c r="T605" s="608"/>
    </row>
    <row r="607" spans="1:33" ht="18" hidden="1" customHeight="1" x14ac:dyDescent="0.25">
      <c r="B607" s="602" t="s">
        <v>478</v>
      </c>
      <c r="C607" s="602"/>
      <c r="D607" s="602"/>
      <c r="E607" s="602"/>
      <c r="G607" s="219" t="s">
        <v>755</v>
      </c>
      <c r="H607" s="290" t="s">
        <v>805</v>
      </c>
      <c r="Q607" s="219" t="s">
        <v>755</v>
      </c>
      <c r="R607" s="260" t="e">
        <f>MAX($Q$558:$Q$587)-Yrein</f>
        <v>#DIV/0!</v>
      </c>
      <c r="S607" s="218" t="s">
        <v>1</v>
      </c>
      <c r="T607" s="261"/>
    </row>
    <row r="608" spans="1:33" hidden="1" x14ac:dyDescent="0.25">
      <c r="A608" s="316"/>
      <c r="B608" s="602"/>
      <c r="C608" s="602"/>
      <c r="D608" s="602"/>
      <c r="E608" s="602"/>
      <c r="H608" s="253"/>
      <c r="T608" s="261"/>
    </row>
    <row r="609" spans="1:31" ht="18" hidden="1" customHeight="1" x14ac:dyDescent="0.25">
      <c r="B609" s="602" t="s">
        <v>479</v>
      </c>
      <c r="C609" s="602"/>
      <c r="D609" s="602"/>
      <c r="E609" s="602"/>
      <c r="G609" s="219" t="s">
        <v>756</v>
      </c>
      <c r="H609" s="290" t="s">
        <v>806</v>
      </c>
      <c r="Q609" s="219" t="s">
        <v>756</v>
      </c>
      <c r="R609" s="260" t="e">
        <f>MIN($Q$558:$Q$587)-Yrein</f>
        <v>#DIV/0!</v>
      </c>
      <c r="S609" s="218" t="s">
        <v>1</v>
      </c>
      <c r="T609" s="261"/>
    </row>
    <row r="610" spans="1:31" hidden="1" x14ac:dyDescent="0.25">
      <c r="A610" s="316"/>
      <c r="B610" s="602"/>
      <c r="C610" s="602"/>
      <c r="D610" s="602"/>
      <c r="E610" s="602"/>
    </row>
    <row r="611" spans="1:31" ht="18" hidden="1" x14ac:dyDescent="0.25">
      <c r="E611" s="220" t="s">
        <v>483</v>
      </c>
      <c r="G611" s="219" t="s">
        <v>757</v>
      </c>
      <c r="H611" s="218" t="s">
        <v>522</v>
      </c>
      <c r="Q611" s="219" t="s">
        <v>757</v>
      </c>
      <c r="R611" s="291" t="e">
        <f>Pmod_sp/nthreadedrod_top</f>
        <v>#DIV/0!</v>
      </c>
      <c r="S611" s="218" t="s">
        <v>481</v>
      </c>
      <c r="T611" s="262"/>
    </row>
    <row r="613" spans="1:31" ht="18" hidden="1" x14ac:dyDescent="0.25">
      <c r="E613" s="220" t="s">
        <v>484</v>
      </c>
      <c r="G613" s="219" t="s">
        <v>758</v>
      </c>
      <c r="H613" s="218" t="s">
        <v>761</v>
      </c>
      <c r="Q613" s="219" t="s">
        <v>758</v>
      </c>
      <c r="R613" s="254" t="e">
        <f>Pthreadedrod_top*(xarm_pos_top+2*xarm_neg_top)</f>
        <v>#DIV/0!</v>
      </c>
      <c r="S613" s="218" t="s">
        <v>482</v>
      </c>
    </row>
    <row r="615" spans="1:31" ht="18" hidden="1" x14ac:dyDescent="0.25">
      <c r="E615" s="220" t="s">
        <v>485</v>
      </c>
      <c r="G615" s="219" t="s">
        <v>759</v>
      </c>
      <c r="H615" s="218" t="s">
        <v>762</v>
      </c>
      <c r="Q615" s="219" t="s">
        <v>759</v>
      </c>
      <c r="R615" s="254" t="e">
        <f>ABS(Mthreadedrod_top/ai)</f>
        <v>#DIV/0!</v>
      </c>
      <c r="S615" s="218" t="s">
        <v>480</v>
      </c>
    </row>
    <row r="617" spans="1:31" ht="20.25" hidden="1" x14ac:dyDescent="0.25">
      <c r="E617" s="220" t="s">
        <v>486</v>
      </c>
      <c r="G617" s="255" t="s">
        <v>488</v>
      </c>
      <c r="H617" s="218" t="s">
        <v>523</v>
      </c>
      <c r="Q617" s="255" t="s">
        <v>488</v>
      </c>
      <c r="R617" s="254">
        <f>2*(ΦUbolt*FntUbolt*Agross_Ubolt)</f>
        <v>13.253594007331939</v>
      </c>
      <c r="S617" s="218" t="s">
        <v>480</v>
      </c>
    </row>
    <row r="619" spans="1:31" ht="20.25" hidden="1" x14ac:dyDescent="0.25">
      <c r="E619" s="266" t="s">
        <v>389</v>
      </c>
      <c r="H619" s="219" t="s">
        <v>766</v>
      </c>
      <c r="I619" s="271" t="e">
        <f>TUbolt_top</f>
        <v>#DIV/0!</v>
      </c>
      <c r="J619" s="218" t="s">
        <v>480</v>
      </c>
      <c r="K619" s="270" t="s">
        <v>387</v>
      </c>
      <c r="L619" s="269"/>
      <c r="M619" s="255" t="s">
        <v>488</v>
      </c>
      <c r="N619" s="271">
        <f>ΦRnUbolt</f>
        <v>13.253594007331939</v>
      </c>
      <c r="O619" s="218" t="s">
        <v>480</v>
      </c>
      <c r="P619" s="269"/>
      <c r="Q619" s="267" t="s">
        <v>388</v>
      </c>
      <c r="R619" s="272" t="e">
        <f>I619/N619</f>
        <v>#DIV/0!</v>
      </c>
    </row>
    <row r="621" spans="1:31" hidden="1" x14ac:dyDescent="0.25">
      <c r="A621" s="323">
        <f>ROW()</f>
        <v>621</v>
      </c>
    </row>
    <row r="622" spans="1:31" hidden="1" x14ac:dyDescent="0.25">
      <c r="B622" s="587" t="s">
        <v>860</v>
      </c>
      <c r="C622" s="587"/>
      <c r="D622" s="587"/>
      <c r="E622" s="587"/>
      <c r="F622" s="587"/>
      <c r="G622" s="587"/>
      <c r="H622" s="587"/>
      <c r="I622" s="587"/>
      <c r="J622" s="587"/>
      <c r="K622" s="587"/>
      <c r="L622" s="587"/>
      <c r="M622" s="587"/>
      <c r="N622" s="587"/>
      <c r="O622" s="587"/>
      <c r="P622" s="587"/>
      <c r="Q622" s="587"/>
      <c r="R622" s="587"/>
      <c r="S622" s="587"/>
      <c r="T622" s="587"/>
    </row>
    <row r="624" spans="1:31" hidden="1" x14ac:dyDescent="0.25">
      <c r="B624" s="608" t="s">
        <v>332</v>
      </c>
      <c r="C624" s="608"/>
      <c r="D624" s="608"/>
      <c r="E624" s="608"/>
      <c r="F624" s="608"/>
      <c r="G624" s="608"/>
      <c r="H624" s="608"/>
      <c r="I624" s="608"/>
      <c r="J624" s="608"/>
      <c r="K624" s="608"/>
      <c r="L624" s="608"/>
      <c r="M624" s="608"/>
      <c r="N624" s="608"/>
      <c r="O624" s="608"/>
      <c r="P624" s="608"/>
      <c r="Q624" s="608"/>
      <c r="R624" s="608"/>
      <c r="S624" s="608"/>
      <c r="T624" s="608"/>
      <c r="U624" s="582" t="s">
        <v>866</v>
      </c>
      <c r="V624" s="582"/>
      <c r="W624" s="582"/>
      <c r="X624" s="582"/>
      <c r="Y624" s="582"/>
      <c r="Z624" s="582"/>
      <c r="AA624" s="321"/>
      <c r="AB624" s="321"/>
      <c r="AC624" s="321"/>
      <c r="AD624" s="321"/>
      <c r="AE624" s="321"/>
    </row>
    <row r="625" spans="2:31" hidden="1" x14ac:dyDescent="0.25">
      <c r="U625" s="582"/>
      <c r="V625" s="582"/>
      <c r="W625" s="582"/>
      <c r="X625" s="582"/>
      <c r="Y625" s="582"/>
      <c r="Z625" s="582"/>
      <c r="AA625" s="321"/>
      <c r="AB625" s="321"/>
      <c r="AC625" s="321"/>
      <c r="AD625" s="321"/>
      <c r="AE625" s="321"/>
    </row>
    <row r="626" spans="2:31" ht="18" hidden="1" customHeight="1" x14ac:dyDescent="0.25">
      <c r="E626" s="220" t="s">
        <v>885</v>
      </c>
      <c r="G626" s="255" t="s">
        <v>861</v>
      </c>
      <c r="H626" s="218" t="s">
        <v>877</v>
      </c>
      <c r="Q626" s="255" t="s">
        <v>861</v>
      </c>
      <c r="R626" s="254" t="e">
        <f>(Pu_0mph*Lleg)/(Aleg*E)</f>
        <v>#DIV/0!</v>
      </c>
      <c r="S626" s="218" t="s">
        <v>1</v>
      </c>
      <c r="U626" s="583" t="s">
        <v>875</v>
      </c>
      <c r="V626" s="583"/>
      <c r="W626" s="583"/>
      <c r="X626" s="583"/>
      <c r="Y626" s="583"/>
      <c r="Z626" s="583"/>
      <c r="AA626" s="321"/>
      <c r="AB626" s="321"/>
      <c r="AC626" s="321"/>
      <c r="AD626" s="321"/>
      <c r="AE626" s="321"/>
    </row>
    <row r="627" spans="2:31" hidden="1" x14ac:dyDescent="0.25">
      <c r="U627" s="583"/>
      <c r="V627" s="583"/>
      <c r="W627" s="583"/>
      <c r="X627" s="583"/>
      <c r="Y627" s="583"/>
      <c r="Z627" s="583"/>
      <c r="AA627" s="321"/>
      <c r="AB627" s="321"/>
      <c r="AC627" s="321"/>
      <c r="AD627" s="321"/>
      <c r="AE627" s="321"/>
    </row>
    <row r="628" spans="2:31" ht="18" hidden="1" customHeight="1" x14ac:dyDescent="0.25">
      <c r="E628" s="220" t="s">
        <v>886</v>
      </c>
      <c r="G628" s="219" t="s">
        <v>865</v>
      </c>
      <c r="H628" s="218" t="s">
        <v>876</v>
      </c>
      <c r="Q628" s="219" t="s">
        <v>865</v>
      </c>
      <c r="R628" s="254" t="e">
        <f>Lleg-Lsp-δleg_deadload</f>
        <v>#DIV/0!</v>
      </c>
      <c r="S628" s="218" t="s">
        <v>1</v>
      </c>
      <c r="U628" s="583"/>
      <c r="V628" s="583"/>
      <c r="W628" s="583"/>
      <c r="X628" s="583"/>
      <c r="Y628" s="583"/>
      <c r="Z628" s="583"/>
      <c r="AA628" s="321"/>
      <c r="AB628" s="321"/>
      <c r="AC628" s="321"/>
      <c r="AD628" s="321"/>
      <c r="AE628" s="321"/>
    </row>
    <row r="629" spans="2:31" hidden="1" x14ac:dyDescent="0.25">
      <c r="U629" s="583"/>
      <c r="V629" s="583"/>
      <c r="W629" s="583"/>
      <c r="X629" s="583"/>
      <c r="Y629" s="583"/>
      <c r="Z629" s="583"/>
      <c r="AA629" s="321"/>
      <c r="AB629" s="321"/>
      <c r="AC629" s="321"/>
      <c r="AD629" s="321"/>
      <c r="AE629" s="321"/>
    </row>
    <row r="630" spans="2:31" ht="18" hidden="1" x14ac:dyDescent="0.25">
      <c r="E630" s="220" t="s">
        <v>887</v>
      </c>
      <c r="G630" s="255" t="s">
        <v>867</v>
      </c>
      <c r="H630" s="218" t="s">
        <v>878</v>
      </c>
      <c r="Q630" s="255" t="s">
        <v>867</v>
      </c>
      <c r="R630" s="254" t="e">
        <f>((Pu_0mph-(Pu_0mph*Aleg)/Atot)*Lleg)/(Aleg*E)</f>
        <v>#DIV/0!</v>
      </c>
      <c r="S630" s="218" t="s">
        <v>1</v>
      </c>
      <c r="U630" s="583"/>
      <c r="V630" s="583"/>
      <c r="W630" s="583"/>
      <c r="X630" s="583"/>
      <c r="Y630" s="583"/>
      <c r="Z630" s="583"/>
    </row>
    <row r="631" spans="2:31" hidden="1" x14ac:dyDescent="0.25">
      <c r="U631" s="583"/>
      <c r="V631" s="583"/>
      <c r="W631" s="583"/>
      <c r="X631" s="583"/>
      <c r="Y631" s="583"/>
      <c r="Z631" s="583"/>
    </row>
    <row r="632" spans="2:31" ht="18" hidden="1" x14ac:dyDescent="0.25">
      <c r="E632" s="220" t="s">
        <v>888</v>
      </c>
      <c r="G632" s="255" t="s">
        <v>868</v>
      </c>
      <c r="H632" s="218" t="s">
        <v>879</v>
      </c>
      <c r="Q632" s="255" t="s">
        <v>868</v>
      </c>
      <c r="R632" s="254" t="e">
        <f>((Pu_0mph*Arein)/Atot*Lleg)/(Arein*E)</f>
        <v>#DIV/0!</v>
      </c>
      <c r="S632" s="218" t="s">
        <v>1</v>
      </c>
      <c r="U632" s="583"/>
      <c r="V632" s="583"/>
      <c r="W632" s="583"/>
      <c r="X632" s="583"/>
      <c r="Y632" s="583"/>
      <c r="Z632" s="583"/>
    </row>
    <row r="633" spans="2:31" hidden="1" x14ac:dyDescent="0.25">
      <c r="U633" s="583"/>
      <c r="V633" s="583"/>
      <c r="W633" s="583"/>
      <c r="X633" s="583"/>
      <c r="Y633" s="583"/>
      <c r="Z633" s="583"/>
    </row>
    <row r="634" spans="2:31" hidden="1" x14ac:dyDescent="0.25">
      <c r="G634" s="255"/>
      <c r="Q634" s="255"/>
      <c r="R634" s="254"/>
      <c r="U634" s="583"/>
      <c r="V634" s="583"/>
      <c r="W634" s="583"/>
      <c r="X634" s="583"/>
      <c r="Y634" s="583"/>
      <c r="Z634" s="583"/>
    </row>
    <row r="635" spans="2:31" hidden="1" x14ac:dyDescent="0.25">
      <c r="U635" s="583"/>
      <c r="V635" s="583"/>
      <c r="W635" s="583"/>
      <c r="X635" s="583"/>
      <c r="Y635" s="583"/>
      <c r="Z635" s="583"/>
    </row>
    <row r="636" spans="2:31" hidden="1" x14ac:dyDescent="0.25">
      <c r="G636" s="255"/>
      <c r="Q636" s="255"/>
      <c r="R636" s="254"/>
      <c r="U636" s="583"/>
      <c r="V636" s="583"/>
      <c r="W636" s="583"/>
      <c r="X636" s="583"/>
      <c r="Y636" s="583"/>
      <c r="Z636" s="583"/>
    </row>
    <row r="637" spans="2:31" hidden="1" x14ac:dyDescent="0.25">
      <c r="U637" s="583"/>
      <c r="V637" s="583"/>
      <c r="W637" s="583"/>
      <c r="X637" s="583"/>
      <c r="Y637" s="583"/>
      <c r="Z637" s="583"/>
    </row>
    <row r="638" spans="2:31" ht="18" hidden="1" x14ac:dyDescent="0.25">
      <c r="B638" s="602" t="s">
        <v>891</v>
      </c>
      <c r="C638" s="602"/>
      <c r="D638" s="602"/>
      <c r="E638" s="602"/>
      <c r="G638" s="219" t="s">
        <v>869</v>
      </c>
      <c r="H638" s="320" t="s">
        <v>880</v>
      </c>
      <c r="Q638" s="219" t="s">
        <v>869</v>
      </c>
      <c r="R638" s="254">
        <v>1</v>
      </c>
      <c r="U638" s="583"/>
      <c r="V638" s="583"/>
      <c r="W638" s="583"/>
      <c r="X638" s="583"/>
      <c r="Y638" s="583"/>
      <c r="Z638" s="583"/>
    </row>
    <row r="639" spans="2:31" hidden="1" x14ac:dyDescent="0.25">
      <c r="B639" s="602"/>
      <c r="C639" s="602"/>
      <c r="D639" s="602"/>
      <c r="E639" s="602"/>
      <c r="U639" s="583"/>
      <c r="V639" s="583"/>
      <c r="W639" s="583"/>
      <c r="X639" s="583"/>
      <c r="Y639" s="583"/>
      <c r="Z639" s="583"/>
    </row>
    <row r="640" spans="2:31" hidden="1" x14ac:dyDescent="0.25">
      <c r="R640" s="254"/>
      <c r="U640" s="583"/>
      <c r="V640" s="583"/>
      <c r="W640" s="583"/>
      <c r="X640" s="583"/>
      <c r="Y640" s="583"/>
      <c r="Z640" s="583"/>
    </row>
    <row r="641" spans="2:26" hidden="1" x14ac:dyDescent="0.25">
      <c r="U641" s="583"/>
      <c r="V641" s="583"/>
      <c r="W641" s="583"/>
      <c r="X641" s="583"/>
      <c r="Y641" s="583"/>
      <c r="Z641" s="583"/>
    </row>
    <row r="642" spans="2:26" hidden="1" x14ac:dyDescent="0.25">
      <c r="Q642" s="249"/>
      <c r="R642" s="252"/>
      <c r="S642" s="250"/>
      <c r="U642" s="583"/>
      <c r="V642" s="583"/>
      <c r="W642" s="583"/>
      <c r="X642" s="583"/>
      <c r="Y642" s="583"/>
      <c r="Z642" s="583"/>
    </row>
    <row r="643" spans="2:26" hidden="1" x14ac:dyDescent="0.25">
      <c r="Q643" s="249"/>
      <c r="R643" s="251"/>
      <c r="S643" s="250"/>
      <c r="U643" s="583"/>
      <c r="V643" s="583"/>
      <c r="W643" s="583"/>
      <c r="X643" s="583"/>
      <c r="Y643" s="583"/>
      <c r="Z643" s="583"/>
    </row>
    <row r="644" spans="2:26" hidden="1" x14ac:dyDescent="0.25">
      <c r="Q644" s="249"/>
      <c r="R644" s="251"/>
      <c r="S644" s="250"/>
      <c r="U644" s="583"/>
      <c r="V644" s="583"/>
      <c r="W644" s="583"/>
      <c r="X644" s="583"/>
      <c r="Y644" s="583"/>
      <c r="Z644" s="583"/>
    </row>
    <row r="645" spans="2:26" hidden="1" x14ac:dyDescent="0.25">
      <c r="U645" s="583"/>
      <c r="V645" s="583"/>
      <c r="W645" s="583"/>
      <c r="X645" s="583"/>
      <c r="Y645" s="583"/>
      <c r="Z645" s="583"/>
    </row>
    <row r="646" spans="2:26" hidden="1" x14ac:dyDescent="0.25">
      <c r="B646" s="608" t="s">
        <v>358</v>
      </c>
      <c r="C646" s="608"/>
      <c r="D646" s="608"/>
      <c r="E646" s="608"/>
      <c r="F646" s="608"/>
      <c r="G646" s="608"/>
      <c r="H646" s="608"/>
      <c r="I646" s="608"/>
      <c r="J646" s="608"/>
      <c r="K646" s="608"/>
      <c r="L646" s="608"/>
      <c r="M646" s="608"/>
      <c r="N646" s="608"/>
      <c r="O646" s="608"/>
      <c r="P646" s="608"/>
      <c r="Q646" s="608"/>
      <c r="R646" s="608"/>
      <c r="S646" s="608"/>
      <c r="T646" s="608"/>
      <c r="U646" s="583"/>
      <c r="V646" s="583"/>
      <c r="W646" s="583"/>
      <c r="X646" s="583"/>
      <c r="Y646" s="583"/>
      <c r="Z646" s="583"/>
    </row>
    <row r="647" spans="2:26" hidden="1" x14ac:dyDescent="0.25">
      <c r="U647" s="583"/>
      <c r="V647" s="583"/>
      <c r="W647" s="583"/>
      <c r="X647" s="583"/>
      <c r="Y647" s="583"/>
      <c r="Z647" s="583"/>
    </row>
    <row r="648" spans="2:26" ht="18" hidden="1" x14ac:dyDescent="0.25">
      <c r="E648" s="220" t="s">
        <v>889</v>
      </c>
      <c r="G648" s="255" t="s">
        <v>870</v>
      </c>
      <c r="H648" s="218" t="s">
        <v>881</v>
      </c>
      <c r="Q648" s="255" t="s">
        <v>870</v>
      </c>
      <c r="R648" s="254" t="e">
        <f>2*((Pu_0mph*Arein)/Atot*Lbolt)/(Athreadedrod_net_top*E)</f>
        <v>#DIV/0!</v>
      </c>
      <c r="S648" s="218" t="s">
        <v>1</v>
      </c>
      <c r="U648" s="583"/>
      <c r="V648" s="583"/>
      <c r="W648" s="583"/>
      <c r="X648" s="583"/>
      <c r="Y648" s="583"/>
      <c r="Z648" s="583"/>
    </row>
    <row r="649" spans="2:26" hidden="1" x14ac:dyDescent="0.25">
      <c r="U649" s="583"/>
      <c r="V649" s="583"/>
      <c r="W649" s="583"/>
      <c r="X649" s="583"/>
      <c r="Y649" s="583"/>
      <c r="Z649" s="583"/>
    </row>
    <row r="650" spans="2:26" ht="18" hidden="1" x14ac:dyDescent="0.25">
      <c r="E650" s="220" t="s">
        <v>890</v>
      </c>
      <c r="G650" s="255" t="s">
        <v>871</v>
      </c>
      <c r="H650" s="218" t="s">
        <v>882</v>
      </c>
      <c r="Q650" s="255" t="s">
        <v>871</v>
      </c>
      <c r="R650" s="254" t="e">
        <f>δbolt_loadshare_top+δsp_loadshare+δleg_loadshare</f>
        <v>#DIV/0!</v>
      </c>
      <c r="S650" s="218" t="s">
        <v>1</v>
      </c>
      <c r="U650" s="583"/>
      <c r="V650" s="583"/>
      <c r="W650" s="583"/>
      <c r="X650" s="583"/>
      <c r="Y650" s="583"/>
      <c r="Z650" s="583"/>
    </row>
    <row r="651" spans="2:26" hidden="1" x14ac:dyDescent="0.25">
      <c r="U651" s="583"/>
      <c r="V651" s="583"/>
      <c r="W651" s="583"/>
      <c r="X651" s="583"/>
      <c r="Y651" s="583"/>
      <c r="Z651" s="583"/>
    </row>
    <row r="652" spans="2:26" ht="18" hidden="1" x14ac:dyDescent="0.25">
      <c r="G652" s="219" t="s">
        <v>872</v>
      </c>
      <c r="H652" s="218" t="s">
        <v>883</v>
      </c>
      <c r="Q652" s="219" t="s">
        <v>872</v>
      </c>
      <c r="R652" s="254">
        <f>dturn/nthreadedrod_threads_top</f>
        <v>0.16666666666666666</v>
      </c>
      <c r="U652" s="583"/>
      <c r="V652" s="583"/>
      <c r="W652" s="583"/>
      <c r="X652" s="583"/>
      <c r="Y652" s="583"/>
      <c r="Z652" s="583"/>
    </row>
    <row r="653" spans="2:26" hidden="1" x14ac:dyDescent="0.25">
      <c r="U653" s="583"/>
      <c r="V653" s="583"/>
      <c r="W653" s="583"/>
      <c r="X653" s="583"/>
      <c r="Y653" s="583"/>
      <c r="Z653" s="583"/>
    </row>
    <row r="654" spans="2:26" ht="18" hidden="1" x14ac:dyDescent="0.25">
      <c r="G654" s="219" t="s">
        <v>873</v>
      </c>
      <c r="H654" s="218" t="s">
        <v>884</v>
      </c>
      <c r="Q654" s="219" t="s">
        <v>873</v>
      </c>
      <c r="R654" s="254" t="e">
        <f>δtotal_top/Ratioturn_top</f>
        <v>#DIV/0!</v>
      </c>
      <c r="U654" s="583"/>
      <c r="V654" s="583"/>
      <c r="W654" s="583"/>
      <c r="X654" s="583"/>
      <c r="Y654" s="583"/>
      <c r="Z654" s="583"/>
    </row>
    <row r="655" spans="2:26" hidden="1" x14ac:dyDescent="0.25">
      <c r="U655" s="583"/>
      <c r="V655" s="583"/>
      <c r="W655" s="583"/>
      <c r="X655" s="583"/>
      <c r="Y655" s="583"/>
      <c r="Z655" s="583"/>
    </row>
    <row r="656" spans="2:26" ht="18" hidden="1" x14ac:dyDescent="0.25">
      <c r="E656" s="220" t="s">
        <v>892</v>
      </c>
      <c r="G656" s="219" t="s">
        <v>874</v>
      </c>
      <c r="H656" s="218" t="e">
        <f>IF(Rotationtop&lt;=1/3,"1/3 Turn",IF(Rotationtop&gt;=2/3,"2/3 Turn","Full Turn"))</f>
        <v>#DIV/0!</v>
      </c>
      <c r="Q656" s="219" t="s">
        <v>874</v>
      </c>
      <c r="R656" s="319" t="e">
        <f>IF(Rotationtop&lt;=1/3,"1/3 Turn",IF(Rotationtop&gt;=2/3,"2/3 Turn","Full Turn"))</f>
        <v>#DIV/0!</v>
      </c>
      <c r="U656" s="583"/>
      <c r="V656" s="583"/>
      <c r="W656" s="583"/>
      <c r="X656" s="583"/>
      <c r="Y656" s="583"/>
      <c r="Z656" s="583"/>
    </row>
    <row r="657" spans="1:27" hidden="1" x14ac:dyDescent="0.25">
      <c r="A657" s="323">
        <f>ROW()</f>
        <v>657</v>
      </c>
      <c r="U657" s="322"/>
      <c r="V657" s="322"/>
      <c r="W657" s="322"/>
      <c r="X657" s="322"/>
      <c r="Y657" s="322"/>
      <c r="Z657" s="322"/>
    </row>
    <row r="658" spans="1:27" x14ac:dyDescent="0.25">
      <c r="U658" s="322"/>
      <c r="V658" s="322"/>
      <c r="W658" s="322"/>
      <c r="X658" s="322"/>
      <c r="Y658" s="322"/>
      <c r="Z658" s="322"/>
    </row>
    <row r="659" spans="1:27" x14ac:dyDescent="0.25">
      <c r="B659" s="587" t="s">
        <v>820</v>
      </c>
      <c r="C659" s="587"/>
      <c r="D659" s="587"/>
      <c r="E659" s="587"/>
      <c r="F659" s="587"/>
      <c r="G659" s="587"/>
      <c r="H659" s="587"/>
      <c r="I659" s="587"/>
      <c r="J659" s="587"/>
      <c r="K659" s="587"/>
      <c r="L659" s="587"/>
      <c r="M659" s="587"/>
      <c r="N659" s="587"/>
      <c r="O659" s="587"/>
      <c r="P659" s="587"/>
      <c r="Q659" s="587"/>
      <c r="R659" s="587"/>
      <c r="S659" s="587"/>
      <c r="T659" s="587"/>
    </row>
    <row r="660" spans="1:27" s="253" customFormat="1" x14ac:dyDescent="0.25">
      <c r="A660" s="284"/>
      <c r="B660" s="284"/>
      <c r="C660" s="284"/>
      <c r="D660" s="284"/>
      <c r="E660" s="284"/>
      <c r="F660" s="284"/>
      <c r="G660" s="284"/>
      <c r="H660" s="284"/>
      <c r="I660" s="284"/>
      <c r="J660" s="284"/>
      <c r="K660" s="284"/>
      <c r="L660" s="284"/>
      <c r="M660" s="284"/>
      <c r="N660" s="284"/>
      <c r="O660" s="284"/>
      <c r="P660" s="284"/>
      <c r="Q660" s="284"/>
      <c r="R660" s="284"/>
      <c r="S660" s="284"/>
      <c r="T660" s="284"/>
      <c r="AA660" s="260"/>
    </row>
    <row r="661" spans="1:27" s="253" customFormat="1" ht="15" customHeight="1" x14ac:dyDescent="0.25">
      <c r="A661" s="284"/>
      <c r="B661" s="612" t="s">
        <v>821</v>
      </c>
      <c r="C661" s="612"/>
      <c r="D661" s="612"/>
      <c r="E661" s="612"/>
      <c r="F661" s="612"/>
      <c r="G661" s="612"/>
      <c r="H661" s="292"/>
      <c r="I661" s="292"/>
      <c r="J661" s="292"/>
      <c r="K661" s="292"/>
      <c r="L661" s="284"/>
      <c r="M661" s="284"/>
      <c r="N661" s="284"/>
      <c r="O661" s="284"/>
      <c r="P661" s="284"/>
      <c r="Q661" s="284"/>
      <c r="R661" s="284"/>
      <c r="S661" s="284"/>
      <c r="T661" s="284"/>
      <c r="AA661" s="260"/>
    </row>
    <row r="662" spans="1:27" ht="15" customHeight="1" x14ac:dyDescent="0.25">
      <c r="B662" s="613"/>
      <c r="C662" s="613"/>
      <c r="D662" s="613"/>
      <c r="E662" s="613"/>
      <c r="F662" s="613"/>
      <c r="G662" s="613"/>
      <c r="H662" s="292"/>
      <c r="I662" s="292"/>
      <c r="J662" s="292"/>
      <c r="K662" s="292"/>
    </row>
    <row r="663" spans="1:27" x14ac:dyDescent="0.25">
      <c r="B663" s="592" t="s">
        <v>22</v>
      </c>
      <c r="C663" s="592"/>
      <c r="D663" s="592"/>
      <c r="E663" s="592"/>
      <c r="F663" s="592"/>
      <c r="G663" s="592"/>
      <c r="H663" s="293"/>
      <c r="I663" s="293"/>
    </row>
    <row r="664" spans="1:27" x14ac:dyDescent="0.25">
      <c r="B664" s="603" t="s">
        <v>23</v>
      </c>
      <c r="C664" s="604"/>
      <c r="D664" s="605" t="str">
        <f>IF(Summary!E5="","",Summary!E5)</f>
        <v/>
      </c>
      <c r="E664" s="606"/>
      <c r="F664" s="606"/>
      <c r="G664" s="607"/>
      <c r="H664" s="215"/>
      <c r="I664" s="215"/>
    </row>
    <row r="665" spans="1:27" x14ac:dyDescent="0.25">
      <c r="B665" s="603" t="s">
        <v>24</v>
      </c>
      <c r="C665" s="604"/>
      <c r="D665" s="605" t="str">
        <f>IF(Summary!E6="","",Summary!E6)</f>
        <v/>
      </c>
      <c r="E665" s="606"/>
      <c r="F665" s="606"/>
      <c r="G665" s="607"/>
      <c r="H665" s="215"/>
      <c r="I665" s="215"/>
    </row>
    <row r="666" spans="1:27" x14ac:dyDescent="0.25">
      <c r="B666" s="603" t="s">
        <v>168</v>
      </c>
      <c r="C666" s="604"/>
      <c r="D666" s="605" t="str">
        <f>IF(Summary!E7="","",Summary!E7)</f>
        <v/>
      </c>
      <c r="E666" s="606"/>
      <c r="F666" s="606"/>
      <c r="G666" s="607"/>
      <c r="H666" s="215"/>
      <c r="I666" s="215"/>
    </row>
    <row r="667" spans="1:27" x14ac:dyDescent="0.25">
      <c r="B667" s="603" t="s">
        <v>127</v>
      </c>
      <c r="C667" s="604"/>
      <c r="D667" s="605" t="str">
        <f>IF(Summary!E8="","",Summary!E8)</f>
        <v/>
      </c>
      <c r="E667" s="606"/>
      <c r="F667" s="606"/>
      <c r="G667" s="607"/>
      <c r="H667" s="215"/>
      <c r="I667" s="215"/>
    </row>
    <row r="668" spans="1:27" s="253" customFormat="1" x14ac:dyDescent="0.25">
      <c r="B668" s="294"/>
      <c r="C668" s="294"/>
      <c r="D668" s="294"/>
      <c r="E668" s="214"/>
      <c r="F668" s="214"/>
      <c r="G668" s="214"/>
      <c r="H668" s="214"/>
      <c r="I668" s="214"/>
      <c r="Q668" s="279"/>
      <c r="R668" s="260"/>
      <c r="AA668" s="260"/>
    </row>
    <row r="669" spans="1:27" x14ac:dyDescent="0.25">
      <c r="B669" s="592" t="s">
        <v>788</v>
      </c>
      <c r="C669" s="592"/>
      <c r="D669" s="592"/>
      <c r="E669" s="592"/>
      <c r="F669" s="592"/>
      <c r="G669" s="592"/>
      <c r="H669" s="295"/>
    </row>
    <row r="670" spans="1:27" x14ac:dyDescent="0.25">
      <c r="B670" s="588" t="s">
        <v>785</v>
      </c>
      <c r="C670" s="588"/>
      <c r="D670" s="588"/>
      <c r="E670" s="588"/>
      <c r="F670" s="588"/>
      <c r="G670" s="588"/>
      <c r="H670" s="295"/>
    </row>
    <row r="671" spans="1:27" x14ac:dyDescent="0.25">
      <c r="B671" s="589" t="s">
        <v>779</v>
      </c>
      <c r="C671" s="590"/>
      <c r="D671" s="590"/>
      <c r="E671" s="591"/>
      <c r="F671" s="314">
        <f>Q20</f>
        <v>6</v>
      </c>
      <c r="G671" s="296"/>
      <c r="H671" s="295"/>
    </row>
    <row r="672" spans="1:27" x14ac:dyDescent="0.25">
      <c r="B672" s="589" t="s">
        <v>345</v>
      </c>
      <c r="C672" s="590"/>
      <c r="D672" s="590"/>
      <c r="E672" s="591"/>
      <c r="F672" s="314">
        <f>Q21</f>
        <v>12</v>
      </c>
      <c r="G672" s="296" t="s">
        <v>1</v>
      </c>
      <c r="H672" s="295"/>
      <c r="Q672" s="269"/>
      <c r="R672" s="267"/>
      <c r="T672" s="269"/>
    </row>
    <row r="673" spans="2:21" x14ac:dyDescent="0.25">
      <c r="B673" s="589" t="s">
        <v>784</v>
      </c>
      <c r="C673" s="590"/>
      <c r="D673" s="590"/>
      <c r="E673" s="591"/>
      <c r="F673" s="314">
        <f>Q22</f>
        <v>1</v>
      </c>
      <c r="G673" s="296"/>
      <c r="H673" s="295"/>
    </row>
    <row r="674" spans="2:21" x14ac:dyDescent="0.25">
      <c r="B674" s="588" t="s">
        <v>786</v>
      </c>
      <c r="C674" s="588"/>
      <c r="D674" s="588"/>
      <c r="E674" s="588"/>
      <c r="F674" s="588"/>
      <c r="G674" s="588"/>
      <c r="H674" s="295"/>
    </row>
    <row r="675" spans="2:21" x14ac:dyDescent="0.25">
      <c r="B675" s="589" t="s">
        <v>779</v>
      </c>
      <c r="C675" s="590"/>
      <c r="D675" s="590"/>
      <c r="E675" s="591"/>
      <c r="F675" s="314">
        <f>Q24</f>
        <v>6</v>
      </c>
      <c r="G675" s="296"/>
      <c r="H675" s="295"/>
    </row>
    <row r="676" spans="2:21" x14ac:dyDescent="0.25">
      <c r="B676" s="589" t="s">
        <v>345</v>
      </c>
      <c r="C676" s="590"/>
      <c r="D676" s="590"/>
      <c r="E676" s="591"/>
      <c r="F676" s="314">
        <f>Q25</f>
        <v>12</v>
      </c>
      <c r="G676" s="296" t="s">
        <v>1</v>
      </c>
      <c r="H676" s="295"/>
      <c r="I676" s="596" t="s">
        <v>807</v>
      </c>
      <c r="J676" s="597"/>
      <c r="K676" s="597"/>
      <c r="L676" s="597"/>
      <c r="M676" s="597"/>
      <c r="N676" s="597"/>
      <c r="O676" s="597"/>
      <c r="P676" s="598"/>
    </row>
    <row r="677" spans="2:21" x14ac:dyDescent="0.25">
      <c r="B677" s="589" t="s">
        <v>784</v>
      </c>
      <c r="C677" s="590"/>
      <c r="D677" s="590"/>
      <c r="E677" s="591"/>
      <c r="F677" s="314">
        <f>Q26</f>
        <v>1</v>
      </c>
      <c r="G677" s="296"/>
      <c r="H677" s="295"/>
      <c r="I677" s="599"/>
      <c r="J677" s="600"/>
      <c r="K677" s="600"/>
      <c r="L677" s="601"/>
      <c r="M677" s="300" t="s">
        <v>137</v>
      </c>
      <c r="N677" s="300" t="s">
        <v>809</v>
      </c>
      <c r="O677" s="300" t="str">
        <f>IF(AND(Summary!$U$1=TRUE,TIA="H"),"Rating","Rating")</f>
        <v>Rating</v>
      </c>
      <c r="P677" s="300" t="s">
        <v>819</v>
      </c>
    </row>
    <row r="678" spans="2:21" x14ac:dyDescent="0.25">
      <c r="B678" s="297"/>
      <c r="C678" s="297"/>
      <c r="D678" s="298"/>
      <c r="E678" s="299"/>
      <c r="F678" s="297"/>
      <c r="G678" s="298"/>
      <c r="H678" s="295"/>
      <c r="I678" s="593" t="s">
        <v>785</v>
      </c>
      <c r="J678" s="594"/>
      <c r="K678" s="594"/>
      <c r="L678" s="594"/>
      <c r="M678" s="594"/>
      <c r="N678" s="594"/>
      <c r="O678" s="594"/>
      <c r="P678" s="595"/>
      <c r="Q678" s="278"/>
      <c r="S678" s="269"/>
    </row>
    <row r="679" spans="2:21" x14ac:dyDescent="0.25">
      <c r="B679" s="592" t="s">
        <v>790</v>
      </c>
      <c r="C679" s="592"/>
      <c r="D679" s="592"/>
      <c r="E679" s="592"/>
      <c r="F679" s="592"/>
      <c r="G679" s="592"/>
      <c r="H679" s="295"/>
      <c r="I679" s="618" t="s">
        <v>808</v>
      </c>
      <c r="J679" s="619"/>
      <c r="K679" s="619"/>
      <c r="L679" s="619"/>
      <c r="M679" s="619"/>
      <c r="N679" s="619"/>
      <c r="O679" s="619"/>
      <c r="P679" s="620"/>
      <c r="Q679" s="269"/>
    </row>
    <row r="680" spans="2:21" x14ac:dyDescent="0.25">
      <c r="B680" s="593" t="s">
        <v>785</v>
      </c>
      <c r="C680" s="594"/>
      <c r="D680" s="594"/>
      <c r="E680" s="594"/>
      <c r="F680" s="594"/>
      <c r="G680" s="595"/>
      <c r="H680" s="295"/>
      <c r="I680" s="584" t="s">
        <v>814</v>
      </c>
      <c r="J680" s="585"/>
      <c r="K680" s="585"/>
      <c r="L680" s="586"/>
      <c r="M680" s="302">
        <f>ΦPnthreadedrod_bot</f>
        <v>349.12735738896276</v>
      </c>
      <c r="N680" s="302" t="e">
        <f>Pmod_sp</f>
        <v>#DIV/0!</v>
      </c>
      <c r="O680" s="324" t="e">
        <f>IF(AND(Summary!$U$1=TRUE,TIA="H"),(N680/M680)/1,(N680/M680))</f>
        <v>#DIV/0!</v>
      </c>
      <c r="P680" s="352" t="e">
        <f>IF(AND(Summary!$U$1=TRUE,TIA="H"),IF(O680&lt;=1,"Pass","FAIL"),IF(O680&lt;=1,"Pass",IF(O680&lt;=1.05,"Acceptable","Fail")))</f>
        <v>#DIV/0!</v>
      </c>
    </row>
    <row r="681" spans="2:21" x14ac:dyDescent="0.25">
      <c r="B681" s="589" t="s">
        <v>540</v>
      </c>
      <c r="C681" s="590"/>
      <c r="D681" s="590"/>
      <c r="E681" s="591"/>
      <c r="F681" s="314" t="str">
        <f>Q38</f>
        <v>1-3/8"</v>
      </c>
      <c r="G681" s="296"/>
      <c r="H681" s="295"/>
      <c r="I681" s="621" t="s">
        <v>810</v>
      </c>
      <c r="J681" s="622"/>
      <c r="K681" s="622"/>
      <c r="L681" s="622"/>
      <c r="M681" s="622"/>
      <c r="N681" s="622"/>
      <c r="O681" s="622"/>
      <c r="P681" s="623"/>
    </row>
    <row r="682" spans="2:21" x14ac:dyDescent="0.25">
      <c r="B682" s="589" t="s">
        <v>544</v>
      </c>
      <c r="C682" s="590"/>
      <c r="D682" s="590"/>
      <c r="E682" s="591"/>
      <c r="F682" s="314" t="str">
        <f>Q39</f>
        <v>A193 B7</v>
      </c>
      <c r="G682" s="296"/>
      <c r="H682" s="295"/>
      <c r="I682" s="584" t="s">
        <v>815</v>
      </c>
      <c r="J682" s="585"/>
      <c r="K682" s="585"/>
      <c r="L682" s="586"/>
      <c r="M682" s="302">
        <f>ΦRnweld_bot</f>
        <v>11.136931803688125</v>
      </c>
      <c r="N682" s="302" t="e">
        <f>ru_bot</f>
        <v>#DIV/0!</v>
      </c>
      <c r="O682" s="324" t="e">
        <f>IF(AND(Summary!$U$1=TRUE,TIA="H"),(N682/M682)/1,(N682/M682))</f>
        <v>#DIV/0!</v>
      </c>
      <c r="P682" s="300" t="e">
        <f>IF(AND(Summary!$U$1=TRUE,TIA="H"),IF(O682&lt;=1,"Pass","FAIL"),IF(O682&lt;=1,"Pass",IF(O682&lt;=1.05,"Acceptable","Fail")))</f>
        <v>#DIV/0!</v>
      </c>
      <c r="Q682" s="301"/>
      <c r="R682" s="261"/>
      <c r="S682" s="263"/>
      <c r="T682" s="261"/>
      <c r="U682" s="261"/>
    </row>
    <row r="683" spans="2:21" x14ac:dyDescent="0.25">
      <c r="B683" s="589" t="s">
        <v>341</v>
      </c>
      <c r="C683" s="590"/>
      <c r="D683" s="590"/>
      <c r="E683" s="591"/>
      <c r="F683" s="314">
        <f>Q40</f>
        <v>3</v>
      </c>
      <c r="G683" s="296"/>
      <c r="H683" s="295"/>
      <c r="I683" s="584" t="s">
        <v>816</v>
      </c>
      <c r="J683" s="585"/>
      <c r="K683" s="585"/>
      <c r="L683" s="586"/>
      <c r="M683" s="302">
        <f>ΦRnweld_tens_bot</f>
        <v>11.136931803688125</v>
      </c>
      <c r="N683" s="302" t="e">
        <f>ru_tens_bot</f>
        <v>#DIV/0!</v>
      </c>
      <c r="O683" s="324" t="e">
        <f>IF(AND(Summary!$U$1=TRUE,TIA="H"),(N683/M683)/1,(N683/M683))</f>
        <v>#DIV/0!</v>
      </c>
      <c r="P683" s="300" t="e">
        <f>IF(AND(Summary!$U$1=TRUE,TIA="H"),IF(O683&lt;=1,"Pass","FAIL"),IF(O683&lt;=1,"Pass",IF(O683&lt;=1.05,"Acceptable","Fail")))</f>
        <v>#DIV/0!</v>
      </c>
      <c r="Q683" s="263"/>
      <c r="R683" s="261"/>
    </row>
    <row r="684" spans="2:21" x14ac:dyDescent="0.25">
      <c r="B684" s="589" t="s">
        <v>346</v>
      </c>
      <c r="C684" s="590"/>
      <c r="D684" s="590"/>
      <c r="E684" s="591"/>
      <c r="F684" s="314">
        <f>Q41</f>
        <v>12</v>
      </c>
      <c r="G684" s="296" t="s">
        <v>1</v>
      </c>
      <c r="H684" s="295"/>
      <c r="I684" s="584" t="s">
        <v>817</v>
      </c>
      <c r="J684" s="585"/>
      <c r="K684" s="585"/>
      <c r="L684" s="586"/>
      <c r="M684" s="302">
        <f>ΦRnweld_h_bot</f>
        <v>77.958522625816869</v>
      </c>
      <c r="N684" s="302" t="e">
        <f>rh_bot</f>
        <v>#DIV/0!</v>
      </c>
      <c r="O684" s="324" t="e">
        <f>IF(AND(Summary!$U$1=TRUE,TIA="H"),(N684/M684)/1,(N684/M684))</f>
        <v>#DIV/0!</v>
      </c>
      <c r="P684" s="300" t="e">
        <f>IF(AND(Summary!$U$1=TRUE,TIA="H"),IF(O684&lt;=1,"Pass","FAIL"),IF(O684&lt;=1,"Pass",IF(O684&lt;=1.05,"Acceptable","Fail")))</f>
        <v>#DIV/0!</v>
      </c>
    </row>
    <row r="685" spans="2:21" x14ac:dyDescent="0.25">
      <c r="B685" s="593" t="s">
        <v>786</v>
      </c>
      <c r="C685" s="594"/>
      <c r="D685" s="594"/>
      <c r="E685" s="594"/>
      <c r="F685" s="594"/>
      <c r="G685" s="595"/>
      <c r="H685" s="295"/>
      <c r="I685" s="584" t="s">
        <v>818</v>
      </c>
      <c r="J685" s="585"/>
      <c r="K685" s="585"/>
      <c r="L685" s="586"/>
      <c r="M685" s="302">
        <f>ΦRnweld_h_bot</f>
        <v>77.958522625816869</v>
      </c>
      <c r="N685" s="302" t="e">
        <f>rh_tens_v_bot</f>
        <v>#DIV/0!</v>
      </c>
      <c r="O685" s="324" t="e">
        <f>IF(AND(Summary!$U$1=TRUE,TIA="H"),(N685/M685)/1,(N685/M685))</f>
        <v>#DIV/0!</v>
      </c>
      <c r="P685" s="300" t="e">
        <f>IF(AND(Summary!$U$1=TRUE,TIA="H"),IF(O685&lt;=1,"Pass","FAIL"),IF(O685&lt;=1,"Pass",IF(O685&lt;=1.05,"Acceptable","Fail")))</f>
        <v>#DIV/0!</v>
      </c>
    </row>
    <row r="686" spans="2:21" x14ac:dyDescent="0.25">
      <c r="B686" s="589" t="s">
        <v>540</v>
      </c>
      <c r="C686" s="590"/>
      <c r="D686" s="590"/>
      <c r="E686" s="591"/>
      <c r="F686" s="314" t="str">
        <f>Q43</f>
        <v>1-3/8"</v>
      </c>
      <c r="G686" s="296"/>
      <c r="H686" s="295"/>
      <c r="I686" s="584" t="s">
        <v>898</v>
      </c>
      <c r="J686" s="585"/>
      <c r="K686" s="585"/>
      <c r="L686" s="586"/>
      <c r="M686" s="325" t="s">
        <v>813</v>
      </c>
      <c r="N686" s="325" t="s">
        <v>813</v>
      </c>
      <c r="O686" s="324" t="e">
        <f>IF(AND(Summary!U1=TRUE,TIA="H"),Interaction_stiffenerlength_bot/1,Interaction_stiffenerlength_bot)</f>
        <v>#DIV/0!</v>
      </c>
      <c r="P686" s="300" t="e">
        <f>IF(AND(Summary!$U$1=TRUE,TIA="H"),IF(O686&lt;=1,"Pass","FAIL"),IF(O686&lt;=1,"Pass",IF(O686&lt;=1.05,"Acceptable","Fail")))</f>
        <v>#DIV/0!</v>
      </c>
      <c r="R686" s="218"/>
      <c r="S686" s="221"/>
    </row>
    <row r="687" spans="2:21" x14ac:dyDescent="0.25">
      <c r="B687" s="589" t="s">
        <v>544</v>
      </c>
      <c r="C687" s="590"/>
      <c r="D687" s="590"/>
      <c r="E687" s="591"/>
      <c r="F687" s="314" t="str">
        <f>Q44</f>
        <v>A193 B7</v>
      </c>
      <c r="G687" s="296"/>
      <c r="H687" s="295"/>
      <c r="I687" s="584" t="s">
        <v>899</v>
      </c>
      <c r="J687" s="585"/>
      <c r="K687" s="585"/>
      <c r="L687" s="586"/>
      <c r="M687" s="325" t="s">
        <v>813</v>
      </c>
      <c r="N687" s="325" t="s">
        <v>813</v>
      </c>
      <c r="O687" s="324" t="e">
        <f>IF(AND(Summary!U2=TRUE,TIA="H"),Interaction_stiffenerheight_bot/1,Interaction_stiffenerheight_bot)</f>
        <v>#DIV/0!</v>
      </c>
      <c r="P687" s="300" t="e">
        <f>IF(AND(Summary!$U$1=TRUE,TIA="H"),IF(O687&lt;=1,"Pass","FAIL"),IF(O687&lt;=1,"Pass",IF(O687&lt;=1.05,"Acceptable","Fail")))</f>
        <v>#DIV/0!</v>
      </c>
    </row>
    <row r="688" spans="2:21" x14ac:dyDescent="0.25">
      <c r="B688" s="589" t="s">
        <v>341</v>
      </c>
      <c r="C688" s="590"/>
      <c r="D688" s="590"/>
      <c r="E688" s="591"/>
      <c r="F688" s="314">
        <f>Q45</f>
        <v>3</v>
      </c>
      <c r="G688" s="296"/>
      <c r="H688" s="295"/>
      <c r="I688" s="624" t="s">
        <v>900</v>
      </c>
      <c r="J688" s="624"/>
      <c r="K688" s="624"/>
      <c r="L688" s="624"/>
      <c r="M688" s="326">
        <f>ΦRnUbolt</f>
        <v>13.253594007331939</v>
      </c>
      <c r="N688" s="326" t="e">
        <f>TUbolt_bot</f>
        <v>#DIV/0!</v>
      </c>
      <c r="O688" s="324" t="e">
        <f>IF(AND(Summary!$U$1=TRUE,TIA="H"),(N688/M688)/1,(N688/M688))</f>
        <v>#DIV/0!</v>
      </c>
      <c r="P688" s="300" t="e">
        <f>IF(AND(Summary!$U$1=TRUE,TIA="H"),IF(O688&lt;=1,"Pass","FAIL"),IF(O688&lt;=1,"Pass",IF(O688&lt;=1.05,"Acceptable","Fail")))</f>
        <v>#DIV/0!</v>
      </c>
    </row>
    <row r="689" spans="2:16" x14ac:dyDescent="0.25">
      <c r="B689" s="589" t="s">
        <v>346</v>
      </c>
      <c r="C689" s="590"/>
      <c r="D689" s="590"/>
      <c r="E689" s="591"/>
      <c r="F689" s="314">
        <f>Q46</f>
        <v>12</v>
      </c>
      <c r="G689" s="296" t="s">
        <v>1</v>
      </c>
      <c r="H689" s="295"/>
      <c r="I689" s="593" t="s">
        <v>786</v>
      </c>
      <c r="J689" s="594"/>
      <c r="K689" s="594"/>
      <c r="L689" s="594"/>
      <c r="M689" s="594"/>
      <c r="N689" s="594"/>
      <c r="O689" s="594"/>
      <c r="P689" s="595"/>
    </row>
    <row r="690" spans="2:16" x14ac:dyDescent="0.25">
      <c r="B690" s="297"/>
      <c r="C690" s="297"/>
      <c r="D690" s="298"/>
      <c r="E690" s="299"/>
      <c r="F690" s="297"/>
      <c r="G690" s="298"/>
      <c r="H690" s="295"/>
      <c r="I690" s="618" t="s">
        <v>808</v>
      </c>
      <c r="J690" s="619"/>
      <c r="K690" s="619"/>
      <c r="L690" s="619"/>
      <c r="M690" s="619"/>
      <c r="N690" s="619"/>
      <c r="O690" s="619"/>
      <c r="P690" s="620"/>
    </row>
    <row r="691" spans="2:16" x14ac:dyDescent="0.25">
      <c r="B691" s="592" t="s">
        <v>789</v>
      </c>
      <c r="C691" s="592"/>
      <c r="D691" s="592"/>
      <c r="E691" s="592"/>
      <c r="F691" s="592"/>
      <c r="G691" s="592"/>
      <c r="H691" s="295"/>
      <c r="I691" s="584" t="s">
        <v>814</v>
      </c>
      <c r="J691" s="585"/>
      <c r="K691" s="585"/>
      <c r="L691" s="586"/>
      <c r="M691" s="302">
        <f>ΦPnthreadedrod_top</f>
        <v>349.12735738896276</v>
      </c>
      <c r="N691" s="302" t="e">
        <f>Pmod_sp</f>
        <v>#DIV/0!</v>
      </c>
      <c r="O691" s="324" t="e">
        <f>IF(AND(Summary!$U$1=TRUE,TIA="H"),(N691/M691)/1,(N691/M691))</f>
        <v>#DIV/0!</v>
      </c>
      <c r="P691" s="300" t="e">
        <f>IF(AND(Summary!$U$1=TRUE,TIA="H"),IF(O691&lt;=1,"Pass","FAIL"),IF(O691&lt;=1,"Pass",IF(O691&lt;=1.05,"Acceptable","Fail")))</f>
        <v>#DIV/0!</v>
      </c>
    </row>
    <row r="692" spans="2:16" x14ac:dyDescent="0.25">
      <c r="B692" s="593" t="s">
        <v>785</v>
      </c>
      <c r="C692" s="594"/>
      <c r="D692" s="594"/>
      <c r="E692" s="594"/>
      <c r="F692" s="594"/>
      <c r="G692" s="595"/>
      <c r="H692" s="295"/>
      <c r="I692" s="621" t="s">
        <v>810</v>
      </c>
      <c r="J692" s="622"/>
      <c r="K692" s="622"/>
      <c r="L692" s="622"/>
      <c r="M692" s="622"/>
      <c r="N692" s="622"/>
      <c r="O692" s="622"/>
      <c r="P692" s="623"/>
    </row>
    <row r="693" spans="2:16" x14ac:dyDescent="0.25">
      <c r="B693" s="589" t="s">
        <v>399</v>
      </c>
      <c r="C693" s="590"/>
      <c r="D693" s="590"/>
      <c r="E693" s="591"/>
      <c r="F693" s="314">
        <f>Q60</f>
        <v>8</v>
      </c>
      <c r="G693" s="296" t="s">
        <v>1</v>
      </c>
      <c r="H693" s="295"/>
      <c r="I693" s="584" t="s">
        <v>815</v>
      </c>
      <c r="J693" s="585"/>
      <c r="K693" s="585"/>
      <c r="L693" s="586"/>
      <c r="M693" s="302">
        <f>ΦRnweld_top</f>
        <v>11.136931803688125</v>
      </c>
      <c r="N693" s="302" t="e">
        <f>ru_top</f>
        <v>#DIV/0!</v>
      </c>
      <c r="O693" s="324" t="e">
        <f>IF(AND(Summary!$U$1=TRUE,TIA="H"),(N693/M693)/1,(N693/M693))</f>
        <v>#DIV/0!</v>
      </c>
      <c r="P693" s="300" t="e">
        <f>IF(AND(Summary!$U$1=TRUE,TIA="H"),IF(O693&lt;=1,"Pass","FAIL"),IF(O693&lt;=1,"Pass",IF(O693&lt;=1.05,"Acceptable","Fail")))</f>
        <v>#DIV/0!</v>
      </c>
    </row>
    <row r="694" spans="2:16" x14ac:dyDescent="0.25">
      <c r="B694" s="589" t="s">
        <v>401</v>
      </c>
      <c r="C694" s="590"/>
      <c r="D694" s="590"/>
      <c r="E694" s="591"/>
      <c r="F694" s="314">
        <f>Q61</f>
        <v>4</v>
      </c>
      <c r="G694" s="296" t="s">
        <v>1</v>
      </c>
      <c r="H694" s="295"/>
      <c r="I694" s="584" t="s">
        <v>816</v>
      </c>
      <c r="J694" s="585"/>
      <c r="K694" s="585"/>
      <c r="L694" s="586"/>
      <c r="M694" s="302">
        <f>ΦRnweld_tens_top</f>
        <v>11.136931803688125</v>
      </c>
      <c r="N694" s="302" t="e">
        <f>ru_tens_top</f>
        <v>#DIV/0!</v>
      </c>
      <c r="O694" s="324" t="e">
        <f>IF(AND(Summary!$U$1=TRUE,TIA="H"),(N694/M694)/1,(N694/M694))</f>
        <v>#DIV/0!</v>
      </c>
      <c r="P694" s="300" t="e">
        <f>IF(AND(Summary!$U$1=TRUE,TIA="H"),IF(O694&lt;=1,"Pass","FAIL"),IF(O694&lt;=1,"Pass",IF(O694&lt;=1.05,"Acceptable","Fail")))</f>
        <v>#DIV/0!</v>
      </c>
    </row>
    <row r="695" spans="2:16" x14ac:dyDescent="0.25">
      <c r="B695" s="589" t="s">
        <v>777</v>
      </c>
      <c r="C695" s="590"/>
      <c r="D695" s="590"/>
      <c r="E695" s="591"/>
      <c r="F695" s="314">
        <f>Q62</f>
        <v>8</v>
      </c>
      <c r="G695" s="296" t="s">
        <v>414</v>
      </c>
      <c r="H695" s="295"/>
      <c r="I695" s="584" t="s">
        <v>817</v>
      </c>
      <c r="J695" s="585"/>
      <c r="K695" s="585"/>
      <c r="L695" s="586"/>
      <c r="M695" s="302">
        <f>ΦRnweld_h_top</f>
        <v>77.958522625816869</v>
      </c>
      <c r="N695" s="302" t="e">
        <f>rh_top</f>
        <v>#DIV/0!</v>
      </c>
      <c r="O695" s="324" t="e">
        <f>IF(AND(Summary!$U$1=TRUE,TIA="H"),(N695/M695)/1,(N695/M695))</f>
        <v>#DIV/0!</v>
      </c>
      <c r="P695" s="300" t="e">
        <f>IF(AND(Summary!$U$1=TRUE,TIA="H"),IF(O695&lt;=1,"Pass","FAIL"),IF(O695&lt;=1,"Pass",IF(O695&lt;=1.05,"Acceptable","Fail")))</f>
        <v>#DIV/0!</v>
      </c>
    </row>
    <row r="696" spans="2:16" x14ac:dyDescent="0.25">
      <c r="B696" s="589" t="s">
        <v>413</v>
      </c>
      <c r="C696" s="590"/>
      <c r="D696" s="590"/>
      <c r="E696" s="591"/>
      <c r="F696" s="314">
        <f>Q63</f>
        <v>70</v>
      </c>
      <c r="G696" s="296" t="s">
        <v>0</v>
      </c>
      <c r="H696" s="295"/>
      <c r="I696" s="584" t="s">
        <v>818</v>
      </c>
      <c r="J696" s="585"/>
      <c r="K696" s="585"/>
      <c r="L696" s="586"/>
      <c r="M696" s="302">
        <f>ΦRnweld_h_top</f>
        <v>77.958522625816869</v>
      </c>
      <c r="N696" s="302" t="e">
        <f>rh_tens_v_top</f>
        <v>#DIV/0!</v>
      </c>
      <c r="O696" s="324" t="e">
        <f>IF(AND(Summary!$U$1=TRUE,TIA="H"),(N696/M696)/1,(N696/M696))</f>
        <v>#DIV/0!</v>
      </c>
      <c r="P696" s="300" t="e">
        <f>IF(AND(Summary!$U$1=TRUE,TIA="H"),IF(O696&lt;=1,"Pass","FAIL"),IF(O696&lt;=1,"Pass",IF(O696&lt;=1.05,"Acceptable","Fail")))</f>
        <v>#DIV/0!</v>
      </c>
    </row>
    <row r="697" spans="2:16" x14ac:dyDescent="0.25">
      <c r="B697" s="589" t="s">
        <v>783</v>
      </c>
      <c r="C697" s="590"/>
      <c r="D697" s="590"/>
      <c r="E697" s="591"/>
      <c r="F697" s="314">
        <f>Q64</f>
        <v>1</v>
      </c>
      <c r="G697" s="296" t="s">
        <v>1</v>
      </c>
      <c r="H697" s="295"/>
      <c r="I697" s="584" t="s">
        <v>898</v>
      </c>
      <c r="J697" s="585"/>
      <c r="K697" s="585"/>
      <c r="L697" s="586"/>
      <c r="M697" s="325" t="s">
        <v>813</v>
      </c>
      <c r="N697" s="325" t="s">
        <v>813</v>
      </c>
      <c r="O697" s="324" t="e">
        <f>IF(AND(Summary!$U$1=TRUE,TIA="H"),Interaction_stiffenerlength_top/1,Interaction_stiffenerlength_top)</f>
        <v>#DIV/0!</v>
      </c>
      <c r="P697" s="300" t="e">
        <f>IF(AND(Summary!$U$1=TRUE,TIA="H"),IF(O697&lt;=1,"Pass","FAIL"),IF(O697&lt;=1,"Pass",IF(O697&lt;=1.05,"Acceptable","Fail")))</f>
        <v>#DIV/0!</v>
      </c>
    </row>
    <row r="698" spans="2:16" x14ac:dyDescent="0.25">
      <c r="B698" s="593" t="s">
        <v>786</v>
      </c>
      <c r="C698" s="594"/>
      <c r="D698" s="594"/>
      <c r="E698" s="594"/>
      <c r="F698" s="594"/>
      <c r="G698" s="595"/>
      <c r="H698" s="295"/>
      <c r="I698" s="584" t="s">
        <v>899</v>
      </c>
      <c r="J698" s="585"/>
      <c r="K698" s="585"/>
      <c r="L698" s="586"/>
      <c r="M698" s="325" t="s">
        <v>813</v>
      </c>
      <c r="N698" s="325" t="s">
        <v>813</v>
      </c>
      <c r="O698" s="324" t="e">
        <f>IF(AND(Summary!$U$1=TRUE,TIA="H"),Interaction_stiffenerheight_top/1,Interaction_stiffenerheight_top)</f>
        <v>#DIV/0!</v>
      </c>
      <c r="P698" s="300" t="e">
        <f>IF(AND(Summary!$U$1=TRUE,TIA="H"),IF(O698&lt;=1,"Pass","FAIL"),IF(O698&lt;=1,"Pass",IF(O698&lt;=1.05,"Acceptable","Fail")))</f>
        <v>#DIV/0!</v>
      </c>
    </row>
    <row r="699" spans="2:16" x14ac:dyDescent="0.25">
      <c r="B699" s="589" t="s">
        <v>399</v>
      </c>
      <c r="C699" s="590"/>
      <c r="D699" s="590"/>
      <c r="E699" s="591"/>
      <c r="F699" s="314">
        <f>Q66</f>
        <v>8</v>
      </c>
      <c r="G699" s="296" t="s">
        <v>1</v>
      </c>
      <c r="H699" s="295"/>
      <c r="I699" s="584" t="s">
        <v>900</v>
      </c>
      <c r="J699" s="585"/>
      <c r="K699" s="585"/>
      <c r="L699" s="586"/>
      <c r="M699" s="326">
        <f>$R$617</f>
        <v>13.253594007331939</v>
      </c>
      <c r="N699" s="326" t="e">
        <f>TUbolt_top</f>
        <v>#DIV/0!</v>
      </c>
      <c r="O699" s="324" t="e">
        <f>IF(AND(Summary!$U$1=TRUE,TIA="H"),(N699/M699)/1,(N699/M699))</f>
        <v>#DIV/0!</v>
      </c>
      <c r="P699" s="300" t="e">
        <f>IF(AND(Summary!$U$1=TRUE,TIA="H"),IF(O699&lt;=1,"Pass","FAIL"),IF(O699&lt;=1,"Pass",IF(O699&lt;=1.05,"Acceptable","Fail")))</f>
        <v>#DIV/0!</v>
      </c>
    </row>
    <row r="700" spans="2:16" x14ac:dyDescent="0.25">
      <c r="B700" s="589" t="s">
        <v>401</v>
      </c>
      <c r="C700" s="590"/>
      <c r="D700" s="590"/>
      <c r="E700" s="591"/>
      <c r="F700" s="314">
        <f>Q67</f>
        <v>4</v>
      </c>
      <c r="G700" s="296" t="s">
        <v>1</v>
      </c>
      <c r="H700" s="295"/>
      <c r="I700" s="584" t="s">
        <v>892</v>
      </c>
      <c r="J700" s="585"/>
      <c r="K700" s="585"/>
      <c r="L700" s="586"/>
      <c r="M700" s="609" t="e">
        <f>Rotationnut_top</f>
        <v>#DIV/0!</v>
      </c>
      <c r="N700" s="610"/>
      <c r="O700" s="610"/>
      <c r="P700" s="611"/>
    </row>
    <row r="701" spans="2:16" x14ac:dyDescent="0.25">
      <c r="B701" s="589" t="s">
        <v>777</v>
      </c>
      <c r="C701" s="590"/>
      <c r="D701" s="590"/>
      <c r="E701" s="591"/>
      <c r="F701" s="314">
        <f>Q68</f>
        <v>8</v>
      </c>
      <c r="G701" s="296" t="s">
        <v>414</v>
      </c>
      <c r="H701" s="295"/>
      <c r="I701" s="327" t="str">
        <f>IF(AND(Summary!$U$1=TRUE,TIA="H"),"*Ratings (per TIA-222-H Section 15.5)","")</f>
        <v/>
      </c>
    </row>
    <row r="702" spans="2:16" x14ac:dyDescent="0.25">
      <c r="B702" s="589" t="s">
        <v>413</v>
      </c>
      <c r="C702" s="590"/>
      <c r="D702" s="590"/>
      <c r="E702" s="591"/>
      <c r="F702" s="314">
        <f>Q69</f>
        <v>70</v>
      </c>
      <c r="G702" s="296" t="s">
        <v>0</v>
      </c>
      <c r="H702" s="295"/>
      <c r="I702" s="295"/>
      <c r="M702" s="614" t="s">
        <v>823</v>
      </c>
      <c r="N702" s="615"/>
      <c r="O702" s="616" t="e">
        <f>MAX(O680,O682:O688,O691,O693:O699)</f>
        <v>#DIV/0!</v>
      </c>
      <c r="P702" s="617"/>
    </row>
    <row r="703" spans="2:16" x14ac:dyDescent="0.25">
      <c r="B703" s="589" t="s">
        <v>783</v>
      </c>
      <c r="C703" s="590"/>
      <c r="D703" s="590"/>
      <c r="E703" s="591"/>
      <c r="F703" s="314">
        <f>Q70</f>
        <v>1</v>
      </c>
      <c r="G703" s="296" t="s">
        <v>1</v>
      </c>
      <c r="H703" s="295"/>
    </row>
    <row r="704" spans="2:16" x14ac:dyDescent="0.25"/>
    <row r="705" spans="2:3" x14ac:dyDescent="0.25">
      <c r="B705" s="298" t="s">
        <v>826</v>
      </c>
      <c r="C705" s="297" t="str">
        <f>LOOKUP(2,1/(Revision!A:A&lt;&gt;""),Revision!A:A)</f>
        <v>10.0.4</v>
      </c>
    </row>
    <row r="706" spans="2:3" x14ac:dyDescent="0.25"/>
  </sheetData>
  <sheetProtection sheet="1" objects="1" scenarios="1"/>
  <mergeCells count="166">
    <mergeCell ref="M45:P45"/>
    <mergeCell ref="M46:P46"/>
    <mergeCell ref="M67:P67"/>
    <mergeCell ref="M68:P68"/>
    <mergeCell ref="M69:P69"/>
    <mergeCell ref="M70:P70"/>
    <mergeCell ref="B53:T53"/>
    <mergeCell ref="M59:R59"/>
    <mergeCell ref="B33:T33"/>
    <mergeCell ref="M37:R37"/>
    <mergeCell ref="M38:P38"/>
    <mergeCell ref="M39:P39"/>
    <mergeCell ref="M40:P40"/>
    <mergeCell ref="M41:P41"/>
    <mergeCell ref="M42:R42"/>
    <mergeCell ref="M43:P43"/>
    <mergeCell ref="M44:P44"/>
    <mergeCell ref="M60:P60"/>
    <mergeCell ref="M61:P61"/>
    <mergeCell ref="M62:P62"/>
    <mergeCell ref="M63:P63"/>
    <mergeCell ref="M64:P64"/>
    <mergeCell ref="M65:R65"/>
    <mergeCell ref="M66:P66"/>
    <mergeCell ref="B15:T15"/>
    <mergeCell ref="M19:R19"/>
    <mergeCell ref="M20:P20"/>
    <mergeCell ref="M21:P21"/>
    <mergeCell ref="M22:P22"/>
    <mergeCell ref="M23:R23"/>
    <mergeCell ref="M24:P24"/>
    <mergeCell ref="M25:P25"/>
    <mergeCell ref="M26:P26"/>
    <mergeCell ref="B108:E109"/>
    <mergeCell ref="B464:T464"/>
    <mergeCell ref="B479:E480"/>
    <mergeCell ref="B399:E400"/>
    <mergeCell ref="B383:E384"/>
    <mergeCell ref="B183:E184"/>
    <mergeCell ref="B477:T477"/>
    <mergeCell ref="B437:T437"/>
    <mergeCell ref="B458:T458"/>
    <mergeCell ref="B456:T456"/>
    <mergeCell ref="B238:T238"/>
    <mergeCell ref="B244:T244"/>
    <mergeCell ref="B251:T251"/>
    <mergeCell ref="B255:T255"/>
    <mergeCell ref="B317:T317"/>
    <mergeCell ref="B379:T379"/>
    <mergeCell ref="B79:E79"/>
    <mergeCell ref="B381:T381"/>
    <mergeCell ref="B397:T397"/>
    <mergeCell ref="B414:T414"/>
    <mergeCell ref="B418:T418"/>
    <mergeCell ref="B471:T471"/>
    <mergeCell ref="B83:T83"/>
    <mergeCell ref="B100:T100"/>
    <mergeCell ref="B102:T102"/>
    <mergeCell ref="B130:T130"/>
    <mergeCell ref="B159:T159"/>
    <mergeCell ref="B167:T167"/>
    <mergeCell ref="B181:T181"/>
    <mergeCell ref="B196:T196"/>
    <mergeCell ref="B198:T198"/>
    <mergeCell ref="B216:T216"/>
    <mergeCell ref="B235:T235"/>
    <mergeCell ref="B236:T236"/>
    <mergeCell ref="B191:E192"/>
    <mergeCell ref="B177:E178"/>
    <mergeCell ref="B169:E170"/>
    <mergeCell ref="B163:E164"/>
    <mergeCell ref="B156:E157"/>
    <mergeCell ref="B128:E129"/>
    <mergeCell ref="B622:T622"/>
    <mergeCell ref="B624:T624"/>
    <mergeCell ref="B509:T509"/>
    <mergeCell ref="I697:L697"/>
    <mergeCell ref="I681:P681"/>
    <mergeCell ref="I684:L684"/>
    <mergeCell ref="I685:L685"/>
    <mergeCell ref="B692:G692"/>
    <mergeCell ref="B693:E693"/>
    <mergeCell ref="B694:E694"/>
    <mergeCell ref="B695:E695"/>
    <mergeCell ref="B686:E686"/>
    <mergeCell ref="B687:E687"/>
    <mergeCell ref="B688:E688"/>
    <mergeCell ref="B689:E689"/>
    <mergeCell ref="I683:L683"/>
    <mergeCell ref="I686:L686"/>
    <mergeCell ref="I690:P690"/>
    <mergeCell ref="I694:L694"/>
    <mergeCell ref="I687:L687"/>
    <mergeCell ref="I688:L688"/>
    <mergeCell ref="I693:L693"/>
    <mergeCell ref="I692:P692"/>
    <mergeCell ref="I691:L691"/>
    <mergeCell ref="M702:N702"/>
    <mergeCell ref="O702:P702"/>
    <mergeCell ref="B702:E702"/>
    <mergeCell ref="B703:E703"/>
    <mergeCell ref="B679:G679"/>
    <mergeCell ref="B681:E681"/>
    <mergeCell ref="B682:E682"/>
    <mergeCell ref="B683:E683"/>
    <mergeCell ref="B684:E684"/>
    <mergeCell ref="B685:G685"/>
    <mergeCell ref="B680:G680"/>
    <mergeCell ref="I695:L695"/>
    <mergeCell ref="B701:E701"/>
    <mergeCell ref="B699:E699"/>
    <mergeCell ref="B700:E700"/>
    <mergeCell ref="B696:E696"/>
    <mergeCell ref="B697:E697"/>
    <mergeCell ref="B698:G698"/>
    <mergeCell ref="B691:G691"/>
    <mergeCell ref="I679:P679"/>
    <mergeCell ref="I699:L699"/>
    <mergeCell ref="I700:L700"/>
    <mergeCell ref="B542:T542"/>
    <mergeCell ref="B550:T550"/>
    <mergeCell ref="B589:T589"/>
    <mergeCell ref="B605:T605"/>
    <mergeCell ref="A544:E545"/>
    <mergeCell ref="B511:E512"/>
    <mergeCell ref="B497:E498"/>
    <mergeCell ref="B529:E530"/>
    <mergeCell ref="M700:P700"/>
    <mergeCell ref="I689:P689"/>
    <mergeCell ref="I698:L698"/>
    <mergeCell ref="I696:L696"/>
    <mergeCell ref="B672:E672"/>
    <mergeCell ref="B673:E673"/>
    <mergeCell ref="B669:G669"/>
    <mergeCell ref="E556:J556"/>
    <mergeCell ref="L556:Q556"/>
    <mergeCell ref="A593:E594"/>
    <mergeCell ref="A591:E592"/>
    <mergeCell ref="B607:E608"/>
    <mergeCell ref="B609:E610"/>
    <mergeCell ref="B646:T646"/>
    <mergeCell ref="B661:G662"/>
    <mergeCell ref="B671:E671"/>
    <mergeCell ref="U624:Z625"/>
    <mergeCell ref="U626:Z656"/>
    <mergeCell ref="I680:L680"/>
    <mergeCell ref="I682:L682"/>
    <mergeCell ref="B659:T659"/>
    <mergeCell ref="B674:G674"/>
    <mergeCell ref="B675:E675"/>
    <mergeCell ref="B676:E676"/>
    <mergeCell ref="B677:E677"/>
    <mergeCell ref="B670:G670"/>
    <mergeCell ref="B663:G663"/>
    <mergeCell ref="I678:P678"/>
    <mergeCell ref="I676:P676"/>
    <mergeCell ref="I677:L677"/>
    <mergeCell ref="B638:E639"/>
    <mergeCell ref="B664:C664"/>
    <mergeCell ref="B665:C665"/>
    <mergeCell ref="B666:C666"/>
    <mergeCell ref="B667:C667"/>
    <mergeCell ref="D664:G664"/>
    <mergeCell ref="D665:G665"/>
    <mergeCell ref="D666:G666"/>
    <mergeCell ref="D667:G667"/>
  </mergeCells>
  <conditionalFormatting sqref="Q48">
    <cfRule type="expression" dxfId="31" priority="28">
      <formula>IF(OR($Q$38="User Input",$Q$39="User Input",$Q$43="User Input",$Q$44="User Input"),0,1)</formula>
    </cfRule>
  </conditionalFormatting>
  <conditionalFormatting sqref="Q24:Q26 Q43:Q46 Q66:Q70">
    <cfRule type="expression" dxfId="30" priority="73">
      <formula>IF($AA$13=TRUE,1,0)</formula>
    </cfRule>
  </conditionalFormatting>
  <conditionalFormatting sqref="I700 M700">
    <cfRule type="expression" dxfId="29" priority="9">
      <formula>IF(TowerType&lt;&gt;"Guyed",1,0)</formula>
    </cfRule>
  </conditionalFormatting>
  <conditionalFormatting sqref="P680">
    <cfRule type="expression" dxfId="28" priority="7">
      <formula>IF(P680="Fail",1,0)</formula>
    </cfRule>
    <cfRule type="expression" dxfId="27" priority="8">
      <formula>IF(P680="Pass",1,0)</formula>
    </cfRule>
  </conditionalFormatting>
  <conditionalFormatting sqref="P682:P688">
    <cfRule type="expression" dxfId="26" priority="5">
      <formula>IF(P682="Fail",1,0)</formula>
    </cfRule>
    <cfRule type="expression" dxfId="25" priority="6">
      <formula>IF(P682="Pass",1,0)</formula>
    </cfRule>
  </conditionalFormatting>
  <conditionalFormatting sqref="P691">
    <cfRule type="expression" dxfId="24" priority="3">
      <formula>IF(P691="Fail",1,0)</formula>
    </cfRule>
    <cfRule type="expression" dxfId="23" priority="4">
      <formula>IF(P691="Pass",1,0)</formula>
    </cfRule>
  </conditionalFormatting>
  <conditionalFormatting sqref="P693:P699">
    <cfRule type="expression" dxfId="22" priority="1">
      <formula>IF(P693="Fail",1,0)</formula>
    </cfRule>
    <cfRule type="expression" dxfId="21" priority="2">
      <formula>IF(P693="Pass",1,0)</formula>
    </cfRule>
  </conditionalFormatting>
  <dataValidations count="2">
    <dataValidation type="list" allowBlank="1" showInputMessage="1" showErrorMessage="1" sqref="Q22" xr:uid="{608B1FCC-CE16-4D6D-B64E-85A07D3ABC8B}">
      <formula1>"1,2"</formula1>
    </dataValidation>
    <dataValidation type="list" allowBlank="1" showInputMessage="1" showErrorMessage="1" sqref="Q5" xr:uid="{6E07C2FA-EF68-4CD0-A061-B66CF9D6A4D4}">
      <formula1>"Self Support,Guyed"</formula1>
    </dataValidation>
  </dataValidations>
  <hyperlinks>
    <hyperlink ref="Q48" location="Ref!E18" tooltip="Ref Tab" display="Define User Inputs" xr:uid="{C9E3D2F4-5DF1-44A5-81F7-B74D6F513B4A}"/>
    <hyperlink ref="Q3" location="Summary!A1" tooltip="Summary Tab" display="Summary Tab" xr:uid="{A7CB81ED-5A0F-4F8E-829D-5EA6DDA86B5C}"/>
  </hyperlinks>
  <pageMargins left="0.7" right="0.7" top="0.75" bottom="0.75" header="0.3" footer="0.3"/>
  <pageSetup scale="65"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69691" r:id="rId4" name="Check Box 27">
              <controlPr defaultSize="0" autoFill="0" autoLine="0" autoPict="0" macro="[0]!CheckSetToptoBottom_Click">
                <anchor moveWithCells="1">
                  <from>
                    <xdr:col>16</xdr:col>
                    <xdr:colOff>333375</xdr:colOff>
                    <xdr:row>12</xdr:row>
                    <xdr:rowOff>19050</xdr:rowOff>
                  </from>
                  <to>
                    <xdr:col>16</xdr:col>
                    <xdr:colOff>638175</xdr:colOff>
                    <xdr:row>12</xdr:row>
                    <xdr:rowOff>171450</xdr:rowOff>
                  </to>
                </anchor>
              </controlPr>
            </control>
          </mc:Choice>
        </mc:AlternateContent>
        <mc:AlternateContent xmlns:mc="http://schemas.openxmlformats.org/markup-compatibility/2006">
          <mc:Choice Requires="x14">
            <control shapeId="369701" r:id="rId5" name="Check Box 37">
              <controlPr defaultSize="0" autoFill="0" autoLine="0" autoPict="0" macro="[0]!CheckBoltOnDesignCalcs_Click">
                <anchor moveWithCells="1">
                  <from>
                    <xdr:col>16</xdr:col>
                    <xdr:colOff>333375</xdr:colOff>
                    <xdr:row>77</xdr:row>
                    <xdr:rowOff>171450</xdr:rowOff>
                  </from>
                  <to>
                    <xdr:col>16</xdr:col>
                    <xdr:colOff>647700</xdr:colOff>
                    <xdr:row>79</xdr:row>
                    <xdr:rowOff>9525</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expression" priority="32" id="{717DA108-9EA3-41DF-AF13-734D69061BE0}">
            <xm:f>IF(OR(TIA&lt;&gt;"H",Summary!$B$12&lt;&gt;"Split Pipe"),1,0)</xm:f>
            <x14:dxf>
              <font>
                <color theme="0"/>
              </font>
            </x14:dxf>
          </x14:cfRule>
          <xm:sqref>O702 M682:O686 M693:O696</xm:sqref>
        </x14:conditionalFormatting>
        <x14:conditionalFormatting xmlns:xm="http://schemas.microsoft.com/office/excel/2006/main">
          <x14:cfRule type="expression" priority="30" id="{1530D737-BAAF-41E5-95AF-1638363E63EB}">
            <xm:f>IF(OR(TIA&lt;&gt;"H",Summary!$B$12&lt;&gt;"Split Pipe"),1,0)</xm:f>
            <x14:dxf>
              <font>
                <color theme="0"/>
              </font>
            </x14:dxf>
          </x14:cfRule>
          <xm:sqref>M691:O691</xm:sqref>
        </x14:conditionalFormatting>
        <x14:conditionalFormatting xmlns:xm="http://schemas.microsoft.com/office/excel/2006/main">
          <x14:cfRule type="expression" priority="26" id="{E898ACBA-D225-449E-8FFD-65290402072D}">
            <xm:f>IF(OR(TIA&lt;&gt;"H",Summary!$B$12&lt;&gt;"Split Pipe"),1,0)</xm:f>
            <x14:dxf>
              <font>
                <color theme="0"/>
              </font>
            </x14:dxf>
          </x14:cfRule>
          <xm:sqref>M680:O680</xm:sqref>
        </x14:conditionalFormatting>
        <x14:conditionalFormatting xmlns:xm="http://schemas.microsoft.com/office/excel/2006/main">
          <x14:cfRule type="expression" priority="25" id="{413B99AB-A0D6-42F3-AE92-986B270753FB}">
            <xm:f>IF(OR(TIA&lt;&gt;"H",Summary!$B$12&lt;&gt;"Split Pipe"),1,0)</xm:f>
            <x14:dxf>
              <font>
                <color theme="0"/>
              </font>
            </x14:dxf>
          </x14:cfRule>
          <xm:sqref>M687:N687</xm:sqref>
        </x14:conditionalFormatting>
        <x14:conditionalFormatting xmlns:xm="http://schemas.microsoft.com/office/excel/2006/main">
          <x14:cfRule type="expression" priority="24" id="{57CACC4F-D13A-4DB2-B17F-15A5C37F66FC}">
            <xm:f>IF(OR(TIA&lt;&gt;"H",Summary!$B$12&lt;&gt;"Split Pipe"),1,0)</xm:f>
            <x14:dxf>
              <font>
                <color theme="0"/>
              </font>
            </x14:dxf>
          </x14:cfRule>
          <xm:sqref>O687</xm:sqref>
        </x14:conditionalFormatting>
        <x14:conditionalFormatting xmlns:xm="http://schemas.microsoft.com/office/excel/2006/main">
          <x14:cfRule type="expression" priority="21" id="{7D240D73-9283-4DD0-BA04-6D00CC320980}">
            <xm:f>IF(OR(TIA&lt;&gt;"H",Summary!$B$12&lt;&gt;"Split Pipe"),1,0)</xm:f>
            <x14:dxf>
              <font>
                <color theme="0"/>
              </font>
            </x14:dxf>
          </x14:cfRule>
          <xm:sqref>O688</xm:sqref>
        </x14:conditionalFormatting>
        <x14:conditionalFormatting xmlns:xm="http://schemas.microsoft.com/office/excel/2006/main">
          <x14:cfRule type="expression" priority="18" id="{F2568EE4-F96B-42F6-B35A-55F7E6503ED8}">
            <xm:f>IF(OR(TIA&lt;&gt;"H",Summary!$B$12&lt;&gt;"Split Pipe"),1,0)</xm:f>
            <x14:dxf>
              <font>
                <color theme="0"/>
              </font>
            </x14:dxf>
          </x14:cfRule>
          <xm:sqref>M697:O697</xm:sqref>
        </x14:conditionalFormatting>
        <x14:conditionalFormatting xmlns:xm="http://schemas.microsoft.com/office/excel/2006/main">
          <x14:cfRule type="expression" priority="16" id="{14707B71-3432-47D1-9EB8-02D1E1473729}">
            <xm:f>IF(OR(TIA&lt;&gt;"H",Summary!$B$12&lt;&gt;"Split Pipe"),1,0)</xm:f>
            <x14:dxf>
              <font>
                <color theme="0"/>
              </font>
            </x14:dxf>
          </x14:cfRule>
          <xm:sqref>M698:N698</xm:sqref>
        </x14:conditionalFormatting>
        <x14:conditionalFormatting xmlns:xm="http://schemas.microsoft.com/office/excel/2006/main">
          <x14:cfRule type="expression" priority="15" id="{0745C309-43AF-4FC9-982D-66111A1AE53C}">
            <xm:f>IF(OR(TIA&lt;&gt;"H",Summary!$B$12&lt;&gt;"Split Pipe"),1,0)</xm:f>
            <x14:dxf>
              <font>
                <color theme="0"/>
              </font>
            </x14:dxf>
          </x14:cfRule>
          <xm:sqref>O698</xm:sqref>
        </x14:conditionalFormatting>
        <x14:conditionalFormatting xmlns:xm="http://schemas.microsoft.com/office/excel/2006/main">
          <x14:cfRule type="expression" priority="12" id="{F61AC822-246C-44E3-9F68-70B7174D9546}">
            <xm:f>IF(OR(TIA&lt;&gt;"H",Summary!$B$12&lt;&gt;"Split Pipe"),1,0)</xm:f>
            <x14:dxf>
              <font>
                <color theme="0"/>
              </font>
            </x14:dxf>
          </x14:cfRule>
          <xm:sqref>O699</xm:sqref>
        </x14:conditionalFormatting>
      </x14:conditionalFormattings>
    </ext>
    <ext xmlns:x14="http://schemas.microsoft.com/office/spreadsheetml/2009/9/main" uri="{CCE6A557-97BC-4b89-ADB6-D9C93CAAB3DF}">
      <x14:dataValidations xmlns:xm="http://schemas.microsoft.com/office/excel/2006/main" count="2">
        <x14:dataValidation type="list" allowBlank="1" showInputMessage="1" showErrorMessage="1" xr:uid="{D78A88E0-F5DD-4989-8B97-3A01D7AFAAB9}">
          <x14:formula1>
            <xm:f>Ref!$D$4:$D$18</xm:f>
          </x14:formula1>
          <xm:sqref>Q38 Q43 F681:F684 F686:F689</xm:sqref>
        </x14:dataValidation>
        <x14:dataValidation type="list" allowBlank="1" showInputMessage="1" showErrorMessage="1" xr:uid="{02DECF32-C080-4C76-BB64-D9DD10992AE7}">
          <x14:formula1>
            <xm:f>Ref!$M$4:$M$12</xm:f>
          </x14:formula1>
          <xm:sqref>Q39 Q44</xm:sqref>
        </x14:dataValidation>
      </x14:dataValidations>
    </ext>
  </extLs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2414401-74BF-4F6B-916C-A3AD1D5D30D7}">
  <sheetPr codeName="Sheet10" filterMode="1"/>
  <dimension ref="A1:AA167"/>
  <sheetViews>
    <sheetView workbookViewId="0">
      <selection activeCell="V3" sqref="V3"/>
    </sheetView>
  </sheetViews>
  <sheetFormatPr defaultRowHeight="15" x14ac:dyDescent="0.25"/>
  <cols>
    <col min="1" max="8" width="9.140625" style="341"/>
    <col min="9" max="9" width="15.28515625" style="341" customWidth="1"/>
    <col min="10" max="10" width="13.28515625" style="341" customWidth="1"/>
    <col min="11" max="11" width="13.5703125" style="341" customWidth="1"/>
    <col min="12" max="12" width="9.140625" style="341" customWidth="1"/>
    <col min="13" max="13" width="11" style="341" customWidth="1"/>
    <col min="14" max="15" width="9.140625" style="341"/>
    <col min="16" max="16" width="9.140625" style="13"/>
    <col min="17" max="17" width="14.28515625" style="341" customWidth="1"/>
    <col min="18" max="26" width="9.140625" style="341"/>
    <col min="27" max="27" width="0" style="341" hidden="1" customWidth="1"/>
    <col min="28" max="16384" width="9.140625" style="341"/>
  </cols>
  <sheetData>
    <row r="1" spans="1:27" x14ac:dyDescent="0.25">
      <c r="AA1" s="341" t="s">
        <v>1018</v>
      </c>
    </row>
    <row r="2" spans="1:27" ht="18" x14ac:dyDescent="0.25">
      <c r="B2" s="305" t="s">
        <v>923</v>
      </c>
      <c r="Q2" s="308" t="s">
        <v>831</v>
      </c>
      <c r="AA2" s="341" t="s">
        <v>922</v>
      </c>
    </row>
    <row r="3" spans="1:27" x14ac:dyDescent="0.25">
      <c r="AA3" s="341" t="s">
        <v>922</v>
      </c>
    </row>
    <row r="4" spans="1:27" x14ac:dyDescent="0.25">
      <c r="E4" s="317" t="s">
        <v>858</v>
      </c>
      <c r="F4" s="222"/>
      <c r="G4" s="222" t="s">
        <v>893</v>
      </c>
      <c r="H4" s="223"/>
      <c r="I4" s="223"/>
      <c r="J4" s="223"/>
      <c r="K4" s="223"/>
      <c r="L4" s="223"/>
      <c r="M4" s="222"/>
      <c r="N4" s="222"/>
      <c r="O4" s="222"/>
      <c r="P4" s="234" t="s">
        <v>858</v>
      </c>
      <c r="Q4" s="251">
        <f>TowerTypeInput</f>
        <v>0</v>
      </c>
      <c r="S4" s="357"/>
      <c r="AA4" s="341" t="s">
        <v>922</v>
      </c>
    </row>
    <row r="5" spans="1:27" x14ac:dyDescent="0.25">
      <c r="E5" s="220"/>
      <c r="F5" s="218"/>
      <c r="G5" s="219"/>
      <c r="H5" s="218"/>
      <c r="I5" s="218"/>
      <c r="J5" s="218"/>
      <c r="K5" s="218"/>
      <c r="L5" s="218"/>
      <c r="M5" s="218"/>
      <c r="N5" s="218"/>
      <c r="O5" s="218"/>
      <c r="P5" s="219"/>
      <c r="Q5" s="219"/>
      <c r="AA5" s="341" t="s">
        <v>922</v>
      </c>
    </row>
    <row r="6" spans="1:27" x14ac:dyDescent="0.25">
      <c r="B6" s="587" t="s">
        <v>924</v>
      </c>
      <c r="C6" s="587"/>
      <c r="D6" s="587"/>
      <c r="E6" s="587"/>
      <c r="F6" s="587"/>
      <c r="G6" s="587"/>
      <c r="H6" s="587"/>
      <c r="I6" s="587"/>
      <c r="J6" s="587"/>
      <c r="K6" s="587"/>
      <c r="L6" s="587"/>
      <c r="M6" s="587"/>
      <c r="N6" s="587"/>
      <c r="O6" s="587"/>
      <c r="P6" s="587"/>
      <c r="Q6" s="587"/>
      <c r="R6" s="587"/>
      <c r="S6" s="587"/>
      <c r="T6" s="587"/>
      <c r="AA6" s="341" t="s">
        <v>922</v>
      </c>
    </row>
    <row r="7" spans="1:27" x14ac:dyDescent="0.25">
      <c r="AA7" s="341" t="s">
        <v>922</v>
      </c>
    </row>
    <row r="8" spans="1:27" ht="30" customHeight="1" x14ac:dyDescent="0.25">
      <c r="A8" s="639" t="s">
        <v>925</v>
      </c>
      <c r="B8" s="639"/>
      <c r="C8" s="639"/>
      <c r="D8" s="639"/>
      <c r="E8" s="639"/>
      <c r="G8" s="13" t="s">
        <v>926</v>
      </c>
      <c r="H8" s="341" t="str">
        <f>IF(TIA="H","KL_rm_H",IF(TIA="G","KL_rm_G",IF(TIA="F","KL_rm_F","N/A")))</f>
        <v>N/A</v>
      </c>
      <c r="P8" s="13" t="s">
        <v>926</v>
      </c>
      <c r="Q8" s="201" t="str">
        <f>IF(TIA="H",KL_rm_H,IF(TIA="G",KL_rm_G,IF(TIA="F",KL_rm_F,"N/A")))</f>
        <v>N/A</v>
      </c>
      <c r="AA8" s="341" t="s">
        <v>922</v>
      </c>
    </row>
    <row r="9" spans="1:27" x14ac:dyDescent="0.25">
      <c r="G9" s="13"/>
      <c r="AA9" s="341" t="s">
        <v>922</v>
      </c>
    </row>
    <row r="10" spans="1:27" ht="30" customHeight="1" x14ac:dyDescent="0.25">
      <c r="A10" s="639" t="s">
        <v>927</v>
      </c>
      <c r="B10" s="639"/>
      <c r="C10" s="639"/>
      <c r="D10" s="639"/>
      <c r="E10" s="639"/>
      <c r="G10" s="13" t="s">
        <v>928</v>
      </c>
      <c r="H10" s="341" t="str">
        <f>IF(TIA="H","KL_ro_H",IF(TIA="G","KL_ro_G",IF(TIA="F","KL_ro_F","N/A")))</f>
        <v>N/A</v>
      </c>
      <c r="P10" s="13" t="s">
        <v>928</v>
      </c>
      <c r="Q10" s="201" t="str">
        <f>IF(TIA="H",KL_ro_H,IF(TIA="G",KL_ro_G,IF(TIA="F",KL_ro_F,"N/A")))</f>
        <v>N/A</v>
      </c>
      <c r="AA10" s="341" t="s">
        <v>922</v>
      </c>
    </row>
    <row r="11" spans="1:27" x14ac:dyDescent="0.25">
      <c r="A11" s="342"/>
      <c r="B11" s="342"/>
      <c r="C11" s="342"/>
      <c r="D11" s="342"/>
      <c r="E11" s="342"/>
      <c r="G11" s="13"/>
      <c r="Q11" s="201"/>
      <c r="AA11" s="341" t="s">
        <v>922</v>
      </c>
    </row>
    <row r="12" spans="1:27" ht="18" x14ac:dyDescent="0.25">
      <c r="A12" s="639" t="s">
        <v>1015</v>
      </c>
      <c r="B12" s="639"/>
      <c r="C12" s="639"/>
      <c r="D12" s="639"/>
      <c r="E12" s="639"/>
      <c r="G12" s="344" t="s">
        <v>934</v>
      </c>
      <c r="H12" s="341">
        <f>IF(Ki_Override&lt;&gt;"","Ki_Override",IF(TIA="H","'Rev. H'!$N$4",IF(TIA="G","'Rev. G'!$N$4",IF(TIA="F","'Rev. F'!$O$4",1))))</f>
        <v>1</v>
      </c>
      <c r="N12" s="357"/>
      <c r="O12" s="346"/>
      <c r="P12" s="344" t="s">
        <v>934</v>
      </c>
      <c r="Q12" s="355">
        <f>IF(Ki_Override&lt;&gt;"",Ki_Override,IF(TIA="H",'Rev. H'!$N$4,IF(TIA="G",'Rev. G'!$N$4,IF(TIA="F",'Rev. F'!$O$4,1))))</f>
        <v>1</v>
      </c>
      <c r="AA12" s="341" t="s">
        <v>922</v>
      </c>
    </row>
    <row r="13" spans="1:27" x14ac:dyDescent="0.25">
      <c r="G13" s="13"/>
      <c r="Q13" s="201"/>
      <c r="AA13" s="341" t="s">
        <v>922</v>
      </c>
    </row>
    <row r="14" spans="1:27" ht="30" customHeight="1" x14ac:dyDescent="0.25">
      <c r="A14" s="639" t="s">
        <v>929</v>
      </c>
      <c r="B14" s="639"/>
      <c r="C14" s="639"/>
      <c r="D14" s="639"/>
      <c r="E14" s="639"/>
      <c r="G14" s="13" t="s">
        <v>935</v>
      </c>
      <c r="H14" s="341" t="str">
        <f>IF(TIA="H","Ki*ai_ri_H",IF(TIA="G","Ki*ai_ri_G",IF(TIA="F","Ki*ai_ri_F","N/A")))</f>
        <v>N/A</v>
      </c>
      <c r="P14" s="13" t="s">
        <v>935</v>
      </c>
      <c r="Q14" s="201" t="e">
        <f>Ki*IF(TIA="H",ai_ri_H,IF(TIA="G",ai_ri_G,IF(TIA="F",ai_ri_F,"N/A")))</f>
        <v>#VALUE!</v>
      </c>
      <c r="AA14" s="341" t="s">
        <v>922</v>
      </c>
    </row>
    <row r="15" spans="1:27" x14ac:dyDescent="0.25">
      <c r="G15" s="13"/>
      <c r="Q15" s="201"/>
      <c r="AA15" s="341" t="s">
        <v>922</v>
      </c>
    </row>
    <row r="16" spans="1:27" ht="45" customHeight="1" x14ac:dyDescent="0.25">
      <c r="A16" s="639" t="s">
        <v>930</v>
      </c>
      <c r="B16" s="639"/>
      <c r="C16" s="639"/>
      <c r="D16" s="639"/>
      <c r="E16" s="639"/>
      <c r="G16" s="13" t="s">
        <v>931</v>
      </c>
      <c r="H16" s="341" t="str">
        <f>IF(TIA="H","KL_rib_H",IF(TIA="G","KL_rib_G",IF(TIA="F","KL_rib_F","N/A")))</f>
        <v>N/A</v>
      </c>
      <c r="P16" s="13" t="s">
        <v>931</v>
      </c>
      <c r="Q16" s="201" t="str">
        <f>IF(TIA="H",KL_rib_H,IF(TIA="G",KL_rib_G,IF(TIA="F",KL_rib_F,"N/A")))</f>
        <v>N/A</v>
      </c>
      <c r="AA16" s="341" t="s">
        <v>922</v>
      </c>
    </row>
    <row r="17" spans="1:27" x14ac:dyDescent="0.25">
      <c r="G17" s="13"/>
      <c r="Q17" s="201"/>
      <c r="AA17" s="341" t="s">
        <v>922</v>
      </c>
    </row>
    <row r="18" spans="1:27" ht="18" x14ac:dyDescent="0.25">
      <c r="A18" s="639" t="s">
        <v>932</v>
      </c>
      <c r="B18" s="639"/>
      <c r="C18" s="639"/>
      <c r="D18" s="639"/>
      <c r="E18" s="639"/>
      <c r="G18" s="13" t="s">
        <v>933</v>
      </c>
      <c r="H18" s="341" t="str">
        <f>IF(TIA="H","KL_rleg_H",IF(TIA="G","KL_rleg_G",IF(TIA="F","KL_rleg_F","N/A")))</f>
        <v>N/A</v>
      </c>
      <c r="P18" s="13" t="s">
        <v>933</v>
      </c>
      <c r="Q18" s="201" t="str">
        <f>IF(TIA="H",KL_rleg_H,IF(TIA="G",KL_rleg_G,IF(TIA="F",KL_rleg_F,"N/A")))</f>
        <v>N/A</v>
      </c>
      <c r="AA18" s="341" t="s">
        <v>922</v>
      </c>
    </row>
    <row r="19" spans="1:27" x14ac:dyDescent="0.25">
      <c r="S19" s="357"/>
      <c r="T19" s="346"/>
      <c r="U19" s="346"/>
      <c r="V19" s="346"/>
      <c r="W19" s="346"/>
      <c r="AA19" s="341" t="s">
        <v>922</v>
      </c>
    </row>
    <row r="20" spans="1:27" x14ac:dyDescent="0.25">
      <c r="AA20" s="341" t="s">
        <v>922</v>
      </c>
    </row>
    <row r="21" spans="1:27" x14ac:dyDescent="0.25">
      <c r="B21" s="587" t="s">
        <v>936</v>
      </c>
      <c r="C21" s="587"/>
      <c r="D21" s="587"/>
      <c r="E21" s="587"/>
      <c r="F21" s="587"/>
      <c r="G21" s="587"/>
      <c r="H21" s="587"/>
      <c r="I21" s="587"/>
      <c r="J21" s="587"/>
      <c r="K21" s="587"/>
      <c r="L21" s="587"/>
      <c r="M21" s="587"/>
      <c r="N21" s="587"/>
      <c r="O21" s="587"/>
      <c r="P21" s="587"/>
      <c r="Q21" s="587"/>
      <c r="R21" s="587"/>
      <c r="S21" s="587"/>
      <c r="T21" s="587"/>
      <c r="AA21" s="341" t="s">
        <v>922</v>
      </c>
    </row>
    <row r="22" spans="1:27" x14ac:dyDescent="0.25">
      <c r="AA22" s="341" t="s">
        <v>922</v>
      </c>
    </row>
    <row r="23" spans="1:27" ht="30" customHeight="1" x14ac:dyDescent="0.25">
      <c r="A23" s="639" t="s">
        <v>939</v>
      </c>
      <c r="B23" s="639"/>
      <c r="C23" s="639"/>
      <c r="D23" s="639"/>
      <c r="E23" s="639"/>
      <c r="G23" s="13" t="s">
        <v>937</v>
      </c>
      <c r="H23" s="359" t="s">
        <v>1020</v>
      </c>
      <c r="P23" s="13" t="s">
        <v>937</v>
      </c>
      <c r="Q23" s="343" t="e">
        <f>IF(Kai_ri&lt;=0.75*KL_ro,"O.K.","Insufficient")</f>
        <v>#VALUE!</v>
      </c>
      <c r="AA23" s="341" t="s">
        <v>922</v>
      </c>
    </row>
    <row r="24" spans="1:27" x14ac:dyDescent="0.25">
      <c r="G24" s="13"/>
      <c r="AA24" s="341" t="s">
        <v>922</v>
      </c>
    </row>
    <row r="25" spans="1:27" ht="30" customHeight="1" x14ac:dyDescent="0.25">
      <c r="A25" s="639" t="s">
        <v>938</v>
      </c>
      <c r="B25" s="639"/>
      <c r="C25" s="639"/>
      <c r="D25" s="639"/>
      <c r="E25" s="639"/>
      <c r="G25" s="13" t="s">
        <v>940</v>
      </c>
      <c r="H25" s="359" t="s">
        <v>1019</v>
      </c>
      <c r="P25" s="13" t="s">
        <v>940</v>
      </c>
      <c r="Q25" s="343" t="str">
        <f>IF(KL_ro&lt;=KL_rib,"O.K.","Insufficient")</f>
        <v>O.K.</v>
      </c>
      <c r="AA25" s="341" t="s">
        <v>922</v>
      </c>
    </row>
    <row r="26" spans="1:27" x14ac:dyDescent="0.25">
      <c r="AA26" s="341" t="s">
        <v>922</v>
      </c>
    </row>
    <row r="27" spans="1:27" x14ac:dyDescent="0.25">
      <c r="AA27" s="341" t="s">
        <v>922</v>
      </c>
    </row>
    <row r="28" spans="1:27" x14ac:dyDescent="0.25">
      <c r="B28" s="587" t="s">
        <v>941</v>
      </c>
      <c r="C28" s="587"/>
      <c r="D28" s="587"/>
      <c r="E28" s="587"/>
      <c r="F28" s="587"/>
      <c r="G28" s="587"/>
      <c r="H28" s="587"/>
      <c r="I28" s="587"/>
      <c r="J28" s="587"/>
      <c r="K28" s="587"/>
      <c r="L28" s="587"/>
      <c r="M28" s="587"/>
      <c r="N28" s="587"/>
      <c r="O28" s="587"/>
      <c r="P28" s="587"/>
      <c r="Q28" s="587"/>
      <c r="R28" s="587"/>
      <c r="S28" s="587"/>
      <c r="T28" s="587"/>
      <c r="AA28" s="341" t="s">
        <v>922</v>
      </c>
    </row>
    <row r="29" spans="1:27" x14ac:dyDescent="0.25">
      <c r="AA29" s="341" t="s">
        <v>922</v>
      </c>
    </row>
    <row r="30" spans="1:27" ht="18" x14ac:dyDescent="0.25">
      <c r="A30" s="639" t="s">
        <v>943</v>
      </c>
      <c r="B30" s="639"/>
      <c r="C30" s="639"/>
      <c r="D30" s="639"/>
      <c r="E30" s="639"/>
      <c r="G30" s="13" t="s">
        <v>942</v>
      </c>
      <c r="H30" s="341" t="s">
        <v>1021</v>
      </c>
      <c r="P30" s="13" t="s">
        <v>942</v>
      </c>
      <c r="Q30" s="15" t="e">
        <f>KL_rm/KL_ro</f>
        <v>#VALUE!</v>
      </c>
      <c r="AA30" s="341" t="s">
        <v>922</v>
      </c>
    </row>
    <row r="31" spans="1:27" x14ac:dyDescent="0.25">
      <c r="AA31" s="341" t="s">
        <v>922</v>
      </c>
    </row>
    <row r="32" spans="1:27" x14ac:dyDescent="0.25">
      <c r="AA32" s="341" t="s">
        <v>922</v>
      </c>
    </row>
    <row r="33" spans="1:27" x14ac:dyDescent="0.25">
      <c r="B33" s="587" t="s">
        <v>944</v>
      </c>
      <c r="C33" s="587"/>
      <c r="D33" s="587"/>
      <c r="E33" s="587"/>
      <c r="F33" s="587"/>
      <c r="G33" s="587"/>
      <c r="H33" s="587"/>
      <c r="I33" s="587"/>
      <c r="J33" s="587"/>
      <c r="K33" s="587"/>
      <c r="L33" s="587"/>
      <c r="M33" s="587"/>
      <c r="N33" s="587"/>
      <c r="O33" s="587"/>
      <c r="P33" s="587"/>
      <c r="Q33" s="587"/>
      <c r="R33" s="587"/>
      <c r="S33" s="587"/>
      <c r="T33" s="587"/>
      <c r="AA33" s="341" t="s">
        <v>922</v>
      </c>
    </row>
    <row r="34" spans="1:27" x14ac:dyDescent="0.25">
      <c r="AA34" s="341" t="s">
        <v>922</v>
      </c>
    </row>
    <row r="35" spans="1:27" x14ac:dyDescent="0.25">
      <c r="B35" s="608" t="s">
        <v>945</v>
      </c>
      <c r="C35" s="608"/>
      <c r="D35" s="608"/>
      <c r="E35" s="608"/>
      <c r="F35" s="608"/>
      <c r="G35" s="608"/>
      <c r="H35" s="608"/>
      <c r="I35" s="608"/>
      <c r="J35" s="608"/>
      <c r="K35" s="608"/>
      <c r="L35" s="608"/>
      <c r="M35" s="608"/>
      <c r="N35" s="608"/>
      <c r="O35" s="608"/>
      <c r="P35" s="608"/>
      <c r="Q35" s="608"/>
      <c r="R35" s="608"/>
      <c r="S35" s="608"/>
      <c r="T35" s="608"/>
      <c r="U35" s="357"/>
      <c r="V35" s="357"/>
      <c r="W35" s="357"/>
      <c r="X35" s="357"/>
      <c r="Y35" s="357"/>
      <c r="Z35" s="357"/>
      <c r="AA35" s="341" t="s">
        <v>922</v>
      </c>
    </row>
    <row r="36" spans="1:27" s="346" customFormat="1" x14ac:dyDescent="0.25">
      <c r="B36" s="276"/>
      <c r="C36" s="276"/>
      <c r="D36" s="276"/>
      <c r="E36" s="276"/>
      <c r="F36" s="276"/>
      <c r="G36" s="276"/>
      <c r="H36" s="276"/>
      <c r="I36" s="276"/>
      <c r="J36" s="276"/>
      <c r="K36" s="276"/>
      <c r="L36" s="276"/>
      <c r="M36" s="276"/>
      <c r="N36" s="276"/>
      <c r="O36" s="276"/>
      <c r="P36" s="276"/>
      <c r="Q36" s="276"/>
      <c r="R36" s="276"/>
      <c r="S36" s="276"/>
      <c r="T36" s="276"/>
      <c r="U36" s="347"/>
      <c r="AA36" s="341" t="s">
        <v>922</v>
      </c>
    </row>
    <row r="37" spans="1:27" s="346" customFormat="1" x14ac:dyDescent="0.25">
      <c r="B37" s="276" t="s">
        <v>986</v>
      </c>
      <c r="C37" s="276"/>
      <c r="D37" s="276"/>
      <c r="E37" s="276"/>
      <c r="F37" s="276"/>
      <c r="G37" s="276"/>
      <c r="H37" s="276"/>
      <c r="I37" s="276"/>
      <c r="J37" s="276"/>
      <c r="K37" s="276"/>
      <c r="L37" s="276"/>
      <c r="M37" s="276"/>
      <c r="N37" s="276"/>
      <c r="O37" s="276"/>
      <c r="P37" s="276"/>
      <c r="Q37" s="276"/>
      <c r="R37" s="276"/>
      <c r="S37" s="276"/>
      <c r="T37" s="276"/>
      <c r="U37" s="347"/>
      <c r="AA37" s="341" t="str">
        <f t="shared" ref="AA37:AA44" si="0">IF(TIA&lt;&gt;"H","Yes","No")</f>
        <v>Yes</v>
      </c>
    </row>
    <row r="38" spans="1:27" x14ac:dyDescent="0.25">
      <c r="AA38" s="341" t="str">
        <f t="shared" si="0"/>
        <v>Yes</v>
      </c>
    </row>
    <row r="39" spans="1:27" ht="18" customHeight="1" x14ac:dyDescent="0.25">
      <c r="A39" s="639" t="s">
        <v>949</v>
      </c>
      <c r="B39" s="639"/>
      <c r="C39" s="639"/>
      <c r="D39" s="639"/>
      <c r="E39" s="639"/>
      <c r="G39" s="13" t="s">
        <v>989</v>
      </c>
      <c r="H39" s="341" t="s">
        <v>1022</v>
      </c>
      <c r="P39" s="13" t="s">
        <v>989</v>
      </c>
      <c r="Q39" s="201" t="e">
        <f>'Rev. H'!$L$3</f>
        <v>#DIV/0!</v>
      </c>
      <c r="R39" s="341" t="s">
        <v>0</v>
      </c>
      <c r="AA39" s="341" t="str">
        <f t="shared" si="0"/>
        <v>Yes</v>
      </c>
    </row>
    <row r="40" spans="1:27" x14ac:dyDescent="0.25">
      <c r="G40" s="13"/>
      <c r="AA40" s="341" t="str">
        <f t="shared" si="0"/>
        <v>Yes</v>
      </c>
    </row>
    <row r="41" spans="1:27" ht="18" x14ac:dyDescent="0.25">
      <c r="A41" s="639" t="s">
        <v>950</v>
      </c>
      <c r="B41" s="639"/>
      <c r="C41" s="639"/>
      <c r="D41" s="639"/>
      <c r="E41" s="639"/>
      <c r="G41" s="13" t="s">
        <v>990</v>
      </c>
      <c r="H41" s="341" t="s">
        <v>1023</v>
      </c>
      <c r="P41" s="13" t="s">
        <v>990</v>
      </c>
      <c r="Q41" s="201" t="e">
        <f>(PI()^2*E)/KL_rleg^2</f>
        <v>#VALUE!</v>
      </c>
      <c r="R41" s="341" t="s">
        <v>0</v>
      </c>
      <c r="AA41" s="341" t="str">
        <f t="shared" si="0"/>
        <v>Yes</v>
      </c>
    </row>
    <row r="42" spans="1:27" x14ac:dyDescent="0.25">
      <c r="G42" s="13"/>
      <c r="Q42" s="201"/>
      <c r="AA42" s="341" t="str">
        <f t="shared" si="0"/>
        <v>Yes</v>
      </c>
    </row>
    <row r="43" spans="1:27" ht="18" x14ac:dyDescent="0.25">
      <c r="A43" s="639" t="s">
        <v>951</v>
      </c>
      <c r="B43" s="639"/>
      <c r="C43" s="639"/>
      <c r="D43" s="639"/>
      <c r="E43" s="639"/>
      <c r="G43" s="13" t="s">
        <v>991</v>
      </c>
      <c r="H43" s="341" t="e">
        <f>IF(KL_rleg&lt;=4.71*SQRT(E/F\y_leg_H),"(0.658^(F\y_leg_H/Fe_leg_H))*F\y_leg_H","0.877*Fe_leg_H")</f>
        <v>#DIV/0!</v>
      </c>
      <c r="P43" s="13" t="s">
        <v>991</v>
      </c>
      <c r="Q43" s="201" t="e">
        <f>IF(KL_rleg&lt;=4.71*SQRT(E/F\y_leg_H),(0.658^(F\y_leg_H/Fe_leg_H))*F\y_leg_H,0.877*Fe_leg_H)</f>
        <v>#DIV/0!</v>
      </c>
      <c r="R43" s="341" t="s">
        <v>0</v>
      </c>
      <c r="AA43" s="341" t="str">
        <f t="shared" si="0"/>
        <v>Yes</v>
      </c>
    </row>
    <row r="44" spans="1:27" x14ac:dyDescent="0.25">
      <c r="A44" s="342"/>
      <c r="B44" s="342"/>
      <c r="C44" s="342"/>
      <c r="D44" s="342"/>
      <c r="E44" s="342"/>
      <c r="G44" s="13"/>
      <c r="Q44" s="201"/>
      <c r="AA44" s="341" t="str">
        <f t="shared" si="0"/>
        <v>Yes</v>
      </c>
    </row>
    <row r="45" spans="1:27" hidden="1" x14ac:dyDescent="0.25">
      <c r="A45" s="342"/>
      <c r="B45" s="276" t="s">
        <v>987</v>
      </c>
      <c r="C45" s="342"/>
      <c r="D45" s="342"/>
      <c r="E45" s="342"/>
      <c r="G45" s="13"/>
      <c r="Q45" s="201"/>
      <c r="AA45" s="341" t="str">
        <f t="shared" ref="AA45:AA52" si="1">IF(TIA&lt;&gt;"G","Yes","No")</f>
        <v>Yes</v>
      </c>
    </row>
    <row r="46" spans="1:27" hidden="1" x14ac:dyDescent="0.25">
      <c r="A46" s="342"/>
      <c r="B46" s="342"/>
      <c r="C46" s="342"/>
      <c r="D46" s="342"/>
      <c r="E46" s="342"/>
      <c r="G46" s="13"/>
      <c r="Q46" s="201"/>
      <c r="AA46" s="341" t="str">
        <f t="shared" si="1"/>
        <v>Yes</v>
      </c>
    </row>
    <row r="47" spans="1:27" ht="15" hidden="1" customHeight="1" x14ac:dyDescent="0.25">
      <c r="A47" s="639" t="s">
        <v>949</v>
      </c>
      <c r="B47" s="639"/>
      <c r="C47" s="639"/>
      <c r="D47" s="639"/>
      <c r="E47" s="639"/>
      <c r="G47" s="13" t="s">
        <v>992</v>
      </c>
      <c r="H47" s="341" t="s">
        <v>1024</v>
      </c>
      <c r="P47" s="13" t="s">
        <v>992</v>
      </c>
      <c r="Q47" s="201" t="e">
        <f>'Rev. G'!$L$3</f>
        <v>#DIV/0!</v>
      </c>
      <c r="R47" s="341" t="s">
        <v>0</v>
      </c>
      <c r="AA47" s="341" t="str">
        <f t="shared" si="1"/>
        <v>Yes</v>
      </c>
    </row>
    <row r="48" spans="1:27" hidden="1" x14ac:dyDescent="0.25">
      <c r="A48" s="342"/>
      <c r="B48" s="342"/>
      <c r="C48" s="342"/>
      <c r="D48" s="342"/>
      <c r="E48" s="342"/>
      <c r="G48" s="13"/>
      <c r="Q48" s="201"/>
      <c r="AA48" s="341" t="str">
        <f t="shared" si="1"/>
        <v>Yes</v>
      </c>
    </row>
    <row r="49" spans="1:27" ht="18" hidden="1" x14ac:dyDescent="0.25">
      <c r="A49" s="639" t="s">
        <v>988</v>
      </c>
      <c r="B49" s="639"/>
      <c r="C49" s="639"/>
      <c r="D49" s="639"/>
      <c r="E49" s="639"/>
      <c r="G49" s="348" t="s">
        <v>1001</v>
      </c>
      <c r="H49" s="341" t="s">
        <v>1025</v>
      </c>
      <c r="P49" s="348" t="s">
        <v>1001</v>
      </c>
      <c r="Q49" s="201" t="e">
        <f>(KL_rleg/PI())*SQRT(F\y_leg_G/E)</f>
        <v>#VALUE!</v>
      </c>
      <c r="AA49" s="341" t="str">
        <f t="shared" si="1"/>
        <v>Yes</v>
      </c>
    </row>
    <row r="50" spans="1:27" hidden="1" x14ac:dyDescent="0.25">
      <c r="A50" s="342"/>
      <c r="B50" s="342"/>
      <c r="C50" s="342"/>
      <c r="D50" s="342"/>
      <c r="E50" s="342"/>
      <c r="G50" s="13"/>
      <c r="Q50" s="201"/>
      <c r="AA50" s="341" t="str">
        <f t="shared" si="1"/>
        <v>Yes</v>
      </c>
    </row>
    <row r="51" spans="1:27" ht="18" hidden="1" x14ac:dyDescent="0.25">
      <c r="A51" s="639" t="s">
        <v>951</v>
      </c>
      <c r="B51" s="639"/>
      <c r="C51" s="639"/>
      <c r="D51" s="639"/>
      <c r="E51" s="639"/>
      <c r="G51" s="13" t="s">
        <v>997</v>
      </c>
      <c r="H51" s="341" t="e">
        <f>IF(λcleg_G&lt;=1.5,"(0.658^(λcleg_G^2))*F\y_leg_G","(0.877/(λcleg_G^2))*F\y_leg_G")</f>
        <v>#VALUE!</v>
      </c>
      <c r="P51" s="13" t="s">
        <v>997</v>
      </c>
      <c r="Q51" s="201" t="e">
        <f>IF(λcleg_G&lt;=1.5,(0.658^(λcleg_G^2))*F\y_leg_G,(0.877/(λcleg_G^2))*F\y_leg_G)</f>
        <v>#VALUE!</v>
      </c>
      <c r="R51" s="341" t="s">
        <v>0</v>
      </c>
      <c r="AA51" s="341" t="str">
        <f t="shared" si="1"/>
        <v>Yes</v>
      </c>
    </row>
    <row r="52" spans="1:27" hidden="1" x14ac:dyDescent="0.25">
      <c r="A52" s="342"/>
      <c r="B52" s="342"/>
      <c r="C52" s="342"/>
      <c r="D52" s="342"/>
      <c r="E52" s="342"/>
      <c r="G52" s="13"/>
      <c r="Q52" s="201"/>
      <c r="AA52" s="341" t="str">
        <f t="shared" si="1"/>
        <v>Yes</v>
      </c>
    </row>
    <row r="53" spans="1:27" hidden="1" x14ac:dyDescent="0.25">
      <c r="A53" s="342"/>
      <c r="B53" s="276" t="s">
        <v>1003</v>
      </c>
      <c r="C53" s="342"/>
      <c r="D53" s="342"/>
      <c r="E53" s="342"/>
      <c r="G53" s="13"/>
      <c r="Q53" s="201"/>
      <c r="AA53" s="341" t="str">
        <f t="shared" ref="AA53:AA58" si="2">IF(TIA&lt;&gt;"F","Yes","No")</f>
        <v>Yes</v>
      </c>
    </row>
    <row r="54" spans="1:27" hidden="1" x14ac:dyDescent="0.25">
      <c r="A54" s="342"/>
      <c r="B54" s="342"/>
      <c r="C54" s="342"/>
      <c r="D54" s="342"/>
      <c r="E54" s="342"/>
      <c r="G54" s="13"/>
      <c r="Q54" s="201"/>
      <c r="AA54" s="341" t="str">
        <f t="shared" si="2"/>
        <v>Yes</v>
      </c>
    </row>
    <row r="55" spans="1:27" ht="18" hidden="1" x14ac:dyDescent="0.25">
      <c r="A55" s="639" t="s">
        <v>1005</v>
      </c>
      <c r="B55" s="639"/>
      <c r="C55" s="639"/>
      <c r="D55" s="639"/>
      <c r="E55" s="639"/>
      <c r="G55" s="13" t="s">
        <v>1006</v>
      </c>
      <c r="H55" s="341" t="s">
        <v>1026</v>
      </c>
      <c r="P55" s="13" t="s">
        <v>1006</v>
      </c>
      <c r="Q55" s="201" t="e">
        <f>SQRT((2*PI()^2*E)/'Rev. F'!$K$3)</f>
        <v>#DIV/0!</v>
      </c>
      <c r="AA55" s="341" t="str">
        <f t="shared" si="2"/>
        <v>Yes</v>
      </c>
    </row>
    <row r="56" spans="1:27" hidden="1" x14ac:dyDescent="0.25">
      <c r="A56" s="342"/>
      <c r="B56" s="342"/>
      <c r="C56" s="342"/>
      <c r="D56" s="342"/>
      <c r="E56" s="342"/>
      <c r="G56" s="13"/>
      <c r="Q56" s="201"/>
      <c r="AA56" s="341" t="str">
        <f t="shared" si="2"/>
        <v>Yes</v>
      </c>
    </row>
    <row r="57" spans="1:27" ht="18" hidden="1" x14ac:dyDescent="0.25">
      <c r="A57" s="639" t="s">
        <v>1010</v>
      </c>
      <c r="B57" s="639"/>
      <c r="C57" s="639"/>
      <c r="D57" s="639"/>
      <c r="E57" s="639"/>
      <c r="G57" s="13" t="s">
        <v>1004</v>
      </c>
      <c r="H57" s="341" t="e">
        <f>IF(KL_rleg&gt;Cc_leg_F,"(12*PI()^2*E)/(23*KL_rleg^2)","((1-(KL_rleg^2)/(2*Cc_leg_F^2))*'Rev. F'!$K$3)/(5/3+(3*KL_rleg)/(8*Cc_leg_F)-(KL_rleg^3)/(8*Cc_leg_F^3))")</f>
        <v>#DIV/0!</v>
      </c>
      <c r="P57" s="13" t="s">
        <v>1004</v>
      </c>
      <c r="Q57" s="201" t="e">
        <f>IF(KL_rleg&gt;Cc_leg_F,(12*PI()^2*E)/(23*KL_rleg^2),((1-(KL_rleg^2)/(2*Cc_leg_F^2))*'Rev. F'!$K$3)/(5/3+(3*KL_rleg)/(8*Cc_leg_F)-(KL_rleg^3)/(8*Cc_leg_F^3)))</f>
        <v>#DIV/0!</v>
      </c>
      <c r="R57" s="341" t="s">
        <v>0</v>
      </c>
      <c r="AA57" s="341" t="str">
        <f t="shared" si="2"/>
        <v>Yes</v>
      </c>
    </row>
    <row r="58" spans="1:27" hidden="1" x14ac:dyDescent="0.25">
      <c r="A58" s="342"/>
      <c r="B58" s="342"/>
      <c r="C58" s="342"/>
      <c r="D58" s="342"/>
      <c r="E58" s="342"/>
      <c r="Q58" s="201"/>
      <c r="AA58" s="341" t="str">
        <f t="shared" si="2"/>
        <v>Yes</v>
      </c>
    </row>
    <row r="59" spans="1:27" x14ac:dyDescent="0.25">
      <c r="B59" s="608" t="s">
        <v>946</v>
      </c>
      <c r="C59" s="608"/>
      <c r="D59" s="608"/>
      <c r="E59" s="608"/>
      <c r="F59" s="608"/>
      <c r="G59" s="608"/>
      <c r="H59" s="608"/>
      <c r="I59" s="608"/>
      <c r="J59" s="608"/>
      <c r="K59" s="608"/>
      <c r="L59" s="608"/>
      <c r="M59" s="608"/>
      <c r="N59" s="608"/>
      <c r="O59" s="608"/>
      <c r="P59" s="608"/>
      <c r="Q59" s="608"/>
      <c r="R59" s="608"/>
      <c r="S59" s="608"/>
      <c r="T59" s="608"/>
      <c r="AA59" s="341" t="s">
        <v>922</v>
      </c>
    </row>
    <row r="60" spans="1:27" x14ac:dyDescent="0.25">
      <c r="Q60" s="201"/>
      <c r="AA60" s="341" t="s">
        <v>922</v>
      </c>
    </row>
    <row r="61" spans="1:27" x14ac:dyDescent="0.25">
      <c r="B61" s="276" t="s">
        <v>986</v>
      </c>
      <c r="Q61" s="201"/>
      <c r="AA61" s="341" t="str">
        <f t="shared" ref="AA61:AA68" si="3">IF(TIA&lt;&gt;"H","Yes","No")</f>
        <v>Yes</v>
      </c>
    </row>
    <row r="62" spans="1:27" x14ac:dyDescent="0.25">
      <c r="Q62" s="201"/>
      <c r="AA62" s="341" t="str">
        <f t="shared" si="3"/>
        <v>Yes</v>
      </c>
    </row>
    <row r="63" spans="1:27" ht="18" x14ac:dyDescent="0.25">
      <c r="A63" s="639" t="s">
        <v>952</v>
      </c>
      <c r="B63" s="639"/>
      <c r="C63" s="639"/>
      <c r="D63" s="639"/>
      <c r="E63" s="639"/>
      <c r="G63" s="13" t="s">
        <v>993</v>
      </c>
      <c r="H63" s="341" t="s">
        <v>1027</v>
      </c>
      <c r="P63" s="13" t="s">
        <v>993</v>
      </c>
      <c r="Q63" s="201" t="e">
        <f>'Rev. H'!$L$4</f>
        <v>#DIV/0!</v>
      </c>
      <c r="R63" s="341" t="s">
        <v>0</v>
      </c>
      <c r="AA63" s="341" t="str">
        <f t="shared" si="3"/>
        <v>Yes</v>
      </c>
    </row>
    <row r="64" spans="1:27" x14ac:dyDescent="0.25">
      <c r="G64" s="13"/>
      <c r="Q64" s="201"/>
      <c r="AA64" s="341" t="str">
        <f t="shared" si="3"/>
        <v>Yes</v>
      </c>
    </row>
    <row r="65" spans="1:27" ht="18" x14ac:dyDescent="0.25">
      <c r="A65" s="639" t="s">
        <v>953</v>
      </c>
      <c r="B65" s="639"/>
      <c r="C65" s="639"/>
      <c r="D65" s="639"/>
      <c r="E65" s="639"/>
      <c r="G65" s="13" t="s">
        <v>994</v>
      </c>
      <c r="H65" s="341" t="s">
        <v>1028</v>
      </c>
      <c r="P65" s="13" t="s">
        <v>994</v>
      </c>
      <c r="Q65" s="201" t="e">
        <f>IF(Kai_ri=0,(PI()^2*E)/0.000001^2,(PI()^2*E)/Kai_ri^2)</f>
        <v>#VALUE!</v>
      </c>
      <c r="R65" s="341" t="s">
        <v>0</v>
      </c>
      <c r="AA65" s="341" t="str">
        <f t="shared" si="3"/>
        <v>Yes</v>
      </c>
    </row>
    <row r="66" spans="1:27" x14ac:dyDescent="0.25">
      <c r="G66" s="13"/>
      <c r="Q66" s="201"/>
      <c r="AA66" s="341" t="str">
        <f t="shared" si="3"/>
        <v>Yes</v>
      </c>
    </row>
    <row r="67" spans="1:27" ht="18" x14ac:dyDescent="0.25">
      <c r="A67" s="639" t="s">
        <v>954</v>
      </c>
      <c r="B67" s="639"/>
      <c r="C67" s="639"/>
      <c r="D67" s="639"/>
      <c r="E67" s="639"/>
      <c r="G67" s="13" t="s">
        <v>995</v>
      </c>
      <c r="H67" s="341" t="e">
        <f>IF(Kai_ri&lt;=4.71*SQRT(E/F\y_sp_H),"(0.658^(F\y_sp_H/Fe_sp_H))*F\y_sp_H","0.877*Fe_sp_H")</f>
        <v>#VALUE!</v>
      </c>
      <c r="P67" s="13" t="s">
        <v>995</v>
      </c>
      <c r="Q67" s="201" t="e">
        <f>IF(Kai_ri&lt;=4.71*SQRT(E/F\y_sp_H),(0.658^(F\y_sp_H/Fe_sp_H))*F\y_sp_H,0.877*Fe_sp_H)</f>
        <v>#VALUE!</v>
      </c>
      <c r="R67" s="341" t="s">
        <v>0</v>
      </c>
      <c r="AA67" s="341" t="str">
        <f t="shared" si="3"/>
        <v>Yes</v>
      </c>
    </row>
    <row r="68" spans="1:27" x14ac:dyDescent="0.25">
      <c r="A68" s="342"/>
      <c r="B68" s="342"/>
      <c r="C68" s="342"/>
      <c r="D68" s="342"/>
      <c r="E68" s="342"/>
      <c r="G68" s="13"/>
      <c r="Q68" s="201"/>
      <c r="AA68" s="341" t="str">
        <f t="shared" si="3"/>
        <v>Yes</v>
      </c>
    </row>
    <row r="69" spans="1:27" hidden="1" x14ac:dyDescent="0.25">
      <c r="A69" s="342"/>
      <c r="B69" s="276" t="s">
        <v>987</v>
      </c>
      <c r="C69" s="342"/>
      <c r="D69" s="342"/>
      <c r="E69" s="342"/>
      <c r="G69" s="13"/>
      <c r="Q69" s="201"/>
      <c r="AA69" s="341" t="str">
        <f t="shared" ref="AA69:AA76" si="4">IF(TIA&lt;&gt;"G","Yes","No")</f>
        <v>Yes</v>
      </c>
    </row>
    <row r="70" spans="1:27" hidden="1" x14ac:dyDescent="0.25">
      <c r="A70" s="342"/>
      <c r="B70" s="342"/>
      <c r="C70" s="342"/>
      <c r="D70" s="342"/>
      <c r="E70" s="342"/>
      <c r="G70" s="13"/>
      <c r="Q70" s="201"/>
      <c r="AA70" s="341" t="str">
        <f t="shared" si="4"/>
        <v>Yes</v>
      </c>
    </row>
    <row r="71" spans="1:27" ht="18" hidden="1" x14ac:dyDescent="0.25">
      <c r="A71" s="639" t="s">
        <v>952</v>
      </c>
      <c r="B71" s="639"/>
      <c r="C71" s="639"/>
      <c r="D71" s="639"/>
      <c r="E71" s="639"/>
      <c r="G71" s="13" t="s">
        <v>998</v>
      </c>
      <c r="H71" s="341" t="s">
        <v>1029</v>
      </c>
      <c r="P71" s="13" t="s">
        <v>998</v>
      </c>
      <c r="Q71" s="201" t="e">
        <f>'Rev. G'!$L$4</f>
        <v>#DIV/0!</v>
      </c>
      <c r="R71" s="341" t="s">
        <v>0</v>
      </c>
      <c r="AA71" s="341" t="str">
        <f t="shared" si="4"/>
        <v>Yes</v>
      </c>
    </row>
    <row r="72" spans="1:27" hidden="1" x14ac:dyDescent="0.25">
      <c r="A72" s="342"/>
      <c r="B72" s="342"/>
      <c r="C72" s="342"/>
      <c r="D72" s="342"/>
      <c r="E72" s="342"/>
      <c r="G72" s="13"/>
      <c r="Q72" s="201"/>
      <c r="AA72" s="341" t="str">
        <f t="shared" si="4"/>
        <v>Yes</v>
      </c>
    </row>
    <row r="73" spans="1:27" ht="18" hidden="1" x14ac:dyDescent="0.25">
      <c r="A73" s="639" t="s">
        <v>1007</v>
      </c>
      <c r="B73" s="639"/>
      <c r="C73" s="639"/>
      <c r="D73" s="639"/>
      <c r="E73" s="639"/>
      <c r="G73" s="348" t="s">
        <v>999</v>
      </c>
      <c r="H73" s="341" t="s">
        <v>1030</v>
      </c>
      <c r="P73" s="348" t="s">
        <v>999</v>
      </c>
      <c r="Q73" s="201" t="e">
        <f>(Kai_ri/PI())*SQRT(F\y_sp_G/E)</f>
        <v>#VALUE!</v>
      </c>
      <c r="AA73" s="341" t="str">
        <f t="shared" si="4"/>
        <v>Yes</v>
      </c>
    </row>
    <row r="74" spans="1:27" hidden="1" x14ac:dyDescent="0.25">
      <c r="A74" s="342"/>
      <c r="B74" s="342"/>
      <c r="C74" s="342"/>
      <c r="D74" s="342"/>
      <c r="E74" s="342"/>
      <c r="G74" s="13"/>
      <c r="Q74" s="201"/>
      <c r="AA74" s="341" t="str">
        <f t="shared" si="4"/>
        <v>Yes</v>
      </c>
    </row>
    <row r="75" spans="1:27" ht="18" hidden="1" x14ac:dyDescent="0.25">
      <c r="A75" s="639" t="s">
        <v>954</v>
      </c>
      <c r="B75" s="639"/>
      <c r="C75" s="639"/>
      <c r="D75" s="639"/>
      <c r="E75" s="639"/>
      <c r="G75" s="13" t="s">
        <v>1000</v>
      </c>
      <c r="H75" s="341" t="e">
        <f>IF(λcsp_G&lt;=1.5,"(0.658^(λcsp_G^2))*F\y_sp_G","(0.877/(λcsp_G^2))*F\y_sp_G")</f>
        <v>#VALUE!</v>
      </c>
      <c r="P75" s="13" t="s">
        <v>1000</v>
      </c>
      <c r="Q75" s="201" t="e">
        <f>IF(λcsp_G&lt;=1.5,(0.658^(λcsp_G^2))*F\y_sp_G,(0.877/(λcsp_G^2))*F\y_sp_G)</f>
        <v>#VALUE!</v>
      </c>
      <c r="R75" s="341" t="s">
        <v>0</v>
      </c>
      <c r="AA75" s="341" t="str">
        <f t="shared" si="4"/>
        <v>Yes</v>
      </c>
    </row>
    <row r="76" spans="1:27" hidden="1" x14ac:dyDescent="0.25">
      <c r="A76" s="342"/>
      <c r="B76" s="342"/>
      <c r="C76" s="342"/>
      <c r="D76" s="342"/>
      <c r="E76" s="342"/>
      <c r="G76" s="13"/>
      <c r="Q76" s="201"/>
      <c r="AA76" s="341" t="str">
        <f t="shared" si="4"/>
        <v>Yes</v>
      </c>
    </row>
    <row r="77" spans="1:27" hidden="1" x14ac:dyDescent="0.25">
      <c r="A77" s="342"/>
      <c r="B77" s="276" t="s">
        <v>1003</v>
      </c>
      <c r="C77" s="342"/>
      <c r="D77" s="342"/>
      <c r="E77" s="342"/>
      <c r="G77" s="13"/>
      <c r="Q77" s="201"/>
      <c r="AA77" s="341" t="str">
        <f t="shared" ref="AA77:AA82" si="5">IF(TIA&lt;&gt;"F","Yes","No")</f>
        <v>Yes</v>
      </c>
    </row>
    <row r="78" spans="1:27" hidden="1" x14ac:dyDescent="0.25">
      <c r="A78" s="342"/>
      <c r="B78" s="342"/>
      <c r="C78" s="342"/>
      <c r="D78" s="342"/>
      <c r="E78" s="342"/>
      <c r="G78" s="13"/>
      <c r="Q78" s="201"/>
      <c r="AA78" s="341" t="str">
        <f t="shared" si="5"/>
        <v>Yes</v>
      </c>
    </row>
    <row r="79" spans="1:27" ht="18" hidden="1" x14ac:dyDescent="0.25">
      <c r="A79" s="639" t="s">
        <v>1008</v>
      </c>
      <c r="B79" s="639"/>
      <c r="C79" s="639"/>
      <c r="D79" s="639"/>
      <c r="E79" s="639"/>
      <c r="G79" s="13" t="s">
        <v>1011</v>
      </c>
      <c r="H79" s="341" t="s">
        <v>1031</v>
      </c>
      <c r="P79" s="13" t="s">
        <v>1011</v>
      </c>
      <c r="Q79" s="201" t="e">
        <f>SQRT((2*PI()^2*E)/'Rev. F'!$K$4)</f>
        <v>#DIV/0!</v>
      </c>
      <c r="AA79" s="341" t="str">
        <f t="shared" si="5"/>
        <v>Yes</v>
      </c>
    </row>
    <row r="80" spans="1:27" hidden="1" x14ac:dyDescent="0.25">
      <c r="A80" s="342"/>
      <c r="B80" s="342"/>
      <c r="C80" s="342"/>
      <c r="D80" s="342"/>
      <c r="E80" s="342"/>
      <c r="G80" s="13"/>
      <c r="Q80" s="201"/>
      <c r="AA80" s="341" t="str">
        <f t="shared" si="5"/>
        <v>Yes</v>
      </c>
    </row>
    <row r="81" spans="1:27" ht="18" hidden="1" x14ac:dyDescent="0.25">
      <c r="A81" s="639" t="s">
        <v>1009</v>
      </c>
      <c r="B81" s="639"/>
      <c r="C81" s="639"/>
      <c r="D81" s="639"/>
      <c r="E81" s="639"/>
      <c r="G81" s="13" t="s">
        <v>1012</v>
      </c>
      <c r="H81" s="341" t="e">
        <f>IF(Kai_ri&gt;Cc_sp_F,"(12*PI()^2*E)/(23*Kai_ri^2)","((1-(Kai_ri^2)/(2*Cc_sp_F^2))*'Rev. F'!$K$4)/(5/3+(3*Kai_ri)/(8*Cc_sp_F)-(Kai_ri^3)/(8*Cc_sp_F^3))")</f>
        <v>#VALUE!</v>
      </c>
      <c r="P81" s="13" t="s">
        <v>1012</v>
      </c>
      <c r="Q81" s="201" t="e">
        <f>IF(Kai_ri&gt;Cc_sp_F,(12*PI()^2*E)/(23*Kai_ri^2),((1-(Kai_ri^2)/(2*Cc_sp_F^2))*'Rev. F'!$K$4)/(5/3+(3*Kai_ri)/(8*Cc_sp_F)-(Kai_ri^3)/(8*Cc_sp_F^3)))</f>
        <v>#VALUE!</v>
      </c>
      <c r="R81" s="341" t="s">
        <v>0</v>
      </c>
      <c r="AA81" s="341" t="str">
        <f t="shared" si="5"/>
        <v>Yes</v>
      </c>
    </row>
    <row r="82" spans="1:27" hidden="1" x14ac:dyDescent="0.25">
      <c r="A82" s="342"/>
      <c r="B82" s="342"/>
      <c r="C82" s="342"/>
      <c r="D82" s="342"/>
      <c r="E82" s="342"/>
      <c r="Q82" s="201"/>
      <c r="AA82" s="341" t="str">
        <f t="shared" si="5"/>
        <v>Yes</v>
      </c>
    </row>
    <row r="83" spans="1:27" x14ac:dyDescent="0.25">
      <c r="B83" s="608" t="s">
        <v>947</v>
      </c>
      <c r="C83" s="608"/>
      <c r="D83" s="608"/>
      <c r="E83" s="608"/>
      <c r="F83" s="608"/>
      <c r="G83" s="608"/>
      <c r="H83" s="608"/>
      <c r="I83" s="608"/>
      <c r="J83" s="608"/>
      <c r="K83" s="608"/>
      <c r="L83" s="608"/>
      <c r="M83" s="608"/>
      <c r="N83" s="608"/>
      <c r="O83" s="608"/>
      <c r="P83" s="608"/>
      <c r="Q83" s="608"/>
      <c r="R83" s="608"/>
      <c r="S83" s="608"/>
      <c r="T83" s="608"/>
      <c r="AA83" s="341" t="s">
        <v>922</v>
      </c>
    </row>
    <row r="84" spans="1:27" x14ac:dyDescent="0.25">
      <c r="Q84" s="201"/>
      <c r="AA84" s="341" t="s">
        <v>922</v>
      </c>
    </row>
    <row r="85" spans="1:27" x14ac:dyDescent="0.25">
      <c r="B85" s="276" t="s">
        <v>986</v>
      </c>
      <c r="Q85" s="201"/>
      <c r="AA85" s="341" t="str">
        <f>IF(TIA&lt;&gt;"H","Yes","No")</f>
        <v>Yes</v>
      </c>
    </row>
    <row r="86" spans="1:27" x14ac:dyDescent="0.25">
      <c r="Q86" s="201"/>
      <c r="AA86" s="341" t="str">
        <f>IF(TIA&lt;&gt;"H","Yes","No")</f>
        <v>Yes</v>
      </c>
    </row>
    <row r="87" spans="1:27" ht="18" x14ac:dyDescent="0.25">
      <c r="A87" s="639" t="s">
        <v>955</v>
      </c>
      <c r="B87" s="639"/>
      <c r="C87" s="639"/>
      <c r="D87" s="639"/>
      <c r="E87" s="639"/>
      <c r="G87" s="13" t="s">
        <v>996</v>
      </c>
      <c r="H87" s="341" t="s">
        <v>1032</v>
      </c>
      <c r="P87" s="13" t="s">
        <v>996</v>
      </c>
      <c r="Q87" s="201" t="e">
        <f>'Rev. H'!$D$23</f>
        <v>#DIV/0!</v>
      </c>
      <c r="R87" s="341" t="s">
        <v>0</v>
      </c>
      <c r="AA87" s="341" t="str">
        <f>IF(TIA&lt;&gt;"H","Yes","No")</f>
        <v>Yes</v>
      </c>
    </row>
    <row r="88" spans="1:27" x14ac:dyDescent="0.25">
      <c r="A88" s="342"/>
      <c r="B88" s="342"/>
      <c r="C88" s="342"/>
      <c r="D88" s="342"/>
      <c r="E88" s="342"/>
      <c r="G88" s="13"/>
      <c r="Q88" s="201"/>
      <c r="AA88" s="341" t="str">
        <f>IF(TIA&lt;&gt;"H","Yes","No")</f>
        <v>Yes</v>
      </c>
    </row>
    <row r="89" spans="1:27" hidden="1" x14ac:dyDescent="0.25">
      <c r="A89" s="342"/>
      <c r="B89" s="276" t="s">
        <v>987</v>
      </c>
      <c r="C89" s="342"/>
      <c r="D89" s="342"/>
      <c r="E89" s="342"/>
      <c r="G89" s="13"/>
      <c r="Q89" s="201"/>
      <c r="AA89" s="341" t="str">
        <f>IF(TIA&lt;&gt;"G","Yes","No")</f>
        <v>Yes</v>
      </c>
    </row>
    <row r="90" spans="1:27" hidden="1" x14ac:dyDescent="0.25">
      <c r="A90" s="342"/>
      <c r="B90" s="342"/>
      <c r="C90" s="342"/>
      <c r="D90" s="342"/>
      <c r="E90" s="342"/>
      <c r="G90" s="13"/>
      <c r="Q90" s="201"/>
      <c r="AA90" s="341" t="str">
        <f>IF(TIA&lt;&gt;"G","Yes","No")</f>
        <v>Yes</v>
      </c>
    </row>
    <row r="91" spans="1:27" ht="18" hidden="1" x14ac:dyDescent="0.25">
      <c r="A91" s="639" t="s">
        <v>955</v>
      </c>
      <c r="B91" s="639"/>
      <c r="C91" s="639"/>
      <c r="D91" s="639"/>
      <c r="E91" s="639"/>
      <c r="G91" s="13" t="s">
        <v>1002</v>
      </c>
      <c r="H91" s="341" t="s">
        <v>1033</v>
      </c>
      <c r="P91" s="13" t="s">
        <v>1002</v>
      </c>
      <c r="Q91" s="201" t="e">
        <f>'Rev. G'!$D$26</f>
        <v>#DIV/0!</v>
      </c>
      <c r="R91" s="341" t="s">
        <v>0</v>
      </c>
      <c r="AA91" s="341" t="str">
        <f>IF(TIA&lt;&gt;"G","Yes","No")</f>
        <v>Yes</v>
      </c>
    </row>
    <row r="92" spans="1:27" hidden="1" x14ac:dyDescent="0.25">
      <c r="A92" s="342"/>
      <c r="B92" s="342"/>
      <c r="C92" s="342"/>
      <c r="D92" s="342"/>
      <c r="E92" s="342"/>
      <c r="G92" s="13"/>
      <c r="Q92" s="201"/>
      <c r="AA92" s="341" t="str">
        <f>IF(TIA&lt;&gt;"G","Yes","No")</f>
        <v>Yes</v>
      </c>
    </row>
    <row r="93" spans="1:27" hidden="1" x14ac:dyDescent="0.25">
      <c r="A93" s="342"/>
      <c r="B93" s="276" t="s">
        <v>1003</v>
      </c>
      <c r="C93" s="342"/>
      <c r="D93" s="342"/>
      <c r="E93" s="342"/>
      <c r="G93" s="13"/>
      <c r="Q93" s="201"/>
      <c r="AA93" s="341" t="str">
        <f>IF(TIA&lt;&gt;"F","Yes","No")</f>
        <v>Yes</v>
      </c>
    </row>
    <row r="94" spans="1:27" hidden="1" x14ac:dyDescent="0.25">
      <c r="A94" s="342"/>
      <c r="B94" s="342"/>
      <c r="C94" s="342"/>
      <c r="D94" s="342"/>
      <c r="E94" s="342"/>
      <c r="G94" s="13"/>
      <c r="Q94" s="201"/>
      <c r="AA94" s="341" t="str">
        <f>IF(TIA&lt;&gt;"F","Yes","No")</f>
        <v>Yes</v>
      </c>
    </row>
    <row r="95" spans="1:27" ht="18" hidden="1" x14ac:dyDescent="0.25">
      <c r="A95" s="639" t="s">
        <v>1013</v>
      </c>
      <c r="B95" s="639"/>
      <c r="C95" s="639"/>
      <c r="D95" s="639"/>
      <c r="E95" s="639"/>
      <c r="G95" s="13" t="s">
        <v>1014</v>
      </c>
      <c r="H95" s="341" t="s">
        <v>1034</v>
      </c>
      <c r="P95" s="13" t="s">
        <v>1014</v>
      </c>
      <c r="Q95" s="201" t="e">
        <f>'Rev. F'!$D$28</f>
        <v>#DIV/0!</v>
      </c>
      <c r="R95" s="341" t="s">
        <v>0</v>
      </c>
      <c r="AA95" s="341" t="str">
        <f>IF(TIA&lt;&gt;"F","Yes","No")</f>
        <v>Yes</v>
      </c>
    </row>
    <row r="96" spans="1:27" hidden="1" x14ac:dyDescent="0.25">
      <c r="Q96" s="201"/>
      <c r="AA96" s="341" t="str">
        <f>IF(TIA&lt;&gt;"F","Yes","No")</f>
        <v>Yes</v>
      </c>
    </row>
    <row r="97" spans="1:27" x14ac:dyDescent="0.25">
      <c r="AA97" s="341" t="s">
        <v>922</v>
      </c>
    </row>
    <row r="98" spans="1:27" x14ac:dyDescent="0.25">
      <c r="B98" s="587" t="s">
        <v>968</v>
      </c>
      <c r="C98" s="587"/>
      <c r="D98" s="587"/>
      <c r="E98" s="587"/>
      <c r="F98" s="587"/>
      <c r="G98" s="587"/>
      <c r="H98" s="587"/>
      <c r="I98" s="587"/>
      <c r="J98" s="587"/>
      <c r="K98" s="587"/>
      <c r="L98" s="587"/>
      <c r="M98" s="587"/>
      <c r="N98" s="587"/>
      <c r="O98" s="587"/>
      <c r="P98" s="587"/>
      <c r="Q98" s="587"/>
      <c r="R98" s="587"/>
      <c r="S98" s="587"/>
      <c r="T98" s="587"/>
      <c r="AA98" s="341" t="s">
        <v>922</v>
      </c>
    </row>
    <row r="99" spans="1:27" x14ac:dyDescent="0.25">
      <c r="AA99" s="341" t="s">
        <v>922</v>
      </c>
    </row>
    <row r="100" spans="1:27" ht="75.75" customHeight="1" x14ac:dyDescent="0.25">
      <c r="A100" s="639" t="s">
        <v>957</v>
      </c>
      <c r="B100" s="639"/>
      <c r="C100" s="639"/>
      <c r="D100" s="639"/>
      <c r="E100" s="639"/>
      <c r="G100" s="344" t="s">
        <v>948</v>
      </c>
      <c r="H100" s="640" t="s">
        <v>959</v>
      </c>
      <c r="I100" s="640"/>
      <c r="J100" s="640"/>
      <c r="K100" s="640"/>
      <c r="L100" s="640"/>
      <c r="M100" s="640"/>
      <c r="N100" s="640"/>
      <c r="O100" s="640"/>
      <c r="P100" s="344" t="s">
        <v>948</v>
      </c>
      <c r="Q100" s="345">
        <f>Pdead</f>
        <v>0</v>
      </c>
      <c r="R100" s="341" t="s">
        <v>385</v>
      </c>
      <c r="S100" s="357"/>
      <c r="T100" s="346"/>
      <c r="U100" s="346"/>
      <c r="V100" s="346"/>
      <c r="W100" s="346"/>
      <c r="AA100" s="341" t="s">
        <v>922</v>
      </c>
    </row>
    <row r="101" spans="1:27" x14ac:dyDescent="0.25">
      <c r="G101" s="13"/>
      <c r="AA101" s="341" t="s">
        <v>922</v>
      </c>
    </row>
    <row r="102" spans="1:27" ht="30" customHeight="1" x14ac:dyDescent="0.25">
      <c r="A102" s="639" t="s">
        <v>958</v>
      </c>
      <c r="B102" s="639"/>
      <c r="C102" s="639"/>
      <c r="D102" s="639"/>
      <c r="E102" s="639"/>
      <c r="G102" s="344" t="s">
        <v>956</v>
      </c>
      <c r="H102" s="640" t="s">
        <v>969</v>
      </c>
      <c r="I102" s="641"/>
      <c r="J102" s="641"/>
      <c r="K102" s="641"/>
      <c r="L102" s="641"/>
      <c r="M102" s="641"/>
      <c r="N102" s="641"/>
      <c r="O102" s="641"/>
      <c r="P102" s="344" t="s">
        <v>956</v>
      </c>
      <c r="Q102" s="201">
        <f>Summary!$O$8</f>
        <v>0</v>
      </c>
      <c r="R102" s="341" t="s">
        <v>385</v>
      </c>
      <c r="AA102" s="341" t="s">
        <v>922</v>
      </c>
    </row>
    <row r="103" spans="1:27" x14ac:dyDescent="0.25">
      <c r="A103" s="342"/>
      <c r="B103" s="342"/>
      <c r="C103" s="342"/>
      <c r="D103" s="342"/>
      <c r="E103" s="342"/>
      <c r="G103" s="344"/>
      <c r="P103" s="344"/>
      <c r="Q103" s="345"/>
      <c r="AA103" s="341" t="s">
        <v>922</v>
      </c>
    </row>
    <row r="104" spans="1:27" ht="18" x14ac:dyDescent="0.25">
      <c r="A104" s="639" t="s">
        <v>961</v>
      </c>
      <c r="B104" s="639"/>
      <c r="C104" s="639"/>
      <c r="D104" s="639"/>
      <c r="E104" s="639"/>
      <c r="G104" s="344" t="s">
        <v>960</v>
      </c>
      <c r="H104" s="341" t="s">
        <v>1035</v>
      </c>
      <c r="P104" s="344" t="s">
        <v>960</v>
      </c>
      <c r="Q104" s="201">
        <f>P_2-P_1</f>
        <v>0</v>
      </c>
      <c r="R104" s="341" t="s">
        <v>385</v>
      </c>
      <c r="AA104" s="341" t="s">
        <v>922</v>
      </c>
    </row>
    <row r="105" spans="1:27" x14ac:dyDescent="0.25">
      <c r="G105" s="13"/>
      <c r="AA105" s="341" t="s">
        <v>922</v>
      </c>
    </row>
    <row r="106" spans="1:27" ht="18" x14ac:dyDescent="0.25">
      <c r="A106" s="639" t="s">
        <v>962</v>
      </c>
      <c r="B106" s="639"/>
      <c r="C106" s="639"/>
      <c r="D106" s="639"/>
      <c r="E106" s="639"/>
      <c r="G106" s="13" t="s">
        <v>329</v>
      </c>
      <c r="H106" s="341" t="s">
        <v>493</v>
      </c>
      <c r="P106" s="13" t="s">
        <v>329</v>
      </c>
      <c r="Q106" s="201">
        <f>Aleg</f>
        <v>0</v>
      </c>
      <c r="R106" s="341" t="s">
        <v>328</v>
      </c>
      <c r="AA106" s="341" t="s">
        <v>922</v>
      </c>
    </row>
    <row r="107" spans="1:27" x14ac:dyDescent="0.25">
      <c r="G107" s="13"/>
      <c r="AA107" s="341" t="s">
        <v>922</v>
      </c>
    </row>
    <row r="108" spans="1:27" ht="18" x14ac:dyDescent="0.25">
      <c r="A108" s="639" t="s">
        <v>963</v>
      </c>
      <c r="B108" s="639"/>
      <c r="C108" s="639"/>
      <c r="D108" s="639"/>
      <c r="E108" s="639"/>
      <c r="G108" s="13" t="s">
        <v>330</v>
      </c>
      <c r="H108" s="204" t="s">
        <v>1036</v>
      </c>
      <c r="P108" s="13" t="s">
        <v>330</v>
      </c>
      <c r="Q108" s="201">
        <f>Asp</f>
        <v>0</v>
      </c>
      <c r="R108" s="341" t="s">
        <v>328</v>
      </c>
      <c r="AA108" s="341" t="s">
        <v>922</v>
      </c>
    </row>
    <row r="109" spans="1:27" x14ac:dyDescent="0.25">
      <c r="G109" s="13"/>
      <c r="AA109" s="341" t="s">
        <v>922</v>
      </c>
    </row>
    <row r="110" spans="1:27" ht="18" x14ac:dyDescent="0.25">
      <c r="A110" s="639" t="s">
        <v>964</v>
      </c>
      <c r="B110" s="639"/>
      <c r="C110" s="639"/>
      <c r="D110" s="639"/>
      <c r="E110" s="639"/>
      <c r="G110" s="13" t="s">
        <v>965</v>
      </c>
      <c r="H110" s="341" t="s">
        <v>1037</v>
      </c>
      <c r="P110" s="13" t="s">
        <v>965</v>
      </c>
      <c r="Q110" s="201" t="e">
        <f>P_1+P_3*(Aleg/(Aleg+Asp))</f>
        <v>#DIV/0!</v>
      </c>
      <c r="R110" s="341" t="s">
        <v>385</v>
      </c>
      <c r="AA110" s="341" t="s">
        <v>922</v>
      </c>
    </row>
    <row r="111" spans="1:27" x14ac:dyDescent="0.25">
      <c r="G111" s="13"/>
      <c r="AA111" s="341" t="s">
        <v>922</v>
      </c>
    </row>
    <row r="112" spans="1:27" ht="18" x14ac:dyDescent="0.25">
      <c r="A112" s="639" t="s">
        <v>966</v>
      </c>
      <c r="B112" s="639"/>
      <c r="C112" s="639"/>
      <c r="D112" s="639"/>
      <c r="E112" s="639"/>
      <c r="G112" s="13" t="s">
        <v>967</v>
      </c>
      <c r="H112" s="341" t="s">
        <v>1038</v>
      </c>
      <c r="P112" s="13" t="s">
        <v>967</v>
      </c>
      <c r="Q112" s="201" t="e">
        <f>P_3*(Asp/(Aleg+Asp))</f>
        <v>#DIV/0!</v>
      </c>
      <c r="R112" s="341" t="s">
        <v>385</v>
      </c>
      <c r="AA112" s="341" t="s">
        <v>922</v>
      </c>
    </row>
    <row r="113" spans="1:27" x14ac:dyDescent="0.25">
      <c r="AA113" s="341" t="s">
        <v>922</v>
      </c>
    </row>
    <row r="114" spans="1:27" x14ac:dyDescent="0.25">
      <c r="AA114" s="341" t="s">
        <v>922</v>
      </c>
    </row>
    <row r="115" spans="1:27" x14ac:dyDescent="0.25">
      <c r="B115" s="587" t="s">
        <v>970</v>
      </c>
      <c r="C115" s="587"/>
      <c r="D115" s="587"/>
      <c r="E115" s="587"/>
      <c r="F115" s="587"/>
      <c r="G115" s="587"/>
      <c r="H115" s="587"/>
      <c r="I115" s="587"/>
      <c r="J115" s="587"/>
      <c r="K115" s="587"/>
      <c r="L115" s="587"/>
      <c r="M115" s="587"/>
      <c r="N115" s="587"/>
      <c r="O115" s="587"/>
      <c r="P115" s="587"/>
      <c r="Q115" s="587"/>
      <c r="R115" s="587"/>
      <c r="S115" s="587"/>
      <c r="T115" s="587"/>
      <c r="AA115" s="341" t="s">
        <v>922</v>
      </c>
    </row>
    <row r="116" spans="1:27" x14ac:dyDescent="0.25">
      <c r="AA116" s="341" t="s">
        <v>922</v>
      </c>
    </row>
    <row r="117" spans="1:27" x14ac:dyDescent="0.25">
      <c r="A117" s="639" t="s">
        <v>983</v>
      </c>
      <c r="B117" s="639"/>
      <c r="C117" s="639"/>
      <c r="D117" s="639"/>
      <c r="E117" s="639"/>
      <c r="G117" s="344" t="str">
        <f>IF(OR(TIA="H",TIA="G"),"ΦPn_leg =","Pa_leg =")</f>
        <v>Pa_leg =</v>
      </c>
      <c r="H117" s="360" t="str">
        <f>IF(TIA="H","Phic_H*Fcr_leg_H*Aleg",IF(TIA="G","Phic_G*Fcr_leg_G*Aleg",IF(TIA="F","TLF*Faleg_F*Aleg","Select a TIA Revision")))</f>
        <v>Select a TIA Revision</v>
      </c>
      <c r="P117" s="344" t="str">
        <f>IF(OR(TIA="H",TIA="G"),"ΦPn_leg =","Pa_leg =")</f>
        <v>Pa_leg =</v>
      </c>
      <c r="Q117" s="358" t="str">
        <f>IF(TIA="H",Phic_H*Fcr_leg_H*Aleg,IF(TIA="G",Phic_G*Fcr_leg_G*Aleg,IF(TIA="F",TLF*Faleg_F*Aleg,"Select a TIA Revision")))</f>
        <v>Select a TIA Revision</v>
      </c>
      <c r="R117" s="346" t="s">
        <v>385</v>
      </c>
      <c r="S117" s="357"/>
      <c r="AA117" s="341" t="s">
        <v>922</v>
      </c>
    </row>
    <row r="118" spans="1:27" x14ac:dyDescent="0.25">
      <c r="G118" s="344"/>
      <c r="H118" s="360"/>
      <c r="P118" s="344"/>
      <c r="Q118" s="358"/>
      <c r="R118" s="346"/>
      <c r="S118" s="357"/>
      <c r="AA118" s="341" t="s">
        <v>922</v>
      </c>
    </row>
    <row r="119" spans="1:27" x14ac:dyDescent="0.25">
      <c r="A119" s="639" t="s">
        <v>984</v>
      </c>
      <c r="B119" s="639"/>
      <c r="C119" s="639"/>
      <c r="D119" s="639"/>
      <c r="E119" s="639"/>
      <c r="G119" s="344" t="str">
        <f>IF(OR(TIA="H",TIA="G"),"ΦPn_sp =","Pa_sp =")</f>
        <v>Pa_sp =</v>
      </c>
      <c r="H119" s="360" t="str">
        <f>IF(TIA="H","Phic_H*Fcr_sp_H*Asp",IF(TIA="G","Phic_G*Fcr_sp_G*Asp",IF(TIA="F","TLF*Fasp_F*Asp","Select a TIA Revision")))</f>
        <v>Select a TIA Revision</v>
      </c>
      <c r="P119" s="344" t="str">
        <f>IF(OR(TIA="H",TIA="G"),"ΦPn_sp =","Pa_sp =")</f>
        <v>Pa_sp =</v>
      </c>
      <c r="Q119" s="358" t="str">
        <f>IF(TIA="H",Phic_H*Fcr_sp_H*Asp,IF(TIA="G",Phic_G*Fcr_sp_G*Asp,IF(TIA="F",TLF*Fasp_F*Asp,"Select a TIA Revision")))</f>
        <v>Select a TIA Revision</v>
      </c>
      <c r="R119" s="346" t="s">
        <v>385</v>
      </c>
      <c r="S119" s="357"/>
      <c r="AA119" s="341" t="s">
        <v>922</v>
      </c>
    </row>
    <row r="120" spans="1:27" x14ac:dyDescent="0.25">
      <c r="G120" s="344"/>
      <c r="H120" s="360"/>
      <c r="P120" s="344"/>
      <c r="Q120" s="358"/>
      <c r="R120" s="346"/>
      <c r="S120" s="357"/>
      <c r="AA120" s="341" t="s">
        <v>922</v>
      </c>
    </row>
    <row r="121" spans="1:27" x14ac:dyDescent="0.25">
      <c r="A121" s="639" t="s">
        <v>985</v>
      </c>
      <c r="B121" s="639"/>
      <c r="C121" s="639"/>
      <c r="D121" s="639"/>
      <c r="E121" s="639"/>
      <c r="G121" s="344" t="str">
        <f>IF(OR(TIA="H",TIA="G"),"ΦPn_comp =","Pa_comp =")</f>
        <v>Pa_comp =</v>
      </c>
      <c r="H121" s="360" t="str">
        <f>IF(TIA="H","Phic_H*Fcr_comp_H*(Aleg+Asp)",IF(TIA="G","Phic_G*Fcr_comp_G*(Aleg+Asp)",IF(TIA="F","TLF*Facomp_F*(Aleg+Asp)","Select a TIA Revision")))</f>
        <v>Select a TIA Revision</v>
      </c>
      <c r="P121" s="344" t="str">
        <f>IF(OR(TIA="H",TIA="G"),"ΦPn_comp =","Pa_comp =")</f>
        <v>Pa_comp =</v>
      </c>
      <c r="Q121" s="358" t="str">
        <f>IF(TIA="H",Phic_H*Fcr_comp_H*(Aleg+Asp),IF(TIA="G",Phic_G*Fcr_comp_G*(Aleg+Asp),IF(TIA="F",TLF*Facomp_F*(Aleg+Asp),"Select a TIA Revision")))</f>
        <v>Select a TIA Revision</v>
      </c>
      <c r="R121" s="346" t="s">
        <v>385</v>
      </c>
      <c r="S121" s="357"/>
      <c r="AA121" s="341" t="s">
        <v>922</v>
      </c>
    </row>
    <row r="122" spans="1:27" x14ac:dyDescent="0.25">
      <c r="G122" s="13"/>
      <c r="H122" s="204"/>
      <c r="AA122" s="341" t="s">
        <v>922</v>
      </c>
    </row>
    <row r="123" spans="1:27" x14ac:dyDescent="0.25">
      <c r="A123" s="639" t="s">
        <v>977</v>
      </c>
      <c r="B123" s="639"/>
      <c r="C123" s="639"/>
      <c r="D123" s="639"/>
      <c r="E123" s="639"/>
      <c r="G123" s="12" t="s">
        <v>971</v>
      </c>
      <c r="H123" s="361" t="s">
        <v>1039</v>
      </c>
      <c r="P123" s="12" t="s">
        <v>971</v>
      </c>
      <c r="Q123" s="380" t="e">
        <f>(Pleg/ΦPn_leg)/(IF(AND(TIA="H",Section15.5=TRUE),1.05,IF(AND(TIA&lt;&gt;"H",LoadZNormalization=TRUE),1.05,1)))</f>
        <v>#DIV/0!</v>
      </c>
      <c r="R123" s="341" t="str">
        <f>IF(AND(TIA="H",Section15.5=TRUE),"*Rating per TIA-222-H Section 15.5",IF(AND(TIA&lt;&gt;"H",LoadZNormalization=TRUE),"*Ratings Normalized per Load Z","Rating"))</f>
        <v>Rating</v>
      </c>
      <c r="AA123" s="341" t="s">
        <v>922</v>
      </c>
    </row>
    <row r="124" spans="1:27" x14ac:dyDescent="0.25">
      <c r="G124" s="13"/>
      <c r="H124" s="362"/>
      <c r="AA124" s="341" t="s">
        <v>922</v>
      </c>
    </row>
    <row r="125" spans="1:27" ht="15" customHeight="1" x14ac:dyDescent="0.25">
      <c r="A125" s="639" t="s">
        <v>980</v>
      </c>
      <c r="B125" s="639"/>
      <c r="C125" s="639"/>
      <c r="D125" s="639"/>
      <c r="E125" s="639"/>
      <c r="G125" s="12" t="s">
        <v>972</v>
      </c>
      <c r="H125" s="363" t="e">
        <f>IF(SR_leg&lt;=(IF(AND(TIA="H",Section15.5=TRUE),1,IF(AND(TIA&lt;&gt;"H",LoadZNormalization=TRUE),1,1.05))),"OK","Insufficient")</f>
        <v>#DIV/0!</v>
      </c>
      <c r="P125" s="12" t="s">
        <v>972</v>
      </c>
      <c r="Q125" s="340" t="e">
        <f>IF(SR_leg&lt;=(IF(AND(TIA="H",Section15.5=TRUE),1,IF(AND(TIA&lt;&gt;"H",LoadZNormalization=TRUE),1,1.05))),"O.K.","Insufficient")</f>
        <v>#DIV/0!</v>
      </c>
      <c r="AA125" s="341" t="s">
        <v>922</v>
      </c>
    </row>
    <row r="126" spans="1:27" x14ac:dyDescent="0.25">
      <c r="G126" s="13"/>
      <c r="H126" s="362"/>
      <c r="AA126" s="341" t="s">
        <v>922</v>
      </c>
    </row>
    <row r="127" spans="1:27" x14ac:dyDescent="0.25">
      <c r="A127" s="639" t="s">
        <v>978</v>
      </c>
      <c r="B127" s="639"/>
      <c r="C127" s="639"/>
      <c r="D127" s="639"/>
      <c r="E127" s="639"/>
      <c r="G127" s="12" t="s">
        <v>973</v>
      </c>
      <c r="H127" s="361" t="s">
        <v>1040</v>
      </c>
      <c r="P127" s="12" t="s">
        <v>973</v>
      </c>
      <c r="Q127" s="380" t="e">
        <f>(Psp/ΦPn_sp)/(IF(AND(TIA="H",Section15.5=TRUE),1.05,IF(AND(TIA&lt;&gt;"H",LoadZNormalization=TRUE),1.05,1)))</f>
        <v>#DIV/0!</v>
      </c>
      <c r="R127" s="341" t="str">
        <f>IF(AND(TIA="H",Section15.5=TRUE),"*Rating per TIA-222-H Section 15.5",IF(AND(TIA&lt;&gt;"H",LoadZNormalization=TRUE),"*Ratings Normalized per Load Z","Rating"))</f>
        <v>Rating</v>
      </c>
      <c r="AA127" s="341" t="s">
        <v>922</v>
      </c>
    </row>
    <row r="128" spans="1:27" x14ac:dyDescent="0.25">
      <c r="G128" s="13"/>
      <c r="H128" s="362"/>
      <c r="AA128" s="341" t="s">
        <v>922</v>
      </c>
    </row>
    <row r="129" spans="1:27" x14ac:dyDescent="0.25">
      <c r="A129" s="639" t="s">
        <v>981</v>
      </c>
      <c r="B129" s="639"/>
      <c r="C129" s="639"/>
      <c r="D129" s="639"/>
      <c r="E129" s="639"/>
      <c r="G129" s="12" t="s">
        <v>974</v>
      </c>
      <c r="H129" s="363" t="e">
        <f>IF(SR_sp&lt;=(IF(AND(TIA="H",Section15.5=TRUE),1,IF(AND(TIA&lt;&gt;"H",LoadZNormalization=TRUE),1,1.05))),"OK","Insufficient")</f>
        <v>#DIV/0!</v>
      </c>
      <c r="P129" s="12" t="s">
        <v>974</v>
      </c>
      <c r="Q129" s="340" t="e">
        <f>IF(SR_sp&lt;=(IF(AND(TIA="H",Section15.5=TRUE),1,IF(AND(TIA&lt;&gt;"H",LoadZNormalization=TRUE),1,1.05))),"O.K.","Insufficient")</f>
        <v>#DIV/0!</v>
      </c>
      <c r="AA129" s="341" t="s">
        <v>922</v>
      </c>
    </row>
    <row r="130" spans="1:27" x14ac:dyDescent="0.25">
      <c r="G130" s="13"/>
      <c r="H130" s="362"/>
      <c r="AA130" s="341" t="s">
        <v>922</v>
      </c>
    </row>
    <row r="131" spans="1:27" x14ac:dyDescent="0.25">
      <c r="A131" s="639" t="s">
        <v>979</v>
      </c>
      <c r="B131" s="639"/>
      <c r="C131" s="639"/>
      <c r="D131" s="639"/>
      <c r="E131" s="639"/>
      <c r="G131" s="12" t="s">
        <v>975</v>
      </c>
      <c r="H131" s="361" t="s">
        <v>1041</v>
      </c>
      <c r="P131" s="12" t="s">
        <v>975</v>
      </c>
      <c r="Q131" s="380" t="e">
        <f>(P_2/ΦPn_comp)/(IF(AND(TIA="H",Section15.5=TRUE),1.05,IF(AND(TIA&lt;&gt;"H",LoadZNormalization=TRUE),1.05,1)))</f>
        <v>#VALUE!</v>
      </c>
      <c r="R131" s="341" t="str">
        <f>IF(AND(TIA="H",Section15.5=TRUE),"*Rating per TIA-222-H Section 15.5",IF(AND(TIA&lt;&gt;"H",LoadZNormalization=TRUE),"*Ratings Normalized per Load Z","Rating"))</f>
        <v>Rating</v>
      </c>
      <c r="AA131" s="341" t="s">
        <v>922</v>
      </c>
    </row>
    <row r="132" spans="1:27" x14ac:dyDescent="0.25">
      <c r="G132" s="13"/>
      <c r="H132" s="362"/>
      <c r="AA132" s="341" t="s">
        <v>922</v>
      </c>
    </row>
    <row r="133" spans="1:27" x14ac:dyDescent="0.25">
      <c r="A133" s="639" t="s">
        <v>982</v>
      </c>
      <c r="B133" s="639"/>
      <c r="C133" s="639"/>
      <c r="D133" s="639"/>
      <c r="E133" s="639"/>
      <c r="G133" s="12" t="s">
        <v>976</v>
      </c>
      <c r="H133" s="363" t="e">
        <f>IF(SR_comp&lt;=(IF(AND(TIA="H",Section15.5=TRUE),1,IF(AND(TIA&lt;&gt;"H",LoadZNormalization=TRUE),1,1.05))),"OK","Insufficient")</f>
        <v>#VALUE!</v>
      </c>
      <c r="P133" s="12" t="s">
        <v>976</v>
      </c>
      <c r="Q133" s="340" t="e">
        <f>IF(SR_comp&lt;=(IF(AND(TIA="H",Section15.5=TRUE),1,IF(AND(TIA&lt;&gt;"H",LoadZNormalization=TRUE),1,1.05))),"O.K.","Insufficient")</f>
        <v>#VALUE!</v>
      </c>
      <c r="AA133" s="341" t="s">
        <v>922</v>
      </c>
    </row>
    <row r="134" spans="1:27" x14ac:dyDescent="0.25">
      <c r="AA134" s="341" t="s">
        <v>922</v>
      </c>
    </row>
    <row r="135" spans="1:27" x14ac:dyDescent="0.25">
      <c r="AA135" s="341" t="s">
        <v>922</v>
      </c>
    </row>
    <row r="136" spans="1:27" hidden="1" x14ac:dyDescent="0.25">
      <c r="B136" s="587" t="s">
        <v>1042</v>
      </c>
      <c r="C136" s="587"/>
      <c r="D136" s="587"/>
      <c r="E136" s="587"/>
      <c r="F136" s="587"/>
      <c r="G136" s="587"/>
      <c r="H136" s="587"/>
      <c r="I136" s="587"/>
      <c r="J136" s="587"/>
      <c r="K136" s="587"/>
      <c r="L136" s="587"/>
      <c r="M136" s="587"/>
      <c r="N136" s="587"/>
      <c r="O136" s="587"/>
      <c r="P136" s="587"/>
      <c r="Q136" s="587"/>
      <c r="R136" s="587"/>
      <c r="S136" s="587"/>
      <c r="T136" s="587"/>
      <c r="AA136" s="341" t="s">
        <v>1053</v>
      </c>
    </row>
    <row r="137" spans="1:27" hidden="1" x14ac:dyDescent="0.25">
      <c r="AA137" s="341" t="s">
        <v>1053</v>
      </c>
    </row>
    <row r="138" spans="1:27" hidden="1" x14ac:dyDescent="0.25">
      <c r="AA138" s="341" t="s">
        <v>1053</v>
      </c>
    </row>
    <row r="139" spans="1:27" ht="18" hidden="1" x14ac:dyDescent="0.25">
      <c r="B139" s="305" t="str">
        <f>B2</f>
        <v>Split Pipe Leg Load at Time of Modification</v>
      </c>
      <c r="AA139" s="341" t="s">
        <v>1053</v>
      </c>
    </row>
    <row r="140" spans="1:27" hidden="1" x14ac:dyDescent="0.25">
      <c r="AA140" s="341" t="s">
        <v>1053</v>
      </c>
    </row>
    <row r="141" spans="1:27" hidden="1" x14ac:dyDescent="0.25">
      <c r="B141" s="486" t="s">
        <v>22</v>
      </c>
      <c r="C141" s="486"/>
      <c r="D141" s="486"/>
      <c r="E141" s="486"/>
      <c r="F141" s="486"/>
      <c r="G141" s="486"/>
      <c r="AA141" s="341" t="s">
        <v>1053</v>
      </c>
    </row>
    <row r="142" spans="1:27" hidden="1" x14ac:dyDescent="0.25">
      <c r="B142" s="642" t="s">
        <v>1043</v>
      </c>
      <c r="C142" s="642"/>
      <c r="D142" s="643" t="str">
        <f>IF(Summary!E5="","",Summary!E5)</f>
        <v/>
      </c>
      <c r="E142" s="643"/>
      <c r="F142" s="643"/>
      <c r="G142" s="643"/>
      <c r="AA142" s="341" t="s">
        <v>1053</v>
      </c>
    </row>
    <row r="143" spans="1:27" hidden="1" x14ac:dyDescent="0.25">
      <c r="B143" s="642" t="s">
        <v>1044</v>
      </c>
      <c r="C143" s="642"/>
      <c r="D143" s="643" t="str">
        <f>IF(Summary!E6="","",Summary!E6)</f>
        <v/>
      </c>
      <c r="E143" s="643"/>
      <c r="F143" s="643"/>
      <c r="G143" s="643"/>
      <c r="H143" s="346"/>
      <c r="AA143" s="341" t="s">
        <v>1053</v>
      </c>
    </row>
    <row r="144" spans="1:27" hidden="1" x14ac:dyDescent="0.25">
      <c r="B144" s="642" t="s">
        <v>168</v>
      </c>
      <c r="C144" s="642"/>
      <c r="D144" s="643" t="str">
        <f>IF(Summary!E7="","",Summary!E7)</f>
        <v/>
      </c>
      <c r="E144" s="643"/>
      <c r="F144" s="643"/>
      <c r="G144" s="643"/>
      <c r="AA144" s="341" t="s">
        <v>1053</v>
      </c>
    </row>
    <row r="145" spans="2:27" hidden="1" x14ac:dyDescent="0.25">
      <c r="B145" s="642" t="s">
        <v>127</v>
      </c>
      <c r="C145" s="642"/>
      <c r="D145" s="643" t="str">
        <f>IF(Summary!E8="","",Summary!E8)</f>
        <v/>
      </c>
      <c r="E145" s="643"/>
      <c r="F145" s="643"/>
      <c r="G145" s="643"/>
      <c r="AA145" s="341" t="s">
        <v>1053</v>
      </c>
    </row>
    <row r="146" spans="2:27" hidden="1" x14ac:dyDescent="0.25">
      <c r="B146" s="364"/>
      <c r="C146" s="364"/>
      <c r="D146" s="364"/>
      <c r="E146" s="364"/>
      <c r="F146" s="364"/>
      <c r="G146" s="364"/>
      <c r="AA146" s="341" t="s">
        <v>1053</v>
      </c>
    </row>
    <row r="147" spans="2:27" hidden="1" x14ac:dyDescent="0.25">
      <c r="B147" s="486" t="s">
        <v>1045</v>
      </c>
      <c r="C147" s="486"/>
      <c r="D147" s="486"/>
      <c r="E147" s="486"/>
      <c r="F147" s="486"/>
      <c r="G147" s="486"/>
      <c r="I147" s="351" t="s">
        <v>1051</v>
      </c>
      <c r="J147" s="351" t="s">
        <v>1047</v>
      </c>
      <c r="K147" s="351" t="s">
        <v>1048</v>
      </c>
      <c r="L147" s="351" t="str">
        <f>IF(AND(TIA="H",Section15.5=TRUE),"Rating*",IF(AND(TIA&lt;&gt;"H",LoadZNormalization=TRUE),"Rating*","Rating"))</f>
        <v>Rating</v>
      </c>
      <c r="M147" s="351" t="s">
        <v>819</v>
      </c>
      <c r="AA147" s="341" t="s">
        <v>1053</v>
      </c>
    </row>
    <row r="148" spans="2:27" ht="30" hidden="1" customHeight="1" x14ac:dyDescent="0.25">
      <c r="B148" s="646" t="s">
        <v>1046</v>
      </c>
      <c r="C148" s="646"/>
      <c r="D148" s="646"/>
      <c r="E148" s="646"/>
      <c r="F148" s="647" t="e">
        <f>Check_buckling</f>
        <v>#VALUE!</v>
      </c>
      <c r="G148" s="647"/>
      <c r="I148" s="36" t="s">
        <v>1049</v>
      </c>
      <c r="J148" s="371" t="e">
        <f>Pleg</f>
        <v>#DIV/0!</v>
      </c>
      <c r="K148" s="371" t="str">
        <f>ΦPn_leg</f>
        <v>Select a TIA Revision</v>
      </c>
      <c r="L148" s="372" t="e">
        <f>IF(SR_leg&gt;2,"&gt;200.0%",SR_leg)</f>
        <v>#DIV/0!</v>
      </c>
      <c r="M148" s="352" t="e">
        <f>IF(L148="&gt;200.0%","Fail",IF(AND(TIA="H",Section15.5=TRUE),IF(L148&lt;=1,"Pass","Fail"),IF(AND(TIA&lt;&gt;"H",LoadZNormalization=TRUE),IF(L148&lt;=1,"Pass","Fail"),IF(L148&lt;=1,"Pass",IF(L148&lt;=1.05,"Acceptable","Fail")))))</f>
        <v>#DIV/0!</v>
      </c>
      <c r="AA148" s="341" t="s">
        <v>1053</v>
      </c>
    </row>
    <row r="149" spans="2:27" hidden="1" x14ac:dyDescent="0.25">
      <c r="B149" s="642" t="s">
        <v>938</v>
      </c>
      <c r="C149" s="642"/>
      <c r="D149" s="642"/>
      <c r="E149" s="642"/>
      <c r="F149" s="647" t="str">
        <f>Check_TIA</f>
        <v>O.K.</v>
      </c>
      <c r="G149" s="647"/>
      <c r="I149" s="36" t="s">
        <v>92</v>
      </c>
      <c r="J149" s="371" t="e">
        <f>Psp</f>
        <v>#DIV/0!</v>
      </c>
      <c r="K149" s="371" t="str">
        <f>ΦPn_sp</f>
        <v>Select a TIA Revision</v>
      </c>
      <c r="L149" s="372" t="e">
        <f>IF(SR_sp&gt;2,"&gt;200.0%",SR_sp)</f>
        <v>#DIV/0!</v>
      </c>
      <c r="M149" s="352" t="e">
        <f>IF(L149="&gt;200.0%","Fail",IF(AND(TIA="H",Section15.5=TRUE),IF(L149&lt;=1,"Pass","Fail"),IF(AND(TIA&lt;&gt;"H",LoadZNormalization=TRUE),IF(L149&lt;=1,"Pass","Fail"),IF(L149&lt;=1,"Pass",IF(L149&lt;=1.05,"Acceptable","Fail")))))</f>
        <v>#DIV/0!</v>
      </c>
      <c r="AA149" s="341" t="s">
        <v>1053</v>
      </c>
    </row>
    <row r="150" spans="2:27" hidden="1" x14ac:dyDescent="0.25">
      <c r="B150" s="364"/>
      <c r="C150" s="364"/>
      <c r="D150" s="364"/>
      <c r="E150" s="364"/>
      <c r="F150" s="364"/>
      <c r="G150" s="364"/>
      <c r="I150" s="36" t="s">
        <v>1050</v>
      </c>
      <c r="J150" s="371">
        <f>P_2</f>
        <v>0</v>
      </c>
      <c r="K150" s="371" t="str">
        <f>ΦPn_comp</f>
        <v>Select a TIA Revision</v>
      </c>
      <c r="L150" s="372" t="e">
        <f>IF(SR_comp&gt;2,"&gt;200.0%",SR_comp)</f>
        <v>#VALUE!</v>
      </c>
      <c r="M150" s="352" t="e">
        <f>IF(L150="&gt;200.0%","Fail",IF(AND(TIA="H",Section15.5=TRUE),IF(L150&lt;=1,"Pass","Fail"),IF(AND(TIA&lt;&gt;"H",LoadZNormalization=TRUE),IF(L150&lt;=1,"Pass","Fail"),IF(L150&lt;=1,"Pass",IF(L150&lt;=1.05,"Acceptable","Fail")))))</f>
        <v>#VALUE!</v>
      </c>
      <c r="AA150" s="341" t="s">
        <v>1053</v>
      </c>
    </row>
    <row r="151" spans="2:27" hidden="1" x14ac:dyDescent="0.25">
      <c r="B151" s="368"/>
      <c r="C151" s="368"/>
      <c r="D151" s="368"/>
      <c r="E151" s="368"/>
      <c r="F151" s="368"/>
      <c r="G151" s="368"/>
      <c r="I151" s="22"/>
      <c r="J151" s="22"/>
      <c r="K151" s="22"/>
      <c r="L151" s="367" t="str">
        <f>IF(AND(TIA="H",Section15.5=TRUE),"*Rating per TIA-222-H Section 15.5",IF(AND(TIA&lt;&gt;"H",LoadZNormalization=TRUE),"*Ratings Normalized per Load Z","Rating"))</f>
        <v>Rating</v>
      </c>
      <c r="M151" s="366"/>
      <c r="Q151" s="357"/>
      <c r="AA151" s="341" t="s">
        <v>1053</v>
      </c>
    </row>
    <row r="152" spans="2:27" hidden="1" x14ac:dyDescent="0.25">
      <c r="B152" s="368"/>
      <c r="C152" s="368"/>
      <c r="D152" s="368"/>
      <c r="E152" s="368"/>
      <c r="F152" s="369"/>
      <c r="G152" s="368"/>
      <c r="Q152" s="357"/>
      <c r="AA152" s="341" t="s">
        <v>1053</v>
      </c>
    </row>
    <row r="153" spans="2:27" hidden="1" x14ac:dyDescent="0.25">
      <c r="D153" s="368"/>
      <c r="E153" s="368"/>
      <c r="F153" s="369"/>
      <c r="G153" s="368"/>
      <c r="J153" s="350"/>
      <c r="K153" s="374" t="s">
        <v>823</v>
      </c>
      <c r="L153" s="644" t="e">
        <f>MAX(L148:L150)</f>
        <v>#DIV/0!</v>
      </c>
      <c r="M153" s="645"/>
      <c r="Q153" s="357"/>
      <c r="AA153" s="341" t="s">
        <v>1053</v>
      </c>
    </row>
    <row r="154" spans="2:27" hidden="1" x14ac:dyDescent="0.25">
      <c r="B154" s="368"/>
      <c r="C154" s="368"/>
      <c r="D154" s="368"/>
      <c r="E154" s="368"/>
      <c r="F154" s="370"/>
      <c r="G154" s="368"/>
      <c r="Q154" s="357"/>
      <c r="AA154" s="341" t="s">
        <v>1053</v>
      </c>
    </row>
    <row r="155" spans="2:27" hidden="1" x14ac:dyDescent="0.25">
      <c r="Q155" s="376"/>
      <c r="R155" s="376"/>
      <c r="S155" s="376"/>
      <c r="T155" s="376"/>
      <c r="U155" s="376"/>
      <c r="V155" s="376"/>
      <c r="AA155" s="341" t="s">
        <v>1053</v>
      </c>
    </row>
    <row r="156" spans="2:27" hidden="1" x14ac:dyDescent="0.25">
      <c r="B156" s="373" t="s">
        <v>826</v>
      </c>
      <c r="C156" s="368" t="str">
        <f>LOOKUP(2,1/(Revision!A:A&lt;&gt;""),Revision!A:A)</f>
        <v>10.0.4</v>
      </c>
      <c r="Q156" s="376"/>
      <c r="R156" s="376"/>
      <c r="S156" s="376"/>
      <c r="T156" s="376"/>
      <c r="U156" s="376"/>
      <c r="V156" s="376"/>
      <c r="AA156" s="341" t="s">
        <v>1053</v>
      </c>
    </row>
    <row r="157" spans="2:27" hidden="1" x14ac:dyDescent="0.25">
      <c r="Q157" s="376"/>
      <c r="R157" s="376"/>
      <c r="S157" s="376"/>
      <c r="T157" s="376"/>
      <c r="U157" s="376"/>
      <c r="V157" s="376"/>
      <c r="AA157" s="341" t="s">
        <v>1053</v>
      </c>
    </row>
    <row r="158" spans="2:27" hidden="1" x14ac:dyDescent="0.25">
      <c r="Q158" s="376"/>
      <c r="R158" s="376"/>
      <c r="S158" s="376"/>
      <c r="T158" s="376"/>
      <c r="U158" s="376"/>
      <c r="V158" s="376"/>
    </row>
    <row r="159" spans="2:27" hidden="1" x14ac:dyDescent="0.25">
      <c r="Q159" s="376"/>
      <c r="R159" s="376"/>
      <c r="S159" s="376"/>
      <c r="T159" s="376"/>
      <c r="U159" s="376"/>
      <c r="V159" s="376"/>
    </row>
    <row r="160" spans="2:27" hidden="1" x14ac:dyDescent="0.25">
      <c r="Q160" s="376"/>
      <c r="R160" s="376"/>
      <c r="S160" s="376"/>
      <c r="T160" s="376"/>
      <c r="U160" s="376"/>
      <c r="V160" s="376"/>
    </row>
    <row r="161" spans="10:22" hidden="1" x14ac:dyDescent="0.25">
      <c r="Q161" s="376"/>
      <c r="R161" s="376"/>
      <c r="S161" s="376"/>
      <c r="T161" s="376"/>
      <c r="U161" s="376"/>
      <c r="V161" s="376"/>
    </row>
    <row r="162" spans="10:22" ht="15" hidden="1" customHeight="1" x14ac:dyDescent="0.25">
      <c r="L162" s="365"/>
      <c r="Q162" s="376"/>
      <c r="R162" s="376"/>
      <c r="S162" s="376"/>
      <c r="T162" s="376"/>
      <c r="U162" s="376"/>
      <c r="V162" s="376"/>
    </row>
    <row r="163" spans="10:22" hidden="1" x14ac:dyDescent="0.25">
      <c r="J163" s="365"/>
      <c r="K163" s="365"/>
      <c r="L163" s="365"/>
      <c r="Q163" s="376"/>
      <c r="R163" s="376"/>
      <c r="S163" s="376"/>
      <c r="T163" s="376"/>
      <c r="U163" s="376"/>
      <c r="V163" s="376"/>
    </row>
    <row r="164" spans="10:22" hidden="1" x14ac:dyDescent="0.25">
      <c r="Q164" s="376"/>
      <c r="R164" s="376"/>
      <c r="S164" s="376"/>
      <c r="T164" s="376"/>
      <c r="U164" s="376"/>
      <c r="V164" s="376"/>
    </row>
    <row r="165" spans="10:22" hidden="1" x14ac:dyDescent="0.25">
      <c r="Q165" s="376"/>
      <c r="R165" s="376"/>
      <c r="S165" s="376"/>
      <c r="T165" s="376"/>
      <c r="U165" s="376"/>
      <c r="V165" s="376"/>
    </row>
    <row r="166" spans="10:22" hidden="1" x14ac:dyDescent="0.25">
      <c r="Q166" s="376"/>
      <c r="R166" s="376"/>
      <c r="S166" s="376"/>
      <c r="T166" s="376"/>
      <c r="U166" s="376"/>
      <c r="V166" s="376"/>
    </row>
    <row r="167" spans="10:22" hidden="1" x14ac:dyDescent="0.25">
      <c r="Q167" s="376"/>
      <c r="R167" s="376"/>
      <c r="S167" s="376"/>
      <c r="T167" s="376"/>
      <c r="U167" s="376"/>
      <c r="V167" s="376"/>
    </row>
  </sheetData>
  <autoFilter ref="AA1:AA167" xr:uid="{12CFD17A-407A-44D6-BFD4-E6482D4EAFC8}">
    <filterColumn colId="0">
      <filters>
        <filter val="No"/>
      </filters>
    </filterColumn>
  </autoFilter>
  <mergeCells count="71">
    <mergeCell ref="L153:M153"/>
    <mergeCell ref="B147:G147"/>
    <mergeCell ref="B148:E148"/>
    <mergeCell ref="B149:E149"/>
    <mergeCell ref="F148:G148"/>
    <mergeCell ref="F149:G149"/>
    <mergeCell ref="B145:C145"/>
    <mergeCell ref="B143:C143"/>
    <mergeCell ref="B144:C144"/>
    <mergeCell ref="D142:G142"/>
    <mergeCell ref="D143:G143"/>
    <mergeCell ref="D144:G144"/>
    <mergeCell ref="D145:G145"/>
    <mergeCell ref="B136:T136"/>
    <mergeCell ref="B141:G141"/>
    <mergeCell ref="B142:C142"/>
    <mergeCell ref="A133:E133"/>
    <mergeCell ref="A117:E117"/>
    <mergeCell ref="A119:E119"/>
    <mergeCell ref="A121:E121"/>
    <mergeCell ref="A127:E127"/>
    <mergeCell ref="A131:E131"/>
    <mergeCell ref="A125:E125"/>
    <mergeCell ref="A129:E129"/>
    <mergeCell ref="A47:E47"/>
    <mergeCell ref="A49:E49"/>
    <mergeCell ref="A51:E51"/>
    <mergeCell ref="A71:E71"/>
    <mergeCell ref="A73:E73"/>
    <mergeCell ref="B6:T6"/>
    <mergeCell ref="A8:E8"/>
    <mergeCell ref="A10:E10"/>
    <mergeCell ref="A14:E14"/>
    <mergeCell ref="A123:E123"/>
    <mergeCell ref="A95:E95"/>
    <mergeCell ref="A12:E12"/>
    <mergeCell ref="A16:E16"/>
    <mergeCell ref="A18:E18"/>
    <mergeCell ref="B21:T21"/>
    <mergeCell ref="A23:E23"/>
    <mergeCell ref="A25:E25"/>
    <mergeCell ref="B28:T28"/>
    <mergeCell ref="A30:E30"/>
    <mergeCell ref="B33:T33"/>
    <mergeCell ref="B35:T35"/>
    <mergeCell ref="B98:T98"/>
    <mergeCell ref="A39:E39"/>
    <mergeCell ref="A41:E41"/>
    <mergeCell ref="A43:E43"/>
    <mergeCell ref="A63:E63"/>
    <mergeCell ref="A65:E65"/>
    <mergeCell ref="A67:E67"/>
    <mergeCell ref="A87:E87"/>
    <mergeCell ref="B83:T83"/>
    <mergeCell ref="A75:E75"/>
    <mergeCell ref="A91:E91"/>
    <mergeCell ref="A57:E57"/>
    <mergeCell ref="A55:E55"/>
    <mergeCell ref="A79:E79"/>
    <mergeCell ref="A81:E81"/>
    <mergeCell ref="B59:T59"/>
    <mergeCell ref="H100:O100"/>
    <mergeCell ref="H102:O102"/>
    <mergeCell ref="A100:E100"/>
    <mergeCell ref="A102:E102"/>
    <mergeCell ref="A104:E104"/>
    <mergeCell ref="B115:T115"/>
    <mergeCell ref="A106:E106"/>
    <mergeCell ref="A108:E108"/>
    <mergeCell ref="A110:E110"/>
    <mergeCell ref="A112:E112"/>
  </mergeCells>
  <conditionalFormatting sqref="M148:M150">
    <cfRule type="expression" dxfId="10" priority="3">
      <formula>IF(M148="Fail",1,0)</formula>
    </cfRule>
    <cfRule type="expression" dxfId="9" priority="4">
      <formula>IF(M148="Pass",1,0)</formula>
    </cfRule>
  </conditionalFormatting>
  <dataValidations disablePrompts="1" count="1">
    <dataValidation type="list" allowBlank="1" showInputMessage="1" showErrorMessage="1" sqref="Q4" xr:uid="{2CE56BD2-B2A2-497C-AAC9-C78D874B476D}">
      <formula1>"Self Support,Guyed"</formula1>
    </dataValidation>
  </dataValidations>
  <hyperlinks>
    <hyperlink ref="Q2" location="Summary!A1" tooltip="Summary Tab" display="Summary Tab" xr:uid="{B00867AC-5E1D-4072-8839-0AAC57B96664}"/>
  </hyperlinks>
  <pageMargins left="0.7" right="0.7" top="0.75" bottom="0.75" header="0.3" footer="0.3"/>
  <pageSetup orientation="portrait" horizontalDpi="90" verticalDpi="90" r:id="rId1"/>
  <drawing r:id="rId2"/>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9"/>
  <dimension ref="A2:X52"/>
  <sheetViews>
    <sheetView topLeftCell="B5" zoomScaleNormal="100" workbookViewId="0">
      <selection activeCell="T20" sqref="T20"/>
    </sheetView>
  </sheetViews>
  <sheetFormatPr defaultRowHeight="15" x14ac:dyDescent="0.25"/>
  <cols>
    <col min="1" max="1" width="13.7109375" customWidth="1"/>
    <col min="4" max="4" width="11.5703125" bestFit="1" customWidth="1"/>
    <col min="5" max="5" width="10.42578125" customWidth="1"/>
    <col min="6" max="6" width="10.5703125" bestFit="1" customWidth="1"/>
    <col min="7" max="7" width="23.28515625" bestFit="1" customWidth="1"/>
    <col min="8" max="8" width="11.5703125" bestFit="1" customWidth="1"/>
    <col min="9" max="9" width="10.7109375" bestFit="1" customWidth="1"/>
    <col min="22" max="24" width="9.140625" hidden="1" customWidth="1"/>
  </cols>
  <sheetData>
    <row r="2" spans="1:20" ht="36" customHeight="1" x14ac:dyDescent="0.25">
      <c r="B2" s="648" t="s">
        <v>90</v>
      </c>
      <c r="C2" s="648"/>
      <c r="D2" s="93" t="s">
        <v>17</v>
      </c>
      <c r="E2" s="94" t="s">
        <v>291</v>
      </c>
      <c r="F2" s="94" t="s">
        <v>290</v>
      </c>
      <c r="G2" s="95" t="s">
        <v>292</v>
      </c>
      <c r="H2" s="95" t="s">
        <v>286</v>
      </c>
      <c r="I2" s="95" t="s">
        <v>4</v>
      </c>
      <c r="J2" s="96" t="s">
        <v>97</v>
      </c>
      <c r="K2" s="96" t="s">
        <v>96</v>
      </c>
      <c r="L2" s="96" t="s">
        <v>301</v>
      </c>
      <c r="M2" s="97" t="s">
        <v>99</v>
      </c>
      <c r="N2" s="96" t="s">
        <v>95</v>
      </c>
      <c r="O2" s="96" t="s">
        <v>94</v>
      </c>
    </row>
    <row r="3" spans="1:20" x14ac:dyDescent="0.25">
      <c r="A3" s="648" t="s">
        <v>92</v>
      </c>
      <c r="B3" s="649" t="s">
        <v>91</v>
      </c>
      <c r="C3" s="649"/>
      <c r="D3" s="1">
        <f>Tleg</f>
        <v>0</v>
      </c>
      <c r="E3" s="1">
        <f>Dleg</f>
        <v>0</v>
      </c>
      <c r="F3" s="2" t="e">
        <f>E3/D3</f>
        <v>#DIV/0!</v>
      </c>
      <c r="G3" s="2">
        <f>Aleg</f>
        <v>0</v>
      </c>
      <c r="H3" s="2">
        <f>Ileg</f>
        <v>0</v>
      </c>
      <c r="I3" s="2" t="e">
        <f t="shared" ref="I3:I8" si="0">SQRT(H3/G3)</f>
        <v>#DIV/0!</v>
      </c>
      <c r="J3" s="18">
        <v>29000</v>
      </c>
      <c r="K3" s="18">
        <f>Gleg</f>
        <v>0</v>
      </c>
      <c r="L3" s="71" t="e">
        <f>IF(F3&lt;=0.114*J3/K3,K3,IF(AND(0.114*J3/K3&lt;F3,F3&lt;=0.448*J3/K3),((0.0379*J3)/(F3*K3)+2/3)*K3,IF(AND(0.448*J3/K3&lt;F3,F3&lt;=300),0.337*J3/F3,"Leg is slender")))</f>
        <v>#DIV/0!</v>
      </c>
      <c r="M3" s="18">
        <f>Summary!G31</f>
        <v>0</v>
      </c>
      <c r="N3" s="18">
        <v>1</v>
      </c>
      <c r="O3" s="14" t="e">
        <f t="shared" ref="O3:O8" si="1">N3*M3/I3</f>
        <v>#DIV/0!</v>
      </c>
    </row>
    <row r="4" spans="1:20" x14ac:dyDescent="0.25">
      <c r="A4" s="648"/>
      <c r="B4" s="649" t="s">
        <v>92</v>
      </c>
      <c r="C4" s="649"/>
      <c r="D4" s="1">
        <f>Trein</f>
        <v>0</v>
      </c>
      <c r="E4" s="1">
        <f>Drein</f>
        <v>0</v>
      </c>
      <c r="F4" s="2" t="e">
        <f>E4/D4</f>
        <v>#DIV/0!</v>
      </c>
      <c r="G4" s="2">
        <f>Arein</f>
        <v>0</v>
      </c>
      <c r="H4" s="2" t="e">
        <f>Irein</f>
        <v>#DIV/0!</v>
      </c>
      <c r="I4" s="2" t="e">
        <f t="shared" si="0"/>
        <v>#DIV/0!</v>
      </c>
      <c r="J4" s="18">
        <v>29000</v>
      </c>
      <c r="K4" s="18">
        <f>Grein</f>
        <v>0</v>
      </c>
      <c r="L4" s="71" t="e">
        <f>IF(F4&lt;=0.114*J4/K4,K4,IF(AND(0.114*J4/K4&lt;F4,F4&lt;=0.448*J4/K4),((0.0379*J4)/(F4*K4)+2/3)*K4,IF(AND(0.448*J4/K4&lt;F4,F4&lt;=300),0.337*J4/F4,"Leg is slender")))</f>
        <v>#DIV/0!</v>
      </c>
      <c r="M4" s="18">
        <f>Summary!G24</f>
        <v>0</v>
      </c>
      <c r="N4" s="11">
        <f>IF(Ki_Override="",IF(Summary!G23="Welded",0.86,1),Ki_Override)</f>
        <v>1</v>
      </c>
      <c r="O4" s="14" t="e">
        <f>N4*M4/I4</f>
        <v>#DIV/0!</v>
      </c>
    </row>
    <row r="5" spans="1:20" x14ac:dyDescent="0.25">
      <c r="A5" s="648"/>
      <c r="B5" s="649" t="s">
        <v>93</v>
      </c>
      <c r="C5" s="649"/>
      <c r="D5" s="8"/>
      <c r="E5" s="8"/>
      <c r="F5" s="8"/>
      <c r="G5" s="9">
        <f>Atot</f>
        <v>0</v>
      </c>
      <c r="H5" s="2" t="e">
        <f>Itot</f>
        <v>#DIV/0!</v>
      </c>
      <c r="I5" s="2" t="e">
        <f t="shared" si="0"/>
        <v>#DIV/0!</v>
      </c>
      <c r="J5" s="18">
        <v>29000</v>
      </c>
      <c r="K5" s="10"/>
      <c r="L5" s="11" t="e">
        <f>MIN(L3:L4)</f>
        <v>#DIV/0!</v>
      </c>
      <c r="M5" s="18">
        <f>Summary!G31</f>
        <v>0</v>
      </c>
      <c r="N5" s="18">
        <v>1</v>
      </c>
      <c r="O5" s="14" t="e">
        <f t="shared" si="1"/>
        <v>#DIV/0!</v>
      </c>
    </row>
    <row r="6" spans="1:20" hidden="1" x14ac:dyDescent="0.25">
      <c r="A6" s="648" t="s">
        <v>293</v>
      </c>
      <c r="B6" s="650" t="s">
        <v>91</v>
      </c>
      <c r="C6" s="651"/>
      <c r="D6" s="77">
        <f>Tleg</f>
        <v>0</v>
      </c>
      <c r="E6" s="1">
        <f>Dleg</f>
        <v>0</v>
      </c>
      <c r="F6" s="2" t="e">
        <f>E6/D6</f>
        <v>#DIV/0!</v>
      </c>
      <c r="G6" s="2">
        <f>Alegf</f>
        <v>0</v>
      </c>
      <c r="H6" s="78">
        <f>Ileg</f>
        <v>0</v>
      </c>
      <c r="I6" s="78" t="e">
        <f t="shared" si="0"/>
        <v>#DIV/0!</v>
      </c>
      <c r="J6" s="82">
        <v>29000</v>
      </c>
      <c r="K6" s="77">
        <f>Gleg</f>
        <v>0</v>
      </c>
      <c r="L6" s="71" t="e">
        <f>IF(F6&lt;=0.114*J6/K6,K6,IF(AND(0.114*J6/K6&lt;F6,F6&lt;=0.448*J6/K6),((0.0379*J6)/(F6*K6)+2/3)*K6,IF(AND(0.448*J6/K6&lt;F6,F6&lt;=300),0.337*J6/F6,"Leg is slender")))</f>
        <v>#DIV/0!</v>
      </c>
      <c r="M6" s="79">
        <f>Summary!G31</f>
        <v>0</v>
      </c>
      <c r="N6" s="79">
        <v>1</v>
      </c>
      <c r="O6" s="80" t="e">
        <f t="shared" si="1"/>
        <v>#DIV/0!</v>
      </c>
    </row>
    <row r="7" spans="1:20" hidden="1" x14ac:dyDescent="0.25">
      <c r="A7" s="648"/>
      <c r="B7" s="650" t="s">
        <v>293</v>
      </c>
      <c r="C7" s="651"/>
      <c r="D7" s="77">
        <f>Trein</f>
        <v>0</v>
      </c>
      <c r="E7" s="1">
        <f>Drein+2*Trein</f>
        <v>0</v>
      </c>
      <c r="F7" s="2" t="e">
        <f>E7/D7</f>
        <v>#DIV/0!</v>
      </c>
      <c r="G7" s="2" t="e">
        <f>Areinf</f>
        <v>#N/A</v>
      </c>
      <c r="H7" s="78" t="e">
        <f>MIN(FFPI, Summary!Z83)</f>
        <v>#N/A</v>
      </c>
      <c r="I7" s="78" t="e">
        <f t="shared" si="0"/>
        <v>#N/A</v>
      </c>
      <c r="J7" s="82">
        <v>29000</v>
      </c>
      <c r="K7" s="77">
        <f>Grein</f>
        <v>0</v>
      </c>
      <c r="L7" s="71" t="e">
        <f>IF(F7&lt;=0.114*J7/K7,K7,IF(AND(0.114*J7/K7&lt;F7,F7&lt;=0.448*J7/K7),((0.0379*J7)/(F7*K7)+2/3)*K7,IF(AND(0.448*J7/K7&lt;F7,F7&lt;=300),0.337*J7/F7,"Leg is slender")))</f>
        <v>#DIV/0!</v>
      </c>
      <c r="M7" s="79">
        <f>Summary!G24</f>
        <v>0</v>
      </c>
      <c r="N7" s="79">
        <f>IF(Summary!$G$23="Welded",0.86,1)</f>
        <v>1</v>
      </c>
      <c r="O7" s="80" t="e">
        <f t="shared" si="1"/>
        <v>#N/A</v>
      </c>
    </row>
    <row r="8" spans="1:20" hidden="1" x14ac:dyDescent="0.25">
      <c r="A8" s="648"/>
      <c r="B8" s="650" t="s">
        <v>93</v>
      </c>
      <c r="C8" s="651"/>
      <c r="D8" s="81"/>
      <c r="E8" s="81"/>
      <c r="F8" s="81"/>
      <c r="G8" s="9" t="e">
        <f>Atotf</f>
        <v>#N/A</v>
      </c>
      <c r="H8" s="78" t="e">
        <f>ItotFFP</f>
        <v>#N/A</v>
      </c>
      <c r="I8" s="78" t="e">
        <f t="shared" si="0"/>
        <v>#N/A</v>
      </c>
      <c r="J8" s="82">
        <v>29000</v>
      </c>
      <c r="K8" s="81"/>
      <c r="L8" s="11" t="e">
        <f>MIN(L6:L7)</f>
        <v>#DIV/0!</v>
      </c>
      <c r="M8" s="79">
        <f>Summary!G31</f>
        <v>0</v>
      </c>
      <c r="N8" s="79">
        <v>1</v>
      </c>
      <c r="O8" s="80" t="e">
        <f t="shared" si="1"/>
        <v>#N/A</v>
      </c>
      <c r="S8" s="74"/>
      <c r="T8" s="118"/>
    </row>
    <row r="9" spans="1:20" x14ac:dyDescent="0.25">
      <c r="S9" s="74"/>
      <c r="T9" s="74"/>
    </row>
    <row r="10" spans="1:20" x14ac:dyDescent="0.25">
      <c r="B10" s="28" t="s">
        <v>98</v>
      </c>
      <c r="F10" t="s">
        <v>162</v>
      </c>
      <c r="S10" s="74"/>
      <c r="T10" s="74"/>
    </row>
    <row r="11" spans="1:20" x14ac:dyDescent="0.25">
      <c r="S11" s="74"/>
      <c r="T11" s="74"/>
    </row>
    <row r="12" spans="1:20" ht="15.75" x14ac:dyDescent="0.3">
      <c r="C12" s="21" t="s">
        <v>200</v>
      </c>
      <c r="D12" s="29" t="e">
        <f>IF(ReinType="Form Fit", O7/O8, O4/O5)</f>
        <v>#DIV/0!</v>
      </c>
      <c r="E12" s="200" t="e">
        <f>IF(D12&lt;=0.75,"O.K.","Exceeded")</f>
        <v>#DIV/0!</v>
      </c>
      <c r="F12" s="30" t="s">
        <v>155</v>
      </c>
      <c r="S12" s="74"/>
      <c r="T12" s="74"/>
    </row>
    <row r="13" spans="1:20" x14ac:dyDescent="0.25">
      <c r="S13" s="74"/>
      <c r="T13" s="74"/>
    </row>
    <row r="14" spans="1:20" ht="18" x14ac:dyDescent="0.25">
      <c r="C14" s="344" t="s">
        <v>928</v>
      </c>
      <c r="D14" s="73" t="e">
        <f>IF(ReinType="Form Fit",O8,O5)</f>
        <v>#DIV/0!</v>
      </c>
      <c r="S14" s="339"/>
      <c r="T14" s="339"/>
    </row>
    <row r="15" spans="1:20" ht="18" x14ac:dyDescent="0.35">
      <c r="B15" s="20"/>
      <c r="C15" s="101" t="s">
        <v>302</v>
      </c>
      <c r="D15" s="73" t="e">
        <f>IF(Summary!G23="Bolted", IF(ReinType="Form Fit",  SQRT(O8^2+(M7/MIN(I6:I7))^2),SQRT(O5^2+(M4/MIN(I3:I4))^2)),IF(ReinType="Form Fit", IF(M7/MIN(I6:I7)&lt;=40,O8,SQRT(O8^2+(N7*(M7/MIN(I6:I7)))^2)),IF(M4/MIN(I3:I4)&lt;=40,O5,SQRT(O5^2+(N4*(M4/MIN(I3:I4)))^2))))</f>
        <v>#DIV/0!</v>
      </c>
      <c r="E15" s="73"/>
      <c r="F15" s="74"/>
      <c r="G15" s="74"/>
      <c r="I15" s="20"/>
      <c r="J15" s="20"/>
      <c r="K15" s="20"/>
      <c r="L15" s="20"/>
      <c r="M15" s="20"/>
      <c r="N15" s="20"/>
      <c r="S15" s="74"/>
      <c r="T15" s="74"/>
    </row>
    <row r="16" spans="1:20" ht="18" x14ac:dyDescent="0.25">
      <c r="B16" s="20"/>
      <c r="C16" s="344" t="s">
        <v>931</v>
      </c>
      <c r="D16" s="73" t="e">
        <f>IF(ReinType="Form Fit",N6*M6/MIN(I6:I7), N3*M3/MIN(I3:I4))</f>
        <v>#DIV/0!</v>
      </c>
      <c r="E16" s="69"/>
      <c r="F16" s="339"/>
      <c r="G16" s="339"/>
      <c r="I16" s="20"/>
      <c r="J16" s="20"/>
      <c r="K16" s="20"/>
      <c r="L16" s="20"/>
      <c r="M16" s="20"/>
      <c r="N16" s="20"/>
      <c r="S16" s="339"/>
      <c r="T16" s="339"/>
    </row>
    <row r="17" spans="2:24" x14ac:dyDescent="0.25">
      <c r="B17" s="20"/>
      <c r="C17" s="69"/>
      <c r="D17" s="378"/>
      <c r="E17" s="20"/>
      <c r="F17" s="20"/>
      <c r="G17" s="20"/>
      <c r="H17" s="20"/>
      <c r="I17" s="20"/>
      <c r="J17" s="20"/>
      <c r="K17" s="20"/>
      <c r="L17" s="20"/>
      <c r="M17" s="20"/>
      <c r="N17" s="20"/>
      <c r="S17" s="74"/>
      <c r="T17" s="74"/>
    </row>
    <row r="18" spans="2:24" x14ac:dyDescent="0.25">
      <c r="B18" s="20"/>
      <c r="C18" s="102" t="s">
        <v>201</v>
      </c>
      <c r="D18" s="73" t="e">
        <f>IF(SlendernessRatioInput="KL/r Modified",IF($E$12="Exceeded",D16,D15),IF(ReinType="Form Fit",O8,O5))</f>
        <v>#DIV/0!</v>
      </c>
      <c r="E18" s="20"/>
      <c r="F18" s="20"/>
      <c r="G18" s="20"/>
      <c r="H18" s="20"/>
      <c r="I18" s="20"/>
      <c r="J18" s="20"/>
      <c r="K18" s="20"/>
      <c r="L18" s="20"/>
      <c r="M18" s="20"/>
      <c r="N18" s="20"/>
      <c r="S18" s="74"/>
      <c r="T18" s="74"/>
    </row>
    <row r="19" spans="2:24" x14ac:dyDescent="0.25">
      <c r="B19" s="20"/>
      <c r="C19" s="102"/>
      <c r="D19" s="73"/>
      <c r="E19" s="20"/>
      <c r="F19" s="20"/>
      <c r="G19" s="20"/>
      <c r="H19" s="20"/>
      <c r="I19" s="20"/>
      <c r="J19" s="20"/>
      <c r="K19" s="20"/>
      <c r="L19" s="20"/>
      <c r="M19" s="20"/>
      <c r="N19" s="20"/>
      <c r="S19" s="74"/>
      <c r="T19" s="74"/>
    </row>
    <row r="20" spans="2:24" ht="18" x14ac:dyDescent="0.25">
      <c r="B20" s="20"/>
      <c r="C20" s="344" t="s">
        <v>309</v>
      </c>
      <c r="D20" s="358" t="e">
        <f>IF(ReinType="Form Fit",M7/MIN(I6:I7),M4/MIN(I3:I4))</f>
        <v>#DIV/0!</v>
      </c>
      <c r="E20" s="202" t="e">
        <f>IF(D20&gt;D18,"Design Rqmts Not Met","")</f>
        <v>#DIV/0!</v>
      </c>
      <c r="F20" s="20"/>
      <c r="G20" s="20"/>
      <c r="H20" s="20"/>
      <c r="I20" s="20"/>
      <c r="J20" s="20"/>
      <c r="K20" s="20"/>
      <c r="L20" s="20"/>
      <c r="M20" s="20"/>
      <c r="N20" s="20"/>
      <c r="S20" s="74"/>
      <c r="T20" s="74"/>
    </row>
    <row r="21" spans="2:24" x14ac:dyDescent="0.25">
      <c r="B21" s="20"/>
      <c r="C21" s="21"/>
      <c r="D21" s="27"/>
      <c r="E21" s="386" t="s">
        <v>916</v>
      </c>
      <c r="F21" s="20"/>
      <c r="G21" s="20"/>
      <c r="H21" s="20"/>
      <c r="I21" s="20"/>
      <c r="J21" s="20"/>
      <c r="K21" s="20"/>
      <c r="L21" s="20"/>
      <c r="M21" s="20"/>
      <c r="N21" s="20"/>
      <c r="S21" s="74"/>
      <c r="T21" s="74"/>
      <c r="V21" t="s">
        <v>1408</v>
      </c>
    </row>
    <row r="22" spans="2:24" x14ac:dyDescent="0.25">
      <c r="B22" s="20"/>
      <c r="C22" s="102" t="s">
        <v>913</v>
      </c>
      <c r="D22" s="27" t="e">
        <f>IF(ReinType="Form Fit", (PI()^2*J8)/(D18)^2, (PI()^2*J5)/(D18)^2)</f>
        <v>#DIV/0!</v>
      </c>
      <c r="E22" s="334" t="e">
        <f>(PI()^2*J3)/(O3)^2</f>
        <v>#DIV/0!</v>
      </c>
      <c r="F22" s="74" t="s">
        <v>163</v>
      </c>
      <c r="G22" s="69"/>
      <c r="H22" s="69"/>
      <c r="I22" s="20"/>
      <c r="J22" s="20"/>
      <c r="K22" s="20"/>
      <c r="L22" s="20"/>
      <c r="M22" s="20"/>
      <c r="N22" s="20"/>
      <c r="V22" t="s">
        <v>95</v>
      </c>
      <c r="W22" s="452">
        <v>1.7568469177643422</v>
      </c>
    </row>
    <row r="23" spans="2:24" x14ac:dyDescent="0.25">
      <c r="B23" s="20"/>
      <c r="C23" s="102" t="s">
        <v>914</v>
      </c>
      <c r="D23" s="27" t="e">
        <f>IF(ReinType="Form Fit", IF(D18&lt;=4.71*SQRT(J8/L8),(0.658^(L8/D22))*L5,0.877*D22), IF(D18&lt;=4.71*SQRT(J5/L5),(0.658^(L5/D22))*L5,0.877*D22))</f>
        <v>#DIV/0!</v>
      </c>
      <c r="E23" s="334" t="e">
        <f>IF(O3&lt;=4.71*SQRT(J3/L3), 0.658^(L3/E22)*L3, 0.877*E22)</f>
        <v>#DIV/0!</v>
      </c>
      <c r="F23" s="69"/>
      <c r="G23" s="69"/>
      <c r="H23" s="69"/>
      <c r="I23" s="69"/>
      <c r="J23" s="69"/>
      <c r="K23" s="69"/>
      <c r="L23" s="69"/>
      <c r="M23" s="20"/>
      <c r="N23" s="20"/>
      <c r="V23" t="s">
        <v>1403</v>
      </c>
      <c r="W23" t="e">
        <f>W22*KL_ro_H</f>
        <v>#DIV/0!</v>
      </c>
    </row>
    <row r="24" spans="2:24" x14ac:dyDescent="0.25">
      <c r="B24" s="20"/>
      <c r="C24" s="69"/>
      <c r="D24" s="22"/>
      <c r="E24" s="69"/>
      <c r="F24" s="20"/>
      <c r="G24" s="20"/>
      <c r="H24" s="20"/>
      <c r="I24" s="20"/>
      <c r="J24" s="20"/>
      <c r="K24" s="20"/>
      <c r="L24" s="20"/>
      <c r="M24" s="20"/>
      <c r="N24" s="20"/>
      <c r="V24" t="s">
        <v>1407</v>
      </c>
      <c r="W24" t="e">
        <f>IF(ReinType="Form Fit", (PI()^2*J8)/(W23)^2, (PI()^2*J5)/(W23)^2)</f>
        <v>#DIV/0!</v>
      </c>
      <c r="X24" t="s">
        <v>0</v>
      </c>
    </row>
    <row r="25" spans="2:24" x14ac:dyDescent="0.25">
      <c r="B25" s="20"/>
      <c r="C25" s="331" t="s">
        <v>915</v>
      </c>
      <c r="D25" s="27">
        <f>IF(Summary!G18="Fixed",IF(ReinType="Form Fit", G8,G5),IF(ReinType="Form Fit",G6, G3))</f>
        <v>0</v>
      </c>
      <c r="E25" s="334">
        <f>G3</f>
        <v>0</v>
      </c>
      <c r="F25" s="20"/>
      <c r="G25" s="20"/>
      <c r="H25" s="20"/>
      <c r="I25" s="20"/>
      <c r="J25" s="20"/>
      <c r="K25" s="20"/>
      <c r="L25" s="20"/>
      <c r="M25" s="20"/>
      <c r="N25" s="20"/>
      <c r="V25" t="s">
        <v>1404</v>
      </c>
      <c r="W25" t="e">
        <f>IF(ReinType="Form Fit", IF(W23&lt;=4.71*SQRT(J8/L8),(0.658^(L8/W24))*L5,0.877*W24), IF(W23&lt;=4.71*SQRT(J5/L5),(0.658^(L5/W24))*L5,0.877*W24))</f>
        <v>#DIV/0!</v>
      </c>
      <c r="X25" t="s">
        <v>0</v>
      </c>
    </row>
    <row r="26" spans="2:24" x14ac:dyDescent="0.25">
      <c r="B26" s="20"/>
      <c r="C26" s="20"/>
      <c r="D26" s="22"/>
      <c r="E26" s="69"/>
      <c r="F26" s="20"/>
      <c r="G26" s="20"/>
      <c r="H26" s="20"/>
      <c r="I26" s="20"/>
      <c r="J26" s="20"/>
      <c r="K26" s="20"/>
      <c r="L26" s="20"/>
      <c r="M26" s="20"/>
      <c r="N26" s="20"/>
      <c r="V26" t="s">
        <v>1402</v>
      </c>
      <c r="W26" s="89">
        <f>IF(ReinType="Form Fit",$G$8,$G$5)</f>
        <v>0</v>
      </c>
      <c r="X26" s="20" t="s">
        <v>328</v>
      </c>
    </row>
    <row r="27" spans="2:24" ht="15.75" thickBot="1" x14ac:dyDescent="0.3">
      <c r="C27" s="12" t="s">
        <v>214</v>
      </c>
      <c r="D27" s="68">
        <v>0.9</v>
      </c>
      <c r="E27" s="328"/>
      <c r="V27" t="s">
        <v>1405</v>
      </c>
      <c r="W27">
        <f>Phic_H</f>
        <v>0.9</v>
      </c>
    </row>
    <row r="28" spans="2:24" x14ac:dyDescent="0.25">
      <c r="C28" s="13" t="s">
        <v>215</v>
      </c>
      <c r="D28" s="358" t="e">
        <f>IF(ReinType="Split Pipe",IF(D12&lt;=1,D27*D23*D25,E28),D27*D23*D25)</f>
        <v>#DIV/0!</v>
      </c>
      <c r="E28" s="335" t="e">
        <f>D27*E23*E25</f>
        <v>#DIV/0!</v>
      </c>
      <c r="G28" s="332" t="s">
        <v>917</v>
      </c>
      <c r="V28" t="s">
        <v>1406</v>
      </c>
      <c r="W28" s="463" t="e">
        <f>W27*W25*W26</f>
        <v>#DIV/0!</v>
      </c>
      <c r="X28" t="s">
        <v>385</v>
      </c>
    </row>
    <row r="29" spans="2:24" ht="15.75" thickBot="1" x14ac:dyDescent="0.3">
      <c r="C29" s="12" t="s">
        <v>216</v>
      </c>
      <c r="D29" s="29">
        <f>Summary!O8</f>
        <v>0</v>
      </c>
      <c r="E29" s="328"/>
      <c r="G29" s="333" t="e">
        <f>IF(E20="Design Rqmts Not Met","Original Leg",IF(E28&gt;=D28,"Original Leg","Built-Up Leg"))</f>
        <v>#DIV/0!</v>
      </c>
    </row>
    <row r="30" spans="2:24" x14ac:dyDescent="0.25">
      <c r="C30" s="74" t="s">
        <v>107</v>
      </c>
      <c r="D30" s="103" t="e">
        <f>IF(E20="Design Rqmts Not Met",D29/E28,IF(ReinType="Split Pipe",IF(D12&lt;=1,D29/MAX(D28,E28),D29/E28),D29/MAX(D28,E28)))</f>
        <v>#DIV/0!</v>
      </c>
      <c r="E30" s="328" t="s">
        <v>918</v>
      </c>
    </row>
    <row r="32" spans="2:24" x14ac:dyDescent="0.25">
      <c r="B32" s="28" t="s">
        <v>108</v>
      </c>
      <c r="F32" t="s">
        <v>164</v>
      </c>
    </row>
    <row r="34" spans="2:10" x14ac:dyDescent="0.25">
      <c r="C34" s="13" t="s">
        <v>215</v>
      </c>
      <c r="D34" s="27">
        <f>IF(ReinType="Form Fit", D27*G6*K6, D27*G3*K3)</f>
        <v>0</v>
      </c>
    </row>
    <row r="35" spans="2:10" x14ac:dyDescent="0.25">
      <c r="C35" s="101" t="s">
        <v>107</v>
      </c>
      <c r="D35" s="103" t="e">
        <f>D29/D34</f>
        <v>#DIV/0!</v>
      </c>
    </row>
    <row r="37" spans="2:10" x14ac:dyDescent="0.25">
      <c r="B37" s="28" t="s">
        <v>100</v>
      </c>
      <c r="F37" t="s">
        <v>165</v>
      </c>
    </row>
    <row r="39" spans="2:10" x14ac:dyDescent="0.25">
      <c r="C39" s="12" t="s">
        <v>217</v>
      </c>
      <c r="D39" s="17">
        <v>0.9</v>
      </c>
    </row>
    <row r="40" spans="2:10" x14ac:dyDescent="0.25">
      <c r="C40" s="12" t="s">
        <v>208</v>
      </c>
      <c r="D40" s="16">
        <f>IF(ReinType="Form Fit", Ycf, PNA)</f>
        <v>0.39166548416202462</v>
      </c>
      <c r="E40" t="s">
        <v>1</v>
      </c>
    </row>
    <row r="41" spans="2:10" x14ac:dyDescent="0.25">
      <c r="C41" s="12" t="s">
        <v>209</v>
      </c>
      <c r="D41" s="16">
        <f>D29*D40</f>
        <v>0</v>
      </c>
      <c r="E41" t="s">
        <v>118</v>
      </c>
    </row>
    <row r="42" spans="2:10" x14ac:dyDescent="0.25">
      <c r="C42" s="12" t="s">
        <v>218</v>
      </c>
      <c r="D42" s="16" t="e">
        <f>IF(ReinType="Form Fit", " --", Ztot)</f>
        <v>#DIV/0!</v>
      </c>
      <c r="E42" t="s">
        <v>119</v>
      </c>
    </row>
    <row r="43" spans="2:10" x14ac:dyDescent="0.25">
      <c r="C43" s="12" t="s">
        <v>219</v>
      </c>
      <c r="D43" s="16" t="e">
        <f>IF(ReinType="Form Fit",  IF(Tleg=Dleg/2,L6,K6),IF(Tleg=Dleg/2,L3,K3))</f>
        <v>#DIV/0!</v>
      </c>
      <c r="E43" t="s">
        <v>0</v>
      </c>
      <c r="F43" t="s">
        <v>121</v>
      </c>
    </row>
    <row r="44" spans="2:10" x14ac:dyDescent="0.25">
      <c r="C44" s="12" t="s">
        <v>220</v>
      </c>
      <c r="D44" s="29" t="e">
        <f>IF(ReinType="Form Fit",PI()^2*J8*H8/(N8*M8)^2,PI()^2*J5*H5/(N5*M5)^2)</f>
        <v>#DIV/0!</v>
      </c>
      <c r="F44" t="s">
        <v>123</v>
      </c>
    </row>
    <row r="45" spans="2:10" x14ac:dyDescent="0.25">
      <c r="C45" s="12" t="s">
        <v>221</v>
      </c>
      <c r="D45" s="75" t="e">
        <f>IF(Summary!$G$21="P-Delta",1,MAX(1,1/(1-D29/D44)))</f>
        <v>#DIV/0!</v>
      </c>
      <c r="F45" t="s">
        <v>123</v>
      </c>
    </row>
    <row r="46" spans="2:10" x14ac:dyDescent="0.25">
      <c r="C46" s="12"/>
      <c r="D46" s="16"/>
    </row>
    <row r="47" spans="2:10" x14ac:dyDescent="0.25">
      <c r="F47" s="19" t="s">
        <v>122</v>
      </c>
      <c r="G47" s="31" t="s">
        <v>124</v>
      </c>
    </row>
    <row r="48" spans="2:10" x14ac:dyDescent="0.25">
      <c r="B48" s="489" t="s">
        <v>101</v>
      </c>
      <c r="C48" s="489"/>
      <c r="D48" s="67" t="s">
        <v>2</v>
      </c>
      <c r="E48" s="67" t="s">
        <v>104</v>
      </c>
      <c r="F48" s="67" t="s">
        <v>105</v>
      </c>
      <c r="G48" s="67" t="s">
        <v>106</v>
      </c>
      <c r="I48" s="74"/>
      <c r="J48" s="117"/>
    </row>
    <row r="49" spans="2:24" x14ac:dyDescent="0.25">
      <c r="B49" s="489" t="s">
        <v>102</v>
      </c>
      <c r="C49" s="489"/>
      <c r="D49" s="70">
        <f>IF(ReinType="Form Fit", MAX(D40+E6/2,INDEX('Form Fit Reference'!$A$3:$M$35,MATCH(Diameter,RFF_Actual, 0),7)), D40+E3/2)</f>
        <v>0.39166548416202462</v>
      </c>
      <c r="E49" s="70" t="e">
        <f>IF(ReinType="Form Fit", H8/D49, H5/D49)</f>
        <v>#DIV/0!</v>
      </c>
      <c r="F49" s="70" t="e">
        <f>IF(ReinType="Form Fit",IF(F6&lt;=0.309*J6/D43,((0.0207*J6/(F6*D43))+1)*D43*E49,IF(AND(0.309*J6/D43&lt;F6,F6&lt;=400),0.33*J6*E49/F6, "D/t may not exceed 400 for tubular members.")),(IF(F3&lt;=0.0714*J3/D42,D43*$D$42,IF(AND(0.0714*J3/D43&lt;F3,F3&lt;=0.309*J3/D43),((0.0207*J3/(F3*D43))+1)*D43*E49,IF(AND(0.309*J3/D43&lt;F3,F3&lt;=300),0.33*J3*E49/F3, "D/t may not exceed 300 for tubular members.")))))</f>
        <v>#DIV/0!</v>
      </c>
      <c r="G49" s="70" t="e">
        <f>IF($D$30&lt;0.2,($D$29/(2*$D$28)+$D$45*$D$41/($D$39*F49)),IF(AND($D$30&gt;=0.2,$D$30&lt;=1),(8/9)*($D$30+$D$45*$D$41/($D$39*F49)),"Axial Capacity Exceeded"))</f>
        <v>#DIV/0!</v>
      </c>
      <c r="H49" s="74"/>
      <c r="I49" s="116"/>
      <c r="J49" s="74"/>
      <c r="K49" s="74"/>
      <c r="L49" s="74"/>
      <c r="M49" s="74"/>
      <c r="N49" s="74"/>
      <c r="O49" s="74"/>
      <c r="P49" s="74"/>
      <c r="Q49" s="74"/>
      <c r="R49" s="74"/>
      <c r="S49" s="74"/>
      <c r="T49" s="74"/>
      <c r="U49" s="74"/>
      <c r="V49" s="74"/>
      <c r="W49" s="74"/>
      <c r="X49" s="74"/>
    </row>
    <row r="50" spans="2:24" x14ac:dyDescent="0.25">
      <c r="B50" s="489" t="s">
        <v>103</v>
      </c>
      <c r="C50" s="489"/>
      <c r="D50" s="70">
        <f>IF(ReinType="Form Fit",INDEX('Form Fit Reference'!$A$3:$M$35,MATCH(Diameter,RFF_Actual, 0),13),Yoff+E4/2-D40)</f>
        <v>-0.39166548416202462</v>
      </c>
      <c r="E50" s="70" t="e">
        <f>IF(ReinType="Form Fit", H8/D50, H5/D50)</f>
        <v>#DIV/0!</v>
      </c>
      <c r="F50" s="70" t="e">
        <f>IF(ReinType="Form Fit",L7*E50, IF(F4&lt;=0.0714*J4/K4,K4*$D$42,IF(AND(0.0714*J4/K4&lt;F4,F4&lt;=0.309*J4/K4),((0.0207*J4/(F4*K4))+1)*K4*E50,IF(AND(0.309*J4/K4&lt;F4,F4&lt;=400),0.33*J4*E50/F4, "D/t may not exceed 400 for tubular members."))))</f>
        <v>#DIV/0!</v>
      </c>
      <c r="G50" s="70" t="e">
        <f>IF($D$30&lt;0.2,($D$29/(2*$D$28)-$D$45*$D$41/($D$39*F50)),IF(AND($D$30&gt;=0.2,$D$30&lt;=1),(8/9)*($D$30-$D$45*$D$41/($D$39*F50)),"Axial Capacity Exceeded"))</f>
        <v>#DIV/0!</v>
      </c>
      <c r="H50" s="74"/>
      <c r="I50" s="74"/>
      <c r="K50" s="74"/>
    </row>
    <row r="51" spans="2:24" x14ac:dyDescent="0.25">
      <c r="D51" s="89"/>
    </row>
    <row r="52" spans="2:24" x14ac:dyDescent="0.25">
      <c r="C52" s="101" t="s">
        <v>107</v>
      </c>
      <c r="D52" s="103" t="e">
        <f>MAX(G49:G50)</f>
        <v>#DIV/0!</v>
      </c>
    </row>
  </sheetData>
  <customSheetViews>
    <customSheetView guid="{47553E05-005A-459E-BBCC-799C7F4EBE26}">
      <selection activeCell="T23" sqref="T23"/>
      <pageMargins left="0.7" right="0.7" top="0.75" bottom="0.75" header="0.3" footer="0.3"/>
      <pageSetup orientation="portrait" horizontalDpi="1200" verticalDpi="1200" r:id="rId1"/>
    </customSheetView>
    <customSheetView guid="{9A54679E-64D7-44E9-AABE-4253818C5C4B}" topLeftCell="A7">
      <selection activeCell="N19" sqref="N19"/>
      <pageMargins left="0.7" right="0.7" top="0.75" bottom="0.75" header="0.3" footer="0.3"/>
      <pageSetup orientation="portrait" horizontalDpi="1200" verticalDpi="1200" r:id="rId2"/>
    </customSheetView>
  </customSheetViews>
  <mergeCells count="12">
    <mergeCell ref="A3:A5"/>
    <mergeCell ref="A6:A8"/>
    <mergeCell ref="B6:C6"/>
    <mergeCell ref="B7:C7"/>
    <mergeCell ref="B8:C8"/>
    <mergeCell ref="B50:C50"/>
    <mergeCell ref="B2:C2"/>
    <mergeCell ref="B3:C3"/>
    <mergeCell ref="B4:C4"/>
    <mergeCell ref="B5:C5"/>
    <mergeCell ref="B48:C48"/>
    <mergeCell ref="B49:C49"/>
  </mergeCells>
  <conditionalFormatting sqref="B3:O5">
    <cfRule type="expression" dxfId="8" priority="2">
      <formula>IF(ReinType&lt;&gt;"Split Pipe",1,0)</formula>
    </cfRule>
  </conditionalFormatting>
  <conditionalFormatting sqref="B6:O8">
    <cfRule type="expression" dxfId="7" priority="1">
      <formula>IF(ReinType&lt;&gt;"Form Fit",1,0)</formula>
    </cfRule>
  </conditionalFormatting>
  <pageMargins left="0.7" right="0.7" top="0.75" bottom="0.75" header="0.3" footer="0.3"/>
  <pageSetup orientation="portrait" horizontalDpi="1200" verticalDpi="1200" r:id="rId3"/>
  <drawing r:id="rId4"/>
  <legacyDrawing r:id="rId5"/>
  <oleObjects>
    <mc:AlternateContent xmlns:mc="http://schemas.openxmlformats.org/markup-compatibility/2006">
      <mc:Choice Requires="x14">
        <oleObject progId="AutoCADLT.Drawing.19" shapeId="363521" r:id="rId6">
          <objectPr defaultSize="0" autoPict="0" r:id="rId7">
            <anchor moveWithCells="1">
              <from>
                <xdr:col>10</xdr:col>
                <xdr:colOff>590550</xdr:colOff>
                <xdr:row>34</xdr:row>
                <xdr:rowOff>47625</xdr:rowOff>
              </from>
              <to>
                <xdr:col>15</xdr:col>
                <xdr:colOff>200025</xdr:colOff>
                <xdr:row>45</xdr:row>
                <xdr:rowOff>38100</xdr:rowOff>
              </to>
            </anchor>
          </objectPr>
        </oleObject>
      </mc:Choice>
      <mc:Fallback>
        <oleObject progId="AutoCADLT.Drawing.19" shapeId="363521" r:id="rId6"/>
      </mc:Fallback>
    </mc:AlternateContent>
  </oleObjects>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7"/>
  <dimension ref="A2:X55"/>
  <sheetViews>
    <sheetView workbookViewId="0">
      <selection activeCell="G18" sqref="G18"/>
    </sheetView>
  </sheetViews>
  <sheetFormatPr defaultRowHeight="15" x14ac:dyDescent="0.25"/>
  <cols>
    <col min="1" max="1" width="12.7109375" bestFit="1" customWidth="1"/>
    <col min="4" max="4" width="11.5703125" bestFit="1" customWidth="1"/>
    <col min="6" max="6" width="10.5703125" bestFit="1" customWidth="1"/>
    <col min="7" max="7" width="22.7109375" bestFit="1" customWidth="1"/>
    <col min="8" max="8" width="11.5703125" bestFit="1" customWidth="1"/>
    <col min="9" max="9" width="10.7109375" bestFit="1" customWidth="1"/>
    <col min="22" max="24" width="0" hidden="1" customWidth="1"/>
  </cols>
  <sheetData>
    <row r="2" spans="1:15" ht="30" x14ac:dyDescent="0.25">
      <c r="B2" s="648" t="s">
        <v>90</v>
      </c>
      <c r="C2" s="648"/>
      <c r="D2" s="94" t="s">
        <v>17</v>
      </c>
      <c r="E2" s="94" t="s">
        <v>291</v>
      </c>
      <c r="F2" s="94" t="s">
        <v>290</v>
      </c>
      <c r="G2" s="95" t="s">
        <v>292</v>
      </c>
      <c r="H2" s="95" t="s">
        <v>286</v>
      </c>
      <c r="I2" s="95" t="s">
        <v>4</v>
      </c>
      <c r="J2" s="96" t="s">
        <v>97</v>
      </c>
      <c r="K2" s="96" t="s">
        <v>96</v>
      </c>
      <c r="L2" s="115" t="s">
        <v>301</v>
      </c>
      <c r="M2" s="97" t="s">
        <v>99</v>
      </c>
      <c r="N2" s="96" t="s">
        <v>95</v>
      </c>
      <c r="O2" s="96" t="s">
        <v>94</v>
      </c>
    </row>
    <row r="3" spans="1:15" x14ac:dyDescent="0.25">
      <c r="A3" s="648" t="s">
        <v>92</v>
      </c>
      <c r="B3" s="650" t="s">
        <v>91</v>
      </c>
      <c r="C3" s="651"/>
      <c r="D3" s="1">
        <f>Tleg</f>
        <v>0</v>
      </c>
      <c r="E3" s="1">
        <f>Dleg</f>
        <v>0</v>
      </c>
      <c r="F3" s="2" t="e">
        <f>E3/D3</f>
        <v>#DIV/0!</v>
      </c>
      <c r="G3" s="2">
        <f>Aleg</f>
        <v>0</v>
      </c>
      <c r="H3" s="2">
        <f>Ileg</f>
        <v>0</v>
      </c>
      <c r="I3" s="2" t="e">
        <f t="shared" ref="I3:I8" si="0">SQRT(H3/G3)</f>
        <v>#DIV/0!</v>
      </c>
      <c r="J3" s="6">
        <v>29000</v>
      </c>
      <c r="K3" s="6">
        <f>Gleg</f>
        <v>0</v>
      </c>
      <c r="L3" s="4" t="e">
        <f>IF(F3&lt;=0.114*J3/K3,K3,IF(AND(0.114*J3/K3&lt;F3,F3&lt;=0.448*J3/K3),((0.0379*J3)/(F3*K3)+2/3)*K3,IF(AND(0.448*J3/K3&lt;F3,F3&lt;=400),0.337*J3/F3,"Leg is slender")))</f>
        <v>#DIV/0!</v>
      </c>
      <c r="M3" s="6">
        <f>Summary!G31</f>
        <v>0</v>
      </c>
      <c r="N3" s="6">
        <v>1</v>
      </c>
      <c r="O3" s="14" t="e">
        <f t="shared" ref="O3:O8" si="1">N3*M3/I3</f>
        <v>#DIV/0!</v>
      </c>
    </row>
    <row r="4" spans="1:15" x14ac:dyDescent="0.25">
      <c r="A4" s="648"/>
      <c r="B4" s="649" t="s">
        <v>92</v>
      </c>
      <c r="C4" s="649"/>
      <c r="D4" s="1">
        <f>Trein</f>
        <v>0</v>
      </c>
      <c r="E4" s="1">
        <f>Drein</f>
        <v>0</v>
      </c>
      <c r="F4" s="2" t="e">
        <f>E4/D4</f>
        <v>#DIV/0!</v>
      </c>
      <c r="G4" s="2">
        <f>Arein</f>
        <v>0</v>
      </c>
      <c r="H4" s="2" t="e">
        <f>Irein</f>
        <v>#DIV/0!</v>
      </c>
      <c r="I4" s="2" t="e">
        <f t="shared" si="0"/>
        <v>#DIV/0!</v>
      </c>
      <c r="J4" s="6">
        <v>29000</v>
      </c>
      <c r="K4" s="6">
        <f>Grein</f>
        <v>0</v>
      </c>
      <c r="L4" s="4" t="e">
        <f>IF(F4&lt;=0.114*J4/K4,K4,IF(AND(0.114*J4/K4&lt;F4,F4&lt;=0.448*J4/K4),((0.0379*J4)/(F4*K4)+2/3)*K4,IF(AND(0.448*J4/K4&lt;F4,F4&lt;=400),0.337*J4/F4,"Leg is slender")))</f>
        <v>#DIV/0!</v>
      </c>
      <c r="M4" s="6">
        <f>Summary!G24</f>
        <v>0</v>
      </c>
      <c r="N4" s="11">
        <f>IF(Ki_Override="",IF(Summary!G23="Welded",0.8,1),Ki_Override)</f>
        <v>1</v>
      </c>
      <c r="O4" s="14" t="e">
        <f t="shared" si="1"/>
        <v>#DIV/0!</v>
      </c>
    </row>
    <row r="5" spans="1:15" x14ac:dyDescent="0.25">
      <c r="A5" s="648"/>
      <c r="B5" s="649" t="s">
        <v>93</v>
      </c>
      <c r="C5" s="649"/>
      <c r="D5" s="8"/>
      <c r="E5" s="8"/>
      <c r="F5" s="8"/>
      <c r="G5" s="9">
        <f>Atot</f>
        <v>0</v>
      </c>
      <c r="H5" s="2" t="e">
        <f>Itot</f>
        <v>#DIV/0!</v>
      </c>
      <c r="I5" s="2" t="e">
        <f t="shared" si="0"/>
        <v>#DIV/0!</v>
      </c>
      <c r="J5" s="6">
        <v>29000</v>
      </c>
      <c r="K5" s="10"/>
      <c r="L5" s="11" t="e">
        <f>MIN(L3:L4)</f>
        <v>#DIV/0!</v>
      </c>
      <c r="M5" s="6">
        <f>Summary!G31</f>
        <v>0</v>
      </c>
      <c r="N5" s="6">
        <v>1</v>
      </c>
      <c r="O5" s="14" t="e">
        <f t="shared" si="1"/>
        <v>#DIV/0!</v>
      </c>
    </row>
    <row r="6" spans="1:15" hidden="1" x14ac:dyDescent="0.25">
      <c r="A6" s="648" t="s">
        <v>293</v>
      </c>
      <c r="B6" s="650" t="s">
        <v>91</v>
      </c>
      <c r="C6" s="651"/>
      <c r="D6" s="77">
        <f>Tleg</f>
        <v>0</v>
      </c>
      <c r="E6" s="1">
        <f>Dleg</f>
        <v>0</v>
      </c>
      <c r="F6" s="2" t="e">
        <f>E6/D6</f>
        <v>#DIV/0!</v>
      </c>
      <c r="G6" s="2">
        <f>Alegf</f>
        <v>0</v>
      </c>
      <c r="H6" s="78">
        <f>Ileg</f>
        <v>0</v>
      </c>
      <c r="I6" s="78" t="e">
        <f>SQRT(H6/G6)</f>
        <v>#DIV/0!</v>
      </c>
      <c r="J6" s="83">
        <v>29000</v>
      </c>
      <c r="K6" s="77">
        <f>Gleg</f>
        <v>0</v>
      </c>
      <c r="L6" s="4" t="e">
        <f>IF(F6&lt;=0.114*J6/K6,K6,IF(AND(0.114*J6/K6&lt;F6,F6&lt;=0.448*J6/K6),((0.0379*J6)/(F6*K6)+2/3)*K6,IF(AND(0.448*J6/K6&lt;F6,F6&lt;=400),0.337*J6/F6,"Leg is slender")))</f>
        <v>#DIV/0!</v>
      </c>
      <c r="M6" s="79">
        <f>Summary!G31</f>
        <v>0</v>
      </c>
      <c r="N6" s="79">
        <v>1</v>
      </c>
      <c r="O6" s="80" t="e">
        <f t="shared" si="1"/>
        <v>#DIV/0!</v>
      </c>
    </row>
    <row r="7" spans="1:15" hidden="1" x14ac:dyDescent="0.25">
      <c r="A7" s="648"/>
      <c r="B7" s="650" t="s">
        <v>293</v>
      </c>
      <c r="C7" s="651"/>
      <c r="D7" s="77">
        <f>Trein</f>
        <v>0</v>
      </c>
      <c r="E7" s="1">
        <f>Drein+2*Trein</f>
        <v>0</v>
      </c>
      <c r="F7" s="2" t="e">
        <f>E7/D7</f>
        <v>#DIV/0!</v>
      </c>
      <c r="G7" s="2" t="e">
        <f>Areinf</f>
        <v>#N/A</v>
      </c>
      <c r="H7" s="78" t="e">
        <f>MIN(FFPI, Summary!Z83)</f>
        <v>#N/A</v>
      </c>
      <c r="I7" s="78" t="e">
        <f>SQRT(H7/G7)</f>
        <v>#N/A</v>
      </c>
      <c r="J7" s="83">
        <v>29000</v>
      </c>
      <c r="K7" s="77">
        <f>Grein</f>
        <v>0</v>
      </c>
      <c r="L7" s="4" t="e">
        <f>IF(F7&lt;=0.114*J7/K7,K7,IF(AND(0.114*J7/K7&lt;F7,F7&lt;=0.448*J7/K7),((0.0379*J7)/(F7*K7)+2/3)*K7,IF(AND(0.448*J7/K7&lt;F7,F7&lt;=400),0.337*J7/F7,"Leg is slender")))</f>
        <v>#DIV/0!</v>
      </c>
      <c r="M7" s="79">
        <f>Summary!G24</f>
        <v>0</v>
      </c>
      <c r="N7" s="84">
        <f>IF(Summary!$G$23="Welded",0.8,1)</f>
        <v>1</v>
      </c>
      <c r="O7" s="80" t="e">
        <f t="shared" si="1"/>
        <v>#N/A</v>
      </c>
    </row>
    <row r="8" spans="1:15" hidden="1" x14ac:dyDescent="0.25">
      <c r="A8" s="648"/>
      <c r="B8" s="650" t="s">
        <v>93</v>
      </c>
      <c r="C8" s="651"/>
      <c r="D8" s="81"/>
      <c r="E8" s="81"/>
      <c r="F8" s="81"/>
      <c r="G8" s="9" t="e">
        <f>FFPtotArea</f>
        <v>#N/A</v>
      </c>
      <c r="H8" s="78" t="e">
        <f>ItotFFP</f>
        <v>#N/A</v>
      </c>
      <c r="I8" s="78" t="e">
        <f t="shared" si="0"/>
        <v>#N/A</v>
      </c>
      <c r="J8" s="83">
        <v>29000</v>
      </c>
      <c r="K8" s="81"/>
      <c r="L8" s="11" t="e">
        <f>MIN(L6:L7)</f>
        <v>#DIV/0!</v>
      </c>
      <c r="M8" s="79">
        <f>Summary!G31</f>
        <v>0</v>
      </c>
      <c r="N8" s="79">
        <v>1</v>
      </c>
      <c r="O8" s="80" t="e">
        <f t="shared" si="1"/>
        <v>#N/A</v>
      </c>
    </row>
    <row r="10" spans="1:15" x14ac:dyDescent="0.25">
      <c r="B10" s="28" t="s">
        <v>98</v>
      </c>
      <c r="F10" t="s">
        <v>117</v>
      </c>
    </row>
    <row r="12" spans="1:15" ht="15.75" x14ac:dyDescent="0.3">
      <c r="C12" s="21" t="s">
        <v>200</v>
      </c>
      <c r="D12" s="16" t="e">
        <f>IF(ReinType="Form Fit", O7/O8, O4/O5)</f>
        <v>#DIV/0!</v>
      </c>
      <c r="E12" s="72" t="e">
        <f>IF(D12&lt;=0.75,"O.K.","Exceeded")</f>
        <v>#DIV/0!</v>
      </c>
      <c r="F12" s="30" t="s">
        <v>155</v>
      </c>
    </row>
    <row r="14" spans="1:15" x14ac:dyDescent="0.25">
      <c r="B14" s="20"/>
      <c r="C14" s="12" t="s">
        <v>211</v>
      </c>
      <c r="D14" s="15" t="e">
        <f>IF(ReinType="Form Fit", Summary!Z86+Ycf, Yrein)</f>
        <v>#DIV/0!</v>
      </c>
      <c r="E14" s="20" t="s">
        <v>1</v>
      </c>
      <c r="F14" s="20"/>
      <c r="G14" s="20"/>
      <c r="H14" s="20"/>
      <c r="I14" s="20"/>
      <c r="J14" s="20"/>
      <c r="K14" s="20"/>
      <c r="L14" s="20"/>
      <c r="M14" s="20"/>
      <c r="N14" s="20"/>
    </row>
    <row r="15" spans="1:15" ht="17.25" x14ac:dyDescent="0.4">
      <c r="B15" s="20"/>
      <c r="C15" s="21" t="s">
        <v>212</v>
      </c>
      <c r="D15" s="23" t="e">
        <f>IF(Summary!G23="Bolted","N/A",IF(ReinType="Form Fit",D14/(2*MIN(I6:I7)),D14/(2*MIN(I3:I4))))</f>
        <v>#DIV/0!</v>
      </c>
      <c r="E15" s="20"/>
      <c r="F15" s="20"/>
      <c r="G15" s="20"/>
      <c r="H15" s="20"/>
      <c r="I15" s="20"/>
      <c r="J15" s="20"/>
      <c r="K15" s="20"/>
      <c r="L15" s="20"/>
      <c r="M15" s="20"/>
      <c r="N15" s="20"/>
    </row>
    <row r="16" spans="1:15" x14ac:dyDescent="0.25">
      <c r="B16" s="20"/>
      <c r="C16" s="21"/>
      <c r="D16" s="23"/>
      <c r="E16" s="20"/>
      <c r="F16" s="20"/>
      <c r="G16" s="20"/>
      <c r="H16" s="20"/>
      <c r="I16" s="20"/>
      <c r="J16" s="20"/>
      <c r="K16" s="20"/>
      <c r="L16" s="20"/>
      <c r="M16" s="20"/>
      <c r="N16" s="20"/>
    </row>
    <row r="17" spans="2:24" ht="18" x14ac:dyDescent="0.25">
      <c r="B17" s="20"/>
      <c r="C17" s="344" t="s">
        <v>928</v>
      </c>
      <c r="D17" s="73" t="e">
        <f>IF(ReinType="Form Fit",O8,O5)</f>
        <v>#DIV/0!</v>
      </c>
      <c r="E17" s="20"/>
      <c r="F17" s="20"/>
      <c r="G17" s="20"/>
      <c r="H17" s="20"/>
      <c r="I17" s="20"/>
      <c r="J17" s="20"/>
      <c r="K17" s="20"/>
      <c r="L17" s="20"/>
      <c r="M17" s="20"/>
      <c r="N17" s="20"/>
    </row>
    <row r="18" spans="2:24" ht="18" x14ac:dyDescent="0.35">
      <c r="B18" s="20"/>
      <c r="C18" s="101" t="s">
        <v>302</v>
      </c>
      <c r="D18" s="73" t="e">
        <f>IF(ReinType="Form Fit", IF(Summary!$G$23="Bolted",SQRT(O8^2+(M7/MIN(I6:I7))^2),SQRT(O8^2+0.82*((D15^2)/(1+D15^2))*(M7/MIN(I6:I7))^2)), IF(Summary!$G$23="Bolted",SQRT(O5^2+(M4/MIN(I3:I4))^2),SQRT(O5^2+0.82*((D15^2)/(1+D15^2))*(M4/MIN(I3:I4))^2)))</f>
        <v>#DIV/0!</v>
      </c>
      <c r="E18" s="69" t="e">
        <f>IF(ReinType="Form Fit", IF($E$12="Exceeded",N6*M6/MIN(I6:I7),IF(Summary!$G$23="Bolted",SQRT(O8^2+(M7/MIN(I6:I7))^2),SQRT(O8^2+0.82*((D15^2)/(1+D15^2))*(M7/MIN(I6:I7))^2))), IF($E$12="Exceeded",N3*M3/MIN(I3:I4),IF(Summary!$G$23="Bolted",SQRT(O5^2+(M4/MIN(I3:I4))^2),SQRT(O5^2+0.82*((D15^2)/(1+D15^2))*(M4/MIN(I3:I4))^2))))</f>
        <v>#DIV/0!</v>
      </c>
      <c r="F18" s="74"/>
      <c r="I18" s="20"/>
      <c r="J18" s="20"/>
      <c r="K18" s="20"/>
      <c r="L18" s="20"/>
      <c r="M18" s="20"/>
      <c r="N18" s="20"/>
    </row>
    <row r="19" spans="2:24" ht="18" x14ac:dyDescent="0.25">
      <c r="B19" s="20"/>
      <c r="C19" s="344" t="s">
        <v>931</v>
      </c>
      <c r="D19" s="73" t="e">
        <f>IF(ReinType="Form Fit",N6*M6/MIN(I6:I7),N3*M3/MIN(I3:I4))</f>
        <v>#DIV/0!</v>
      </c>
      <c r="E19" s="69"/>
      <c r="F19" s="339"/>
      <c r="I19" s="20"/>
      <c r="J19" s="20"/>
      <c r="K19" s="20"/>
      <c r="L19" s="20"/>
      <c r="M19" s="20"/>
      <c r="N19" s="20"/>
    </row>
    <row r="20" spans="2:24" x14ac:dyDescent="0.25">
      <c r="B20" s="20"/>
      <c r="C20" s="69"/>
      <c r="D20" s="378"/>
      <c r="E20" s="20"/>
      <c r="F20" s="20"/>
      <c r="G20" s="20"/>
      <c r="H20" s="20"/>
      <c r="I20" s="20"/>
      <c r="J20" s="20"/>
      <c r="K20" s="20"/>
      <c r="L20" s="20"/>
      <c r="M20" s="20"/>
      <c r="N20" s="20"/>
    </row>
    <row r="21" spans="2:24" x14ac:dyDescent="0.25">
      <c r="B21" s="20"/>
      <c r="C21" s="102" t="s">
        <v>201</v>
      </c>
      <c r="D21" s="73" t="e">
        <f>IF(Summary!G22="KL/r Modified",IF($E$12="Exceeded",D19,D18),IF(ReinType="Form Fit",O8,O5))</f>
        <v>#DIV/0!</v>
      </c>
      <c r="E21" s="20"/>
      <c r="F21" s="20"/>
      <c r="G21" s="20"/>
      <c r="H21" s="20"/>
      <c r="I21" s="20"/>
      <c r="J21" s="20"/>
      <c r="K21" s="20"/>
      <c r="L21" s="20"/>
      <c r="M21" s="20"/>
      <c r="N21" s="20"/>
      <c r="V21" t="s">
        <v>1408</v>
      </c>
    </row>
    <row r="22" spans="2:24" x14ac:dyDescent="0.25">
      <c r="B22" s="20"/>
      <c r="C22" s="102"/>
      <c r="D22" s="73"/>
      <c r="E22" s="20"/>
      <c r="F22" s="20"/>
      <c r="G22" s="20"/>
      <c r="H22" s="20"/>
      <c r="I22" s="20"/>
      <c r="J22" s="20"/>
      <c r="K22" s="20"/>
      <c r="L22" s="20"/>
      <c r="M22" s="20"/>
      <c r="N22" s="20"/>
      <c r="V22" t="s">
        <v>95</v>
      </c>
      <c r="W22" s="452">
        <v>3.0451678844747776</v>
      </c>
    </row>
    <row r="23" spans="2:24" ht="18" x14ac:dyDescent="0.25">
      <c r="B23" s="20"/>
      <c r="C23" s="344" t="s">
        <v>309</v>
      </c>
      <c r="D23" s="358" t="e">
        <f>IF(ReinType="Form Fit",M7/MIN(I6:I7),M4/MIN(I3:I4))</f>
        <v>#DIV/0!</v>
      </c>
      <c r="E23" s="202" t="e">
        <f>IF(D23&gt;D21,"Design Rqmts Not Met","")</f>
        <v>#DIV/0!</v>
      </c>
      <c r="F23" s="20"/>
      <c r="G23" s="20"/>
      <c r="H23" s="20"/>
      <c r="I23" s="20"/>
      <c r="J23" s="20"/>
      <c r="K23" s="20"/>
      <c r="L23" s="20"/>
      <c r="M23" s="20"/>
      <c r="N23" s="20"/>
      <c r="V23" t="s">
        <v>1403</v>
      </c>
      <c r="W23" t="e">
        <f>W22*KL_ro_G</f>
        <v>#DIV/0!</v>
      </c>
    </row>
    <row r="24" spans="2:24" x14ac:dyDescent="0.25">
      <c r="B24" s="20"/>
      <c r="C24" s="20"/>
      <c r="D24" s="22"/>
      <c r="E24" s="386" t="s">
        <v>916</v>
      </c>
      <c r="F24" s="20"/>
      <c r="G24" s="20"/>
      <c r="H24" s="20"/>
      <c r="I24" s="20"/>
      <c r="J24" s="20"/>
      <c r="K24" s="20"/>
      <c r="L24" s="20"/>
      <c r="M24" s="20"/>
      <c r="N24" s="20"/>
      <c r="V24" t="s">
        <v>1407</v>
      </c>
      <c r="W24" t="e">
        <f>IF(ReinType="Form Fit", (PI()^2*J8)/(W23)^2, (PI()^2*J5)/(W23)^2)</f>
        <v>#DIV/0!</v>
      </c>
    </row>
    <row r="25" spans="2:24" x14ac:dyDescent="0.25">
      <c r="B25" s="20"/>
      <c r="C25" s="24" t="s">
        <v>213</v>
      </c>
      <c r="D25" s="26" t="e">
        <f>IF(ReinType="Form Fit", (D21/PI())*SQRT(L8/J8),(D21/PI())*SQRT(L5/J5))</f>
        <v>#DIV/0!</v>
      </c>
      <c r="E25" s="336" t="e">
        <f>O3/PI()*SQRT(L3/J3)</f>
        <v>#DIV/0!</v>
      </c>
      <c r="F25" t="s">
        <v>125</v>
      </c>
      <c r="G25" s="20"/>
      <c r="H25" s="20"/>
      <c r="I25" s="20"/>
      <c r="J25" s="20"/>
      <c r="K25" s="20"/>
      <c r="L25" s="20"/>
      <c r="M25" s="20"/>
      <c r="N25" s="20"/>
      <c r="V25" t="s">
        <v>1404</v>
      </c>
      <c r="W25" t="e">
        <f>IF(ReinType="Form Fit", IF(W23&lt;=4.71*SQRT(J8/L8),(0.658^(L8/W24))*L5,0.877*W24), IF(W23&lt;=4.71*SQRT(J5/L5),(0.658^(L5/W24))*L5,0.877*W24))</f>
        <v>#DIV/0!</v>
      </c>
      <c r="X25" s="461"/>
    </row>
    <row r="26" spans="2:24" x14ac:dyDescent="0.25">
      <c r="B26" s="20"/>
      <c r="C26" s="331" t="s">
        <v>914</v>
      </c>
      <c r="D26" s="27" t="e">
        <f>IF(ReinType="Form Fit", IF(D25&lt;=1.5,(0.658^(D25^2))*L8,(0.877/D25^2)*L8), IF(D25&lt;=1.5,(0.658^(D25^2))*L5,(0.877/D25^2)*L5))</f>
        <v>#DIV/0!</v>
      </c>
      <c r="E26" s="336" t="e">
        <f>IF(E25&lt;=1.5,(0.658^(E25^2))*L3,(0.877/E25^2)*L3)</f>
        <v>#DIV/0!</v>
      </c>
      <c r="F26" s="20"/>
      <c r="G26" s="20"/>
      <c r="H26" s="20"/>
      <c r="I26" s="20"/>
      <c r="J26" s="20"/>
      <c r="K26" s="20"/>
      <c r="L26" s="20"/>
      <c r="M26" s="20"/>
      <c r="N26" s="20"/>
      <c r="V26" t="s">
        <v>1402</v>
      </c>
      <c r="W26" s="89">
        <f>IF(ReinType="Form Fit",$G$8,$G$5)</f>
        <v>0</v>
      </c>
      <c r="X26" s="20" t="s">
        <v>328</v>
      </c>
    </row>
    <row r="27" spans="2:24" x14ac:dyDescent="0.25">
      <c r="B27" s="20"/>
      <c r="C27" s="69"/>
      <c r="D27" s="22"/>
      <c r="E27" s="69"/>
      <c r="F27" s="20"/>
      <c r="G27" s="20"/>
      <c r="H27" s="20"/>
      <c r="I27" s="20"/>
      <c r="J27" s="20"/>
      <c r="K27" s="20"/>
      <c r="L27" s="20"/>
      <c r="M27" s="20"/>
      <c r="N27" s="20"/>
      <c r="V27" t="s">
        <v>1405</v>
      </c>
      <c r="W27">
        <f>Phic_G</f>
        <v>0.9</v>
      </c>
    </row>
    <row r="28" spans="2:24" x14ac:dyDescent="0.25">
      <c r="B28" s="20"/>
      <c r="C28" s="331" t="s">
        <v>915</v>
      </c>
      <c r="D28" s="27">
        <f>IF(ReinType="Form Fit",  IF(Summary!G18="Fixed",G8,G6), IF(Summary!G18="Fixed",G5,G3))</f>
        <v>0</v>
      </c>
      <c r="E28" s="336">
        <f>G3</f>
        <v>0</v>
      </c>
      <c r="F28" s="20"/>
      <c r="G28" s="20"/>
      <c r="H28" s="20"/>
      <c r="I28" s="20"/>
      <c r="J28" s="20"/>
      <c r="K28" s="20"/>
      <c r="L28" s="20"/>
      <c r="M28" s="20"/>
      <c r="N28" s="20"/>
      <c r="V28" t="s">
        <v>1406</v>
      </c>
      <c r="W28" s="463" t="e">
        <f>W27*W25*W26</f>
        <v>#DIV/0!</v>
      </c>
      <c r="X28" t="s">
        <v>385</v>
      </c>
    </row>
    <row r="29" spans="2:24" x14ac:dyDescent="0.25">
      <c r="B29" s="20"/>
      <c r="C29" s="20"/>
      <c r="D29" s="22"/>
      <c r="E29" s="69"/>
      <c r="F29" s="20"/>
      <c r="G29" s="20"/>
      <c r="H29" s="20"/>
      <c r="I29" s="20"/>
      <c r="J29" s="20"/>
      <c r="K29" s="20"/>
      <c r="L29" s="20"/>
      <c r="M29" s="20"/>
      <c r="N29" s="20"/>
      <c r="X29" s="89"/>
    </row>
    <row r="30" spans="2:24" ht="15.75" thickBot="1" x14ac:dyDescent="0.3">
      <c r="C30" s="12" t="s">
        <v>214</v>
      </c>
      <c r="D30" s="5">
        <v>0.9</v>
      </c>
      <c r="E30" s="329"/>
    </row>
    <row r="31" spans="2:24" x14ac:dyDescent="0.25">
      <c r="C31" s="13" t="s">
        <v>215</v>
      </c>
      <c r="D31" s="358" t="e">
        <f>IF(ReinType="Split Pipe",IF(D12&lt;=1,Phic_G*D26*D28,E31),Phic_G*D26*D28)</f>
        <v>#DIV/0!</v>
      </c>
      <c r="E31" s="335" t="e">
        <f>D30*E28*E26</f>
        <v>#DIV/0!</v>
      </c>
      <c r="G31" s="332" t="s">
        <v>917</v>
      </c>
      <c r="X31" s="463"/>
    </row>
    <row r="32" spans="2:24" ht="15.75" thickBot="1" x14ac:dyDescent="0.3">
      <c r="C32" s="12" t="s">
        <v>216</v>
      </c>
      <c r="D32" s="29">
        <f>Summary!O8</f>
        <v>0</v>
      </c>
      <c r="E32" s="335"/>
      <c r="G32" s="333" t="e">
        <f>IF(E23="Design Rqmts Not Met","Original Leg",IF(E31&gt;=D31,"Original Leg","Built-Up Leg"))</f>
        <v>#DIV/0!</v>
      </c>
    </row>
    <row r="33" spans="2:6" x14ac:dyDescent="0.25">
      <c r="C33" s="74" t="s">
        <v>107</v>
      </c>
      <c r="D33" s="103" t="e">
        <f>IF(E23="Design Rqmts Not Met",D32/E31,IF(ReinType="Split Pipe",IF(D12&lt;=1,D32/MAX(D31,E31),D32/E31),D32/MAX(D31,E31)))</f>
        <v>#DIV/0!</v>
      </c>
      <c r="E33" s="329" t="s">
        <v>918</v>
      </c>
    </row>
    <row r="35" spans="2:6" x14ac:dyDescent="0.25">
      <c r="B35" s="28" t="s">
        <v>108</v>
      </c>
      <c r="F35" t="s">
        <v>164</v>
      </c>
    </row>
    <row r="37" spans="2:6" x14ac:dyDescent="0.25">
      <c r="C37" s="13" t="s">
        <v>215</v>
      </c>
      <c r="D37" s="27">
        <f>IF(ReinType="Form Fit", D30*G6*K6, D30*G3*K3)</f>
        <v>0</v>
      </c>
    </row>
    <row r="38" spans="2:6" x14ac:dyDescent="0.25">
      <c r="C38" s="74" t="s">
        <v>107</v>
      </c>
      <c r="D38" s="103" t="e">
        <f>D32/D37</f>
        <v>#DIV/0!</v>
      </c>
    </row>
    <row r="40" spans="2:6" x14ac:dyDescent="0.25">
      <c r="B40" s="28" t="s">
        <v>100</v>
      </c>
      <c r="F40" t="s">
        <v>120</v>
      </c>
    </row>
    <row r="42" spans="2:6" x14ac:dyDescent="0.25">
      <c r="C42" s="12" t="s">
        <v>217</v>
      </c>
      <c r="D42" s="17">
        <v>0.9</v>
      </c>
    </row>
    <row r="43" spans="2:6" x14ac:dyDescent="0.25">
      <c r="C43" s="12" t="s">
        <v>208</v>
      </c>
      <c r="D43" s="16">
        <f>IF(ReinType="Form Fit", Ycf, PNA)</f>
        <v>0.39166548416202462</v>
      </c>
      <c r="E43" t="s">
        <v>1</v>
      </c>
    </row>
    <row r="44" spans="2:6" x14ac:dyDescent="0.25">
      <c r="C44" s="12" t="s">
        <v>209</v>
      </c>
      <c r="D44" s="16">
        <f>D32*D43</f>
        <v>0</v>
      </c>
      <c r="E44" t="s">
        <v>118</v>
      </c>
    </row>
    <row r="45" spans="2:6" x14ac:dyDescent="0.25">
      <c r="C45" s="12" t="s">
        <v>218</v>
      </c>
      <c r="D45" s="75" t="e">
        <f>IF(ReinType="Form Fit", " --", Ztot)</f>
        <v>#DIV/0!</v>
      </c>
      <c r="E45" t="s">
        <v>119</v>
      </c>
    </row>
    <row r="46" spans="2:6" x14ac:dyDescent="0.25">
      <c r="C46" s="12" t="s">
        <v>219</v>
      </c>
      <c r="D46" s="16" t="e">
        <f>IF(ReinType="Form Fit",IF(Tleg=Dleg/2,L6,K6),IF(Tleg=Dleg/2,L3,K3))</f>
        <v>#DIV/0!</v>
      </c>
      <c r="E46" t="s">
        <v>0</v>
      </c>
      <c r="F46" t="s">
        <v>121</v>
      </c>
    </row>
    <row r="47" spans="2:6" x14ac:dyDescent="0.25">
      <c r="C47" s="12" t="s">
        <v>220</v>
      </c>
      <c r="D47" s="29" t="e">
        <f>IF(ReinType="Form Fit", PI()^2*J8*H8/(N8*M8)^2,PI()^2*J5*H5/(N5*M5)^2)</f>
        <v>#DIV/0!</v>
      </c>
      <c r="F47" t="s">
        <v>123</v>
      </c>
    </row>
    <row r="48" spans="2:6" x14ac:dyDescent="0.25">
      <c r="C48" s="12" t="s">
        <v>221</v>
      </c>
      <c r="D48" s="75" t="e">
        <f>IF(Summary!$G$21="P-Delta",1,MAX(1,0.85/(1-D32/D47)))</f>
        <v>#DIV/0!</v>
      </c>
      <c r="F48" t="s">
        <v>123</v>
      </c>
    </row>
    <row r="49" spans="2:7" x14ac:dyDescent="0.25">
      <c r="C49" s="12"/>
      <c r="D49" s="16"/>
    </row>
    <row r="50" spans="2:7" x14ac:dyDescent="0.25">
      <c r="F50" s="19" t="s">
        <v>122</v>
      </c>
      <c r="G50" s="31" t="s">
        <v>124</v>
      </c>
    </row>
    <row r="51" spans="2:7" x14ac:dyDescent="0.25">
      <c r="B51" s="489" t="s">
        <v>101</v>
      </c>
      <c r="C51" s="489"/>
      <c r="D51" s="7" t="s">
        <v>2</v>
      </c>
      <c r="E51" s="7" t="s">
        <v>104</v>
      </c>
      <c r="F51" s="7" t="s">
        <v>105</v>
      </c>
      <c r="G51" s="7" t="s">
        <v>106</v>
      </c>
    </row>
    <row r="52" spans="2:7" x14ac:dyDescent="0.25">
      <c r="B52" s="489" t="s">
        <v>102</v>
      </c>
      <c r="C52" s="489"/>
      <c r="D52" s="70">
        <f>IF(ReinType="Form Fit", MAX(D43+E6/2,INDEX('Form Fit Reference'!$A$3:$M$35,MATCH(Diameter,RFF_Actual, 0),7)), D43+E3/2)</f>
        <v>0.39166548416202462</v>
      </c>
      <c r="E52" s="70" t="e">
        <f>IF(ReinType="Form Fit",H8/D52, H5/D52)</f>
        <v>#DIV/0!</v>
      </c>
      <c r="F52" s="14" t="e">
        <f>IF(ReinType="Form Fit",IF(F6&lt;=0.309*J6/D46,((0.0207*J6/(F6*D46))+1)*D46*E52,IF(AND(0.309*J6/D46&lt;F6,F6&lt;=400),0.33*J6*E52/F6, "D/t may not exceed 400 for tubular members.")),IF(F3&lt;=0.0714*J3/D46,D46*$D$45,IF(AND(0.0714*J3/D46&lt;F3,F3&lt;=0.309*J3/D46),((0.0207*J3/(F3*D46))+1)*D46*E52,IF(AND(0.309*J3/D46&lt;F3,F3&lt;=400),0.33*J3*E52/F3, "D/t may not exceed 400 for tubular members."))))</f>
        <v>#DIV/0!</v>
      </c>
      <c r="G52" s="14" t="e">
        <f>IF($D$33&lt;0.2,($D$32/(2*$D$31)+$D$48*$D$44/($D$42*F52)),IF(AND($D$33&gt;=0.2,$D$33&lt;=1),(8/9)*($D$33+$D$48*$D$44/($D$42*F52)),"Axial Capacity Exceeded"))</f>
        <v>#DIV/0!</v>
      </c>
    </row>
    <row r="53" spans="2:7" x14ac:dyDescent="0.25">
      <c r="B53" s="489" t="s">
        <v>103</v>
      </c>
      <c r="C53" s="489"/>
      <c r="D53" s="70">
        <f>IF(ReinType="Form Fit",INDEX('Form Fit Reference'!$A$3:$M$35,MATCH(Diameter,RFF_Actual, 0),13),Yoff+E4/2-D43)</f>
        <v>-0.39166548416202462</v>
      </c>
      <c r="E53" s="70" t="e">
        <f>IF(ReinType="Form Fit",H8/D53, H5/D53)</f>
        <v>#DIV/0!</v>
      </c>
      <c r="F53" s="14" t="e">
        <f>IF(ReinType="Form Fit",L7*E53, IF(F4&lt;=0.0714*J4/K4,K4*$D$45,IF(AND(0.0714*J4/K4&lt;F4,F4&lt;=0.309*J4/K4),((0.0207*J4/(F4*K4))+1)*K4*E53,IF(AND(0.309*J4/K4&lt;F4,F4&lt;=400),0.33*J4*E53/F4, "D/t may not exceed 400 for tubular members."))))</f>
        <v>#DIV/0!</v>
      </c>
      <c r="G53" s="14" t="e">
        <f>IF($D$33&lt;0.2,($D$32/(2*$D$31)-$D$48*$D$44/($D$42*F53)),IF(AND($D$33&gt;=0.2,$D$33&lt;=1),(8/9)*($D$33-$D$48*$D$44/($D$42*F53)),"Axial Capacity Exceeded"))</f>
        <v>#DIV/0!</v>
      </c>
    </row>
    <row r="54" spans="2:7" x14ac:dyDescent="0.25">
      <c r="D54" s="89"/>
    </row>
    <row r="55" spans="2:7" x14ac:dyDescent="0.25">
      <c r="C55" s="101" t="s">
        <v>107</v>
      </c>
      <c r="D55" s="103" t="e">
        <f>MAX(G52:G53)</f>
        <v>#DIV/0!</v>
      </c>
    </row>
  </sheetData>
  <customSheetViews>
    <customSheetView guid="{47553E05-005A-459E-BBCC-799C7F4EBE26}">
      <selection activeCell="O4" sqref="O4"/>
      <pageMargins left="0.7" right="0.7" top="0.75" bottom="0.75" header="0.3" footer="0.3"/>
      <pageSetup orientation="portrait" horizontalDpi="1200" verticalDpi="1200" r:id="rId1"/>
    </customSheetView>
    <customSheetView guid="{9A54679E-64D7-44E9-AABE-4253818C5C4B}">
      <selection activeCell="O7" sqref="O7"/>
      <pageMargins left="0.7" right="0.7" top="0.75" bottom="0.75" header="0.3" footer="0.3"/>
      <pageSetup orientation="portrait" horizontalDpi="1200" verticalDpi="1200" r:id="rId2"/>
    </customSheetView>
  </customSheetViews>
  <mergeCells count="12">
    <mergeCell ref="A3:A5"/>
    <mergeCell ref="A6:A8"/>
    <mergeCell ref="B2:C2"/>
    <mergeCell ref="B5:C5"/>
    <mergeCell ref="B51:C51"/>
    <mergeCell ref="B52:C52"/>
    <mergeCell ref="B53:C53"/>
    <mergeCell ref="B4:C4"/>
    <mergeCell ref="B3:C3"/>
    <mergeCell ref="B6:C6"/>
    <mergeCell ref="B7:C7"/>
    <mergeCell ref="B8:C8"/>
  </mergeCells>
  <conditionalFormatting sqref="B3:O5">
    <cfRule type="expression" dxfId="6" priority="2">
      <formula>IF(ReinType&lt;&gt;"Split Pipe",1,0)</formula>
    </cfRule>
  </conditionalFormatting>
  <conditionalFormatting sqref="B6:O8">
    <cfRule type="expression" dxfId="5" priority="1">
      <formula>IF(ReinType&lt;&gt;"Form Fit",1,0)</formula>
    </cfRule>
  </conditionalFormatting>
  <pageMargins left="0.7" right="0.7" top="0.75" bottom="0.75" header="0.3" footer="0.3"/>
  <pageSetup orientation="portrait" horizontalDpi="1200" verticalDpi="1200" r:id="rId3"/>
  <drawing r:id="rId4"/>
  <legacyDrawing r:id="rId5"/>
  <oleObjects>
    <mc:AlternateContent xmlns:mc="http://schemas.openxmlformats.org/markup-compatibility/2006">
      <mc:Choice Requires="x14">
        <oleObject progId="AutoCADLT.Drawing.19" shapeId="356353" r:id="rId6">
          <objectPr defaultSize="0" autoPict="0" r:id="rId7">
            <anchor moveWithCells="1">
              <from>
                <xdr:col>10</xdr:col>
                <xdr:colOff>590550</xdr:colOff>
                <xdr:row>40</xdr:row>
                <xdr:rowOff>38100</xdr:rowOff>
              </from>
              <to>
                <xdr:col>15</xdr:col>
                <xdr:colOff>200025</xdr:colOff>
                <xdr:row>51</xdr:row>
                <xdr:rowOff>28575</xdr:rowOff>
              </to>
            </anchor>
          </objectPr>
        </oleObject>
      </mc:Choice>
      <mc:Fallback>
        <oleObject progId="AutoCADLT.Drawing.19" shapeId="356353" r:id="rId6"/>
      </mc:Fallback>
    </mc:AlternateContent>
  </oleObjects>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8"/>
  <dimension ref="A2:X54"/>
  <sheetViews>
    <sheetView workbookViewId="0">
      <selection activeCell="E23" sqref="E23"/>
    </sheetView>
  </sheetViews>
  <sheetFormatPr defaultColWidth="9.140625" defaultRowHeight="12.75" x14ac:dyDescent="0.2"/>
  <cols>
    <col min="1" max="1" width="12.7109375" style="20" bestFit="1" customWidth="1"/>
    <col min="2" max="3" width="9.140625" style="20"/>
    <col min="4" max="4" width="11.5703125" style="20" customWidth="1"/>
    <col min="5" max="5" width="9.5703125" style="20" bestFit="1" customWidth="1"/>
    <col min="6" max="6" width="10.5703125" style="20" bestFit="1" customWidth="1"/>
    <col min="7" max="8" width="10.5703125" style="20" customWidth="1"/>
    <col min="9" max="10" width="11.5703125" style="20" bestFit="1" customWidth="1"/>
    <col min="11" max="11" width="10.7109375" style="20" bestFit="1" customWidth="1"/>
    <col min="12" max="21" width="9.140625" style="20"/>
    <col min="22" max="24" width="0" style="20" hidden="1" customWidth="1"/>
    <col min="25" max="16384" width="9.140625" style="20"/>
  </cols>
  <sheetData>
    <row r="2" spans="1:16" ht="32.25" customHeight="1" x14ac:dyDescent="0.2">
      <c r="B2" s="653" t="s">
        <v>90</v>
      </c>
      <c r="C2" s="653"/>
      <c r="D2" s="93" t="s">
        <v>17</v>
      </c>
      <c r="E2" s="94" t="s">
        <v>291</v>
      </c>
      <c r="F2" s="94" t="s">
        <v>290</v>
      </c>
      <c r="G2" s="95" t="s">
        <v>292</v>
      </c>
      <c r="H2" s="98" t="s">
        <v>287</v>
      </c>
      <c r="I2" s="98" t="s">
        <v>4</v>
      </c>
      <c r="J2" s="99" t="s">
        <v>97</v>
      </c>
      <c r="K2" s="99" t="s">
        <v>96</v>
      </c>
      <c r="L2" s="99" t="s">
        <v>288</v>
      </c>
      <c r="M2" s="99" t="s">
        <v>289</v>
      </c>
      <c r="N2" s="100" t="s">
        <v>99</v>
      </c>
      <c r="O2" s="99" t="s">
        <v>95</v>
      </c>
      <c r="P2" s="99" t="s">
        <v>94</v>
      </c>
    </row>
    <row r="3" spans="1:16" x14ac:dyDescent="0.2">
      <c r="A3" s="648" t="s">
        <v>92</v>
      </c>
      <c r="B3" s="647" t="s">
        <v>91</v>
      </c>
      <c r="C3" s="647"/>
      <c r="D3" s="34">
        <f>Tleg</f>
        <v>0</v>
      </c>
      <c r="E3" s="34">
        <f>Dleg</f>
        <v>0</v>
      </c>
      <c r="F3" s="35" t="e">
        <f>E3/D3</f>
        <v>#DIV/0!</v>
      </c>
      <c r="G3" s="35">
        <f>Aleg</f>
        <v>0</v>
      </c>
      <c r="H3" s="35">
        <f>Ileg</f>
        <v>0</v>
      </c>
      <c r="I3" s="35" t="e">
        <f t="shared" ref="I3:I8" si="0">SQRT(H3/G3)</f>
        <v>#DIV/0!</v>
      </c>
      <c r="J3" s="36">
        <v>29000</v>
      </c>
      <c r="K3" s="36">
        <f>Gleg</f>
        <v>0</v>
      </c>
      <c r="L3" s="46" t="e">
        <f>3300/K3</f>
        <v>#DIV/0!</v>
      </c>
      <c r="M3" s="37" t="e">
        <f>SQRT(2*PI()^2*J3/K3)</f>
        <v>#DIV/0!</v>
      </c>
      <c r="N3" s="36">
        <f>Summary!G31</f>
        <v>0</v>
      </c>
      <c r="O3" s="36">
        <v>1</v>
      </c>
      <c r="P3" s="38" t="e">
        <f t="shared" ref="P3:P8" si="1">O3*N3/I3</f>
        <v>#DIV/0!</v>
      </c>
    </row>
    <row r="4" spans="1:16" x14ac:dyDescent="0.2">
      <c r="A4" s="648"/>
      <c r="B4" s="647" t="s">
        <v>92</v>
      </c>
      <c r="C4" s="647"/>
      <c r="D4" s="34">
        <f>Trein</f>
        <v>0</v>
      </c>
      <c r="E4" s="34">
        <f>Drein</f>
        <v>0</v>
      </c>
      <c r="F4" s="35" t="e">
        <f>E4/D4</f>
        <v>#DIV/0!</v>
      </c>
      <c r="G4" s="35">
        <f>Arein</f>
        <v>0</v>
      </c>
      <c r="H4" s="35" t="e">
        <f>Irein</f>
        <v>#DIV/0!</v>
      </c>
      <c r="I4" s="35" t="e">
        <f t="shared" si="0"/>
        <v>#DIV/0!</v>
      </c>
      <c r="J4" s="36">
        <v>29000</v>
      </c>
      <c r="K4" s="36">
        <f>Grein</f>
        <v>0</v>
      </c>
      <c r="L4" s="46" t="e">
        <f>3300/K4</f>
        <v>#DIV/0!</v>
      </c>
      <c r="M4" s="37" t="e">
        <f>SQRT(2*PI()^2*J4/K4)</f>
        <v>#DIV/0!</v>
      </c>
      <c r="N4" s="36">
        <f>Summary!G24</f>
        <v>0</v>
      </c>
      <c r="O4" s="379">
        <f>IF(Ki_Override="",IF(Summary!G23="Welded",0.8,1),Ki_Override)</f>
        <v>1</v>
      </c>
      <c r="P4" s="38" t="e">
        <f t="shared" si="1"/>
        <v>#DIV/0!</v>
      </c>
    </row>
    <row r="5" spans="1:16" x14ac:dyDescent="0.2">
      <c r="A5" s="648"/>
      <c r="B5" s="647" t="s">
        <v>93</v>
      </c>
      <c r="C5" s="647"/>
      <c r="D5" s="39"/>
      <c r="E5" s="39"/>
      <c r="F5" s="39"/>
      <c r="G5" s="40">
        <f>Atot</f>
        <v>0</v>
      </c>
      <c r="H5" s="35" t="e">
        <f>Itot</f>
        <v>#DIV/0!</v>
      </c>
      <c r="I5" s="35" t="e">
        <f t="shared" si="0"/>
        <v>#DIV/0!</v>
      </c>
      <c r="J5" s="36">
        <v>29000</v>
      </c>
      <c r="K5" s="41"/>
      <c r="L5" s="41"/>
      <c r="M5" s="41"/>
      <c r="N5" s="36">
        <f>Summary!G31</f>
        <v>0</v>
      </c>
      <c r="O5" s="36">
        <v>1</v>
      </c>
      <c r="P5" s="38" t="e">
        <f t="shared" si="1"/>
        <v>#DIV/0!</v>
      </c>
    </row>
    <row r="6" spans="1:16" ht="15" hidden="1" x14ac:dyDescent="0.2">
      <c r="A6" s="648" t="s">
        <v>293</v>
      </c>
      <c r="B6" s="650" t="s">
        <v>91</v>
      </c>
      <c r="C6" s="651"/>
      <c r="D6" s="77">
        <f>Tleg</f>
        <v>0</v>
      </c>
      <c r="E6" s="1">
        <f>Dleg</f>
        <v>0</v>
      </c>
      <c r="F6" s="2" t="e">
        <f>E6/D6</f>
        <v>#DIV/0!</v>
      </c>
      <c r="G6" s="2">
        <f>Alegf</f>
        <v>0</v>
      </c>
      <c r="H6" s="78">
        <f>Ileg</f>
        <v>0</v>
      </c>
      <c r="I6" s="78" t="e">
        <f t="shared" si="0"/>
        <v>#DIV/0!</v>
      </c>
      <c r="J6" s="83">
        <v>29000</v>
      </c>
      <c r="K6" s="77">
        <f>Gleg</f>
        <v>0</v>
      </c>
      <c r="L6" s="46" t="e">
        <f>3300/K6</f>
        <v>#DIV/0!</v>
      </c>
      <c r="M6" s="37" t="e">
        <f>SQRT(2*PI()^2*J6/K6)</f>
        <v>#DIV/0!</v>
      </c>
      <c r="N6" s="79">
        <f>Summary!G31</f>
        <v>0</v>
      </c>
      <c r="O6" s="79">
        <v>1</v>
      </c>
      <c r="P6" s="80" t="e">
        <f t="shared" si="1"/>
        <v>#DIV/0!</v>
      </c>
    </row>
    <row r="7" spans="1:16" ht="15" hidden="1" x14ac:dyDescent="0.2">
      <c r="A7" s="648"/>
      <c r="B7" s="650" t="s">
        <v>293</v>
      </c>
      <c r="C7" s="651"/>
      <c r="D7" s="77">
        <f>Trein</f>
        <v>0</v>
      </c>
      <c r="E7" s="1">
        <f>Drein+2*Trein</f>
        <v>0</v>
      </c>
      <c r="F7" s="2" t="e">
        <f>E7/D7</f>
        <v>#DIV/0!</v>
      </c>
      <c r="G7" s="2" t="e">
        <f>Areinf</f>
        <v>#N/A</v>
      </c>
      <c r="H7" s="78" t="e">
        <f>MIN(FFPI, Summary!Z83)</f>
        <v>#N/A</v>
      </c>
      <c r="I7" s="78" t="e">
        <f t="shared" si="0"/>
        <v>#N/A</v>
      </c>
      <c r="J7" s="83">
        <v>29000</v>
      </c>
      <c r="K7" s="77">
        <f>Grein</f>
        <v>0</v>
      </c>
      <c r="L7" s="46" t="e">
        <f>3300/K7</f>
        <v>#DIV/0!</v>
      </c>
      <c r="M7" s="37" t="e">
        <f>SQRT(2*PI()^2*J7/K7)</f>
        <v>#DIV/0!</v>
      </c>
      <c r="N7" s="79">
        <f>Summary!G24</f>
        <v>0</v>
      </c>
      <c r="O7" s="36">
        <f>IF(Summary!$G$23="Welded",0.8,1)</f>
        <v>1</v>
      </c>
      <c r="P7" s="80" t="e">
        <f t="shared" si="1"/>
        <v>#N/A</v>
      </c>
    </row>
    <row r="8" spans="1:16" ht="15" hidden="1" x14ac:dyDescent="0.2">
      <c r="A8" s="648"/>
      <c r="B8" s="650" t="s">
        <v>93</v>
      </c>
      <c r="C8" s="651"/>
      <c r="D8" s="81"/>
      <c r="E8" s="81"/>
      <c r="F8" s="81"/>
      <c r="G8" s="9" t="e">
        <f>FFPtotArea</f>
        <v>#N/A</v>
      </c>
      <c r="H8" s="78" t="e">
        <f>ItotFFP</f>
        <v>#N/A</v>
      </c>
      <c r="I8" s="78" t="e">
        <f t="shared" si="0"/>
        <v>#N/A</v>
      </c>
      <c r="J8" s="83">
        <v>29000</v>
      </c>
      <c r="K8" s="81"/>
      <c r="L8" s="81"/>
      <c r="M8" s="85"/>
      <c r="N8" s="79">
        <f>Summary!G31</f>
        <v>0</v>
      </c>
      <c r="O8" s="79">
        <v>1</v>
      </c>
      <c r="P8" s="80" t="e">
        <f t="shared" si="1"/>
        <v>#N/A</v>
      </c>
    </row>
    <row r="11" spans="1:16" ht="15.75" x14ac:dyDescent="0.3">
      <c r="C11" s="21" t="s">
        <v>200</v>
      </c>
      <c r="D11" s="16" t="e">
        <f>IF(ReinType="Form Fit", P7/P8, P4/P5)</f>
        <v>#DIV/0!</v>
      </c>
      <c r="E11" s="76" t="e">
        <f>IF(D11&lt;=0.75,"O.K.","Exceeded")</f>
        <v>#DIV/0!</v>
      </c>
      <c r="F11" s="43" t="s">
        <v>207</v>
      </c>
      <c r="G11" s="43"/>
      <c r="H11" s="43"/>
    </row>
    <row r="13" spans="1:16" x14ac:dyDescent="0.2">
      <c r="C13" s="21" t="s">
        <v>128</v>
      </c>
      <c r="D13" s="23">
        <f>4/3</f>
        <v>1.3333333333333333</v>
      </c>
      <c r="F13" s="20" t="s">
        <v>130</v>
      </c>
    </row>
    <row r="15" spans="1:16" x14ac:dyDescent="0.2">
      <c r="B15" s="44" t="s">
        <v>98</v>
      </c>
      <c r="F15" s="20" t="s">
        <v>129</v>
      </c>
    </row>
    <row r="17" spans="3:24" ht="15.75" x14ac:dyDescent="0.3">
      <c r="C17" s="21" t="s">
        <v>132</v>
      </c>
      <c r="D17" s="42" t="e">
        <f>IF(ReinType="Form Fit", IF(AND(L6&gt;F6,L7&gt;F7),"O.K.","No Good"), IF(AND(L3&gt;F3,L4&gt;F4),"O.K.","No Good"))</f>
        <v>#DIV/0!</v>
      </c>
    </row>
    <row r="19" spans="3:24" ht="18" x14ac:dyDescent="0.2">
      <c r="C19" s="344" t="s">
        <v>928</v>
      </c>
      <c r="D19" s="73" t="e">
        <f>IF(ReinType="Form Fit",P8,P5)</f>
        <v>#DIV/0!</v>
      </c>
    </row>
    <row r="20" spans="3:24" ht="18" x14ac:dyDescent="0.35">
      <c r="C20" s="101" t="s">
        <v>302</v>
      </c>
      <c r="D20" s="73" t="e">
        <f>IF(ReinType="Form Fit", SQRT(P8^2+(N7/MIN(I6:I7))^2),SQRT(P5^2+(N4/MIN(I3:I4))^2))</f>
        <v>#DIV/0!</v>
      </c>
      <c r="F20" s="20" t="s">
        <v>131</v>
      </c>
    </row>
    <row r="21" spans="3:24" ht="18" x14ac:dyDescent="0.25">
      <c r="C21" s="344" t="s">
        <v>931</v>
      </c>
      <c r="D21" s="73" t="e">
        <f>IF(ReinType="Form Fit",O8*N8/MIN(I6:I7),O5*N5/MIN(I3:I4))</f>
        <v>#DIV/0!</v>
      </c>
      <c r="V21" t="s">
        <v>1408</v>
      </c>
      <c r="W21"/>
    </row>
    <row r="22" spans="3:24" ht="15" x14ac:dyDescent="0.25">
      <c r="C22" s="69"/>
      <c r="D22" s="378"/>
      <c r="V22" t="s">
        <v>95</v>
      </c>
      <c r="W22" s="452">
        <v>3.1994057968545699</v>
      </c>
    </row>
    <row r="23" spans="3:24" ht="18" x14ac:dyDescent="0.25">
      <c r="C23" s="344" t="s">
        <v>309</v>
      </c>
      <c r="D23" s="358" t="e">
        <f>IF(ReinType="Form Fit",N7/MIN(I6:I7),N4/MIN(I3:I4))</f>
        <v>#DIV/0!</v>
      </c>
      <c r="E23" s="202" t="e">
        <f>IF(D23&gt;D25,"Design Rqmts Not Met","")</f>
        <v>#DIV/0!</v>
      </c>
      <c r="V23" t="s">
        <v>1403</v>
      </c>
      <c r="W23" t="e">
        <f>W22*KL_ro_F</f>
        <v>#DIV/0!</v>
      </c>
    </row>
    <row r="24" spans="3:24" ht="15" x14ac:dyDescent="0.25">
      <c r="D24" s="22"/>
      <c r="V24" t="s">
        <v>1409</v>
      </c>
      <c r="W24" t="e">
        <f>SQRT(2*PI()^2*J5/MIN(K3:K4))</f>
        <v>#DIV/0!</v>
      </c>
    </row>
    <row r="25" spans="3:24" ht="15" x14ac:dyDescent="0.25">
      <c r="C25" s="21" t="s">
        <v>201</v>
      </c>
      <c r="D25" s="73" t="e">
        <f>IF(ReinType="Form Fit", IF(Summary!G22="KL/r Modified",D20,P8),IF(Summary!G22="KL/r Modified",D20,P5))</f>
        <v>#DIV/0!</v>
      </c>
      <c r="E25" s="69"/>
      <c r="V25" t="s">
        <v>1410</v>
      </c>
      <c r="W25" t="e">
        <f>TLF*IF(ReinType="Form Fit",IF(W23&lt;=W24,MIN(K6:K7)*((1-(W23^2)/(2*W24^2)))/(5/3+(3*W23)/(8*W24)-(W23^3)/(8*W24^3)),(12*J8*PI()^2)/(23*W23^2)),IF(W23&lt;=W24,MIN(K3:K4)*((1-(W23^2)/(2*W24^2)))/(5/3+(3*W23)/(8*W24)-(W23^3)/(8*W24^3)),(12*J5*PI()^2)/(23*W23^2)))</f>
        <v>#DIV/0!</v>
      </c>
      <c r="X25" s="20" t="s">
        <v>0</v>
      </c>
    </row>
    <row r="26" spans="3:24" ht="15" x14ac:dyDescent="0.25">
      <c r="D26" s="22"/>
      <c r="E26" s="386" t="s">
        <v>916</v>
      </c>
      <c r="F26" s="386" t="s">
        <v>1056</v>
      </c>
      <c r="V26" t="s">
        <v>1402</v>
      </c>
      <c r="W26" s="89">
        <f>IF(ReinType="Form Fit",$G$8,$G$5)</f>
        <v>0</v>
      </c>
      <c r="X26" s="20" t="s">
        <v>328</v>
      </c>
    </row>
    <row r="27" spans="3:24" ht="15.75" x14ac:dyDescent="0.25">
      <c r="C27" s="32" t="s">
        <v>202</v>
      </c>
      <c r="D27" s="47" t="e">
        <f>IF(ReinType="Form Fit", IF(K6=MIN(K6:K7),M6,M7),IF(K3=MIN(K3:K4),M3,M4))</f>
        <v>#DIV/0!</v>
      </c>
      <c r="E27" s="336" t="e">
        <f>M3</f>
        <v>#DIV/0!</v>
      </c>
      <c r="F27" s="385" t="e">
        <f>IF(ReinType="Form Fit",SQRT((2*PI()^2*E)/(MIN(K6:K7))),SQRT((2*PI()^2*E)/(MIN(K3:K4))))</f>
        <v>#DIV/0!</v>
      </c>
      <c r="V27" t="s">
        <v>1411</v>
      </c>
      <c r="W27" t="e">
        <f>W25*W26</f>
        <v>#DIV/0!</v>
      </c>
      <c r="X27" t="s">
        <v>385</v>
      </c>
    </row>
    <row r="28" spans="3:24" ht="15.75" x14ac:dyDescent="0.25">
      <c r="C28" s="25" t="s">
        <v>203</v>
      </c>
      <c r="D28" s="27" t="e">
        <f>IF(ReinType="Form Fit",IF(D25&lt;=D27,MIN(K6:K7)*((1-(D25^2)/(2*D27^2)))/(5/3+(3*D25)/(8*D27)-(D25^3)/(8*D27^3)),(12*J8*PI()^2)/(23*D25^2)),IF(D25&lt;=D27,MIN(K3:K4)*((1-(D25^2)/(2*D27^2)))/(5/3+(3*D25)/(8*D27)-(D25^3)/(8*D27^3)),(12*J5*PI()^2)/(23*D25^2)))</f>
        <v>#DIV/0!</v>
      </c>
      <c r="E28" s="336" t="e">
        <f>IF(P3&lt;=E27,K3*((1-(P3^2)/(2*E27^2)))/(5/3+(3*P3)/(8*E27)-(P3^3)/(8*E27^3)),(12*J3*PI()^2)/(23*P3^2))</f>
        <v>#DIV/0!</v>
      </c>
      <c r="F28" s="336" t="e">
        <f>IF(ReinType="Form Fit",IF(D21&lt;=D27,MIN(K6:K7)*((1-(D21^2)/(2*D27^2)))/(5/3+(3*D21)/(8*D27)-(D21^3)/(8*D27^3)),(12*J8*PI()^2)/(23*D21^2)),IF(D21&lt;=D27,MIN(K3:K4)*((1-(D21^2)/(2*D27^2)))/(5/3+(3*D21)/(8*D27)-(D21^3)/(8*D27^3)),(12*J5*PI()^2)/(23*D21^2)))</f>
        <v>#DIV/0!</v>
      </c>
      <c r="V28"/>
      <c r="W28" s="463"/>
    </row>
    <row r="29" spans="3:24" x14ac:dyDescent="0.2">
      <c r="D29" s="22"/>
      <c r="E29" s="69"/>
      <c r="F29" s="69"/>
      <c r="V29" s="20" t="s">
        <v>1049</v>
      </c>
    </row>
    <row r="30" spans="3:24" x14ac:dyDescent="0.2">
      <c r="C30" s="331" t="s">
        <v>915</v>
      </c>
      <c r="D30" s="27">
        <f>IF(ReinType="Form Fit", IF(Summary!G18="Fixed",G8,G6),IF(Summary!G18="Fixed",G5,G3))</f>
        <v>0</v>
      </c>
      <c r="E30" s="336">
        <f>G3</f>
        <v>0</v>
      </c>
      <c r="F30" s="336">
        <f>D30</f>
        <v>0</v>
      </c>
      <c r="V30" s="20" t="s">
        <v>1411</v>
      </c>
      <c r="W30" s="20" t="e">
        <f>$E$32*$G$3</f>
        <v>#DIV/0!</v>
      </c>
      <c r="X30" s="20" t="s">
        <v>385</v>
      </c>
    </row>
    <row r="31" spans="3:24" ht="13.5" thickBot="1" x14ac:dyDescent="0.25">
      <c r="D31" s="22"/>
      <c r="E31" s="69"/>
      <c r="F31" s="69"/>
    </row>
    <row r="32" spans="3:24" ht="15.75" x14ac:dyDescent="0.25">
      <c r="C32" s="25" t="s">
        <v>204</v>
      </c>
      <c r="D32" s="26" t="e">
        <f>D13*D28</f>
        <v>#DIV/0!</v>
      </c>
      <c r="E32" s="336" t="e">
        <f>E28*D13</f>
        <v>#DIV/0!</v>
      </c>
      <c r="F32" s="336" t="e">
        <f>F28*D13</f>
        <v>#DIV/0!</v>
      </c>
      <c r="G32" s="332" t="s">
        <v>917</v>
      </c>
      <c r="H32" s="337"/>
    </row>
    <row r="33" spans="2:9" ht="16.5" thickBot="1" x14ac:dyDescent="0.35">
      <c r="C33" s="21" t="s">
        <v>205</v>
      </c>
      <c r="D33" s="45" t="e">
        <f>Pu/D30</f>
        <v>#DIV/0!</v>
      </c>
      <c r="E33" s="336" t="e">
        <f>Pu/E30</f>
        <v>#DIV/0!</v>
      </c>
      <c r="F33" s="336" t="e">
        <f>Pu/F30</f>
        <v>#DIV/0!</v>
      </c>
      <c r="G33" s="333" t="e">
        <f>IF(E33/E32&gt;D33/D32,"Built-Up Leg","Original Leg")</f>
        <v>#DIV/0!</v>
      </c>
      <c r="H33" s="338"/>
    </row>
    <row r="34" spans="2:9" s="69" customFormat="1" ht="15" x14ac:dyDescent="0.25">
      <c r="C34" s="384" t="s">
        <v>1057</v>
      </c>
      <c r="D34" s="381" t="e">
        <f>D33/D32</f>
        <v>#DIV/0!</v>
      </c>
      <c r="E34" s="381" t="e">
        <f>E33/E32</f>
        <v>#DIV/0!</v>
      </c>
      <c r="F34" s="381" t="e">
        <f>F33/F32</f>
        <v>#DIV/0!</v>
      </c>
      <c r="G34" s="382"/>
      <c r="H34" s="383"/>
    </row>
    <row r="35" spans="2:9" x14ac:dyDescent="0.2">
      <c r="C35" s="69" t="s">
        <v>107</v>
      </c>
      <c r="D35" s="104" t="e">
        <f>IF(ReinType="Split Pipe",IF(D11&gt;=1,E34,IF(D11&lt;=0.75,MIN(D34:E34),F34)),IF(E23="Design Rqmts Not Met",E33,MIN(D34:E34)))</f>
        <v>#DIV/0!</v>
      </c>
      <c r="E35" s="69" t="s">
        <v>919</v>
      </c>
    </row>
    <row r="37" spans="2:9" x14ac:dyDescent="0.2">
      <c r="B37" s="44" t="s">
        <v>108</v>
      </c>
      <c r="F37" s="20" t="s">
        <v>164</v>
      </c>
    </row>
    <row r="39" spans="2:9" ht="15.75" x14ac:dyDescent="0.2">
      <c r="C39" s="25" t="s">
        <v>206</v>
      </c>
      <c r="D39" s="45">
        <f>IF(ReinType="Form Fit",0.6*K6, 0.6*K3)</f>
        <v>0</v>
      </c>
    </row>
    <row r="40" spans="2:9" ht="15.75" x14ac:dyDescent="0.3">
      <c r="C40" s="21" t="s">
        <v>205</v>
      </c>
      <c r="D40" s="45" t="e">
        <f>IF(ReinType="Form Fit", Summary!O8/G6, Summary!O8/G3)</f>
        <v>#DIV/0!</v>
      </c>
    </row>
    <row r="41" spans="2:9" x14ac:dyDescent="0.2">
      <c r="C41" s="69" t="s">
        <v>107</v>
      </c>
      <c r="D41" s="104" t="e">
        <f>D40/D39</f>
        <v>#DIV/0!</v>
      </c>
    </row>
    <row r="43" spans="2:9" x14ac:dyDescent="0.2">
      <c r="B43" s="44" t="s">
        <v>100</v>
      </c>
      <c r="F43" s="20" t="s">
        <v>134</v>
      </c>
    </row>
    <row r="45" spans="2:9" x14ac:dyDescent="0.2">
      <c r="C45" s="21" t="s">
        <v>208</v>
      </c>
      <c r="D45" s="45">
        <f>IF(ReinType="Form Fit", Ycf, Yc)</f>
        <v>0</v>
      </c>
      <c r="E45" s="20" t="s">
        <v>1</v>
      </c>
    </row>
    <row r="46" spans="2:9" x14ac:dyDescent="0.2">
      <c r="C46" s="21" t="s">
        <v>209</v>
      </c>
      <c r="D46" s="45">
        <f>Summary!O8*D45</f>
        <v>0</v>
      </c>
      <c r="E46" s="20" t="s">
        <v>118</v>
      </c>
    </row>
    <row r="47" spans="2:9" ht="15.75" x14ac:dyDescent="0.2">
      <c r="C47" s="25" t="s">
        <v>210</v>
      </c>
      <c r="D47" s="45" t="e">
        <f>(12*29000*PI()^2)/(23*D25^2)</f>
        <v>#DIV/0!</v>
      </c>
    </row>
    <row r="48" spans="2:9" x14ac:dyDescent="0.2">
      <c r="F48" s="22"/>
      <c r="G48" s="22"/>
      <c r="H48" s="22"/>
      <c r="I48" s="42"/>
    </row>
    <row r="49" spans="2:9" ht="15.75" x14ac:dyDescent="0.3">
      <c r="B49" s="652" t="s">
        <v>101</v>
      </c>
      <c r="C49" s="652"/>
      <c r="D49" s="33" t="s">
        <v>2</v>
      </c>
      <c r="E49" s="33" t="s">
        <v>104</v>
      </c>
      <c r="F49" s="36" t="s">
        <v>135</v>
      </c>
      <c r="G49" s="48" t="s">
        <v>136</v>
      </c>
      <c r="H49" s="36" t="s">
        <v>137</v>
      </c>
      <c r="I49" s="33" t="s">
        <v>106</v>
      </c>
    </row>
    <row r="50" spans="2:9" x14ac:dyDescent="0.2">
      <c r="B50" s="652" t="s">
        <v>102</v>
      </c>
      <c r="C50" s="652"/>
      <c r="D50" s="92">
        <f>IF(ReinType="Form Fit", MAX(D45+E6/2,INDEX('Form Fit Reference'!$A$3:$M$35,MATCH(Diameter,RFF_Actual, 0),7)), D45+E3/2)</f>
        <v>0</v>
      </c>
      <c r="E50" s="92" t="e">
        <f>IF(ReinType="Form Fit",$H$8/D50, $H$5/D50)</f>
        <v>#DIV/0!</v>
      </c>
      <c r="F50" s="38">
        <f>IF(ReinType="Form Fit",0.66*K6,0.66*K3)</f>
        <v>0</v>
      </c>
      <c r="G50" s="38" t="e">
        <f>$D$46/E50</f>
        <v>#DIV/0!</v>
      </c>
      <c r="H50" s="49" t="e">
        <f>G50/F50</f>
        <v>#DIV/0!</v>
      </c>
      <c r="I50" s="38" t="e">
        <f>IF(ReinType="Form Fit", IF($D$35&lt;=0.15,(($D$33/$D$28)+H50)/$D$13,MAX(($D$33/$D$28)+(0.85*G50)/((1-$D$33/$D$47)*F50),($D$33/(0.6*K6))+H50)/$D$13), IF($D$35&lt;=0.15,(($D$33/$D$28)+H50)/$D$13,MAX(($D$33/$D$28)+(0.85*G50)/((1-$D$33/$D$47)*F50),($D$33/(0.6*K3))+H50)/$D$13))</f>
        <v>#DIV/0!</v>
      </c>
    </row>
    <row r="51" spans="2:9" x14ac:dyDescent="0.2">
      <c r="B51" s="652" t="s">
        <v>103</v>
      </c>
      <c r="C51" s="652"/>
      <c r="D51" s="92">
        <f>IF(ReinType="Form Fit",INDEX('Form Fit Reference'!$A$3:$M$35,MATCH(Diameter,RFF_Actual, 0),13), Yoff+E4/2-D45)</f>
        <v>0</v>
      </c>
      <c r="E51" s="92" t="e">
        <f>IF(ReinType="Form Fit",$H$8/D51, $H$5/D51)</f>
        <v>#DIV/0!</v>
      </c>
      <c r="F51" s="38">
        <f>IF(Summary!B35="ØA:",0.66*K7,0.66*K4)</f>
        <v>0</v>
      </c>
      <c r="G51" s="38" t="e">
        <f>$D$46/E51</f>
        <v>#DIV/0!</v>
      </c>
      <c r="H51" s="49" t="e">
        <f>G51/F51</f>
        <v>#DIV/0!</v>
      </c>
      <c r="I51" s="38" t="e">
        <f>IF(ReinType="Form Fit", IF($D$35&lt;=0.15,(($D$33/$D$28)+H51)/$D$13,MAX(($D$33/$D$28)+(0.85*G51)/((1-$D$33/$D$47)*F51),($D$33/(0.6*K7))+H51)/$D$13), IF($D$35&lt;=0.15,(($D$33/$D$28)+H51)/$D$13,MAX(($D$33/$D$28)+(0.85*G51)/((1-$D$33/$D$47)*F51),($D$33/(0.6*K4))+H51)/$D$13))</f>
        <v>#DIV/0!</v>
      </c>
    </row>
    <row r="52" spans="2:9" x14ac:dyDescent="0.2">
      <c r="D52" s="90"/>
    </row>
    <row r="53" spans="2:9" x14ac:dyDescent="0.2">
      <c r="C53" s="102" t="s">
        <v>107</v>
      </c>
      <c r="D53" s="104" t="e">
        <f>MAX(I50:I51)</f>
        <v>#DIV/0!</v>
      </c>
    </row>
    <row r="54" spans="2:9" x14ac:dyDescent="0.2">
      <c r="C54" s="69"/>
    </row>
  </sheetData>
  <customSheetViews>
    <customSheetView guid="{47553E05-005A-459E-BBCC-799C7F4EBE26}">
      <selection activeCell="P17" sqref="P17"/>
      <pageMargins left="0.7" right="0.7" top="0.75" bottom="0.75" header="0.3" footer="0.3"/>
      <pageSetup orientation="portrait" horizontalDpi="1200" verticalDpi="1200" r:id="rId1"/>
    </customSheetView>
    <customSheetView guid="{9A54679E-64D7-44E9-AABE-4253818C5C4B}">
      <selection activeCell="P17" sqref="P17"/>
      <pageMargins left="0.7" right="0.7" top="0.75" bottom="0.75" header="0.3" footer="0.3"/>
      <pageSetup orientation="portrait" horizontalDpi="1200" verticalDpi="1200" r:id="rId2"/>
    </customSheetView>
  </customSheetViews>
  <mergeCells count="12">
    <mergeCell ref="A3:A5"/>
    <mergeCell ref="A6:A8"/>
    <mergeCell ref="B51:C51"/>
    <mergeCell ref="B2:C2"/>
    <mergeCell ref="B3:C3"/>
    <mergeCell ref="B4:C4"/>
    <mergeCell ref="B5:C5"/>
    <mergeCell ref="B49:C49"/>
    <mergeCell ref="B50:C50"/>
    <mergeCell ref="B6:C6"/>
    <mergeCell ref="B7:C7"/>
    <mergeCell ref="B8:C8"/>
  </mergeCells>
  <conditionalFormatting sqref="B3:P5">
    <cfRule type="expression" dxfId="4" priority="2">
      <formula>IF(ReinType&lt;&gt;"Split Pipe",1,0)</formula>
    </cfRule>
  </conditionalFormatting>
  <conditionalFormatting sqref="B6:P8">
    <cfRule type="expression" dxfId="3" priority="1">
      <formula>IF(ReinType&lt;&gt;"Form Fit",1,0)</formula>
    </cfRule>
  </conditionalFormatting>
  <pageMargins left="0.7" right="0.7" top="0.75" bottom="0.75" header="0.3" footer="0.3"/>
  <pageSetup orientation="portrait" horizontalDpi="1200" verticalDpi="1200" r:id="rId3"/>
  <drawing r:id="rId4"/>
  <legacyDrawing r:id="rId5"/>
  <oleObjects>
    <mc:AlternateContent xmlns:mc="http://schemas.openxmlformats.org/markup-compatibility/2006">
      <mc:Choice Requires="x14">
        <oleObject progId="AutoCADLT.Drawing.19" shapeId="360449" r:id="rId6">
          <objectPr defaultSize="0" autoPict="0" r:id="rId7">
            <anchor moveWithCells="1">
              <from>
                <xdr:col>10</xdr:col>
                <xdr:colOff>552450</xdr:colOff>
                <xdr:row>43</xdr:row>
                <xdr:rowOff>38100</xdr:rowOff>
              </from>
              <to>
                <xdr:col>15</xdr:col>
                <xdr:colOff>57150</xdr:colOff>
                <xdr:row>55</xdr:row>
                <xdr:rowOff>104775</xdr:rowOff>
              </to>
            </anchor>
          </objectPr>
        </oleObject>
      </mc:Choice>
      <mc:Fallback>
        <oleObject progId="AutoCADLT.Drawing.19" shapeId="360449" r:id="rId6"/>
      </mc:Fallback>
    </mc:AlternateContent>
  </oleObjects>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6"/>
  <dimension ref="A1:U53"/>
  <sheetViews>
    <sheetView topLeftCell="D1" workbookViewId="0">
      <selection activeCell="I24" sqref="I24"/>
    </sheetView>
  </sheetViews>
  <sheetFormatPr defaultRowHeight="15" x14ac:dyDescent="0.25"/>
  <cols>
    <col min="1" max="1" width="11" hidden="1" customWidth="1"/>
    <col min="2" max="2" width="8.5703125" hidden="1" customWidth="1"/>
    <col min="3" max="3" width="10.7109375" hidden="1" customWidth="1"/>
    <col min="4" max="4" width="11.5703125" bestFit="1" customWidth="1"/>
    <col min="5" max="5" width="13.28515625" customWidth="1"/>
    <col min="6" max="6" width="14.42578125" bestFit="1" customWidth="1"/>
    <col min="7" max="7" width="14.42578125" customWidth="1"/>
    <col min="9" max="9" width="19.7109375" bestFit="1" customWidth="1"/>
    <col min="10" max="10" width="19.7109375" customWidth="1"/>
    <col min="13" max="13" width="0" hidden="1" customWidth="1"/>
    <col min="17" max="17" width="18.42578125" bestFit="1" customWidth="1"/>
    <col min="19" max="19" width="28.7109375" bestFit="1" customWidth="1"/>
  </cols>
  <sheetData>
    <row r="1" spans="1:21" ht="60.75" customHeight="1" x14ac:dyDescent="0.25">
      <c r="A1" t="s">
        <v>111</v>
      </c>
      <c r="B1" t="s">
        <v>111</v>
      </c>
      <c r="D1" s="654" t="s">
        <v>524</v>
      </c>
      <c r="E1" s="654" t="s">
        <v>291</v>
      </c>
      <c r="F1" s="654" t="s">
        <v>547</v>
      </c>
      <c r="G1" s="654" t="s">
        <v>557</v>
      </c>
      <c r="I1" s="654" t="s">
        <v>333</v>
      </c>
      <c r="J1" s="654" t="s">
        <v>548</v>
      </c>
      <c r="K1" s="654" t="s">
        <v>545</v>
      </c>
      <c r="L1" s="654" t="s">
        <v>546</v>
      </c>
    </row>
    <row r="2" spans="1:21" ht="15" customHeight="1" x14ac:dyDescent="0.25">
      <c r="B2" t="s">
        <v>112</v>
      </c>
      <c r="D2" s="654"/>
      <c r="E2" s="654"/>
      <c r="F2" s="654" t="s">
        <v>525</v>
      </c>
      <c r="G2" s="654"/>
      <c r="I2" s="654"/>
      <c r="J2" s="654"/>
      <c r="K2" s="654"/>
      <c r="L2" s="654"/>
      <c r="Q2" s="309" t="s">
        <v>831</v>
      </c>
      <c r="R2" s="304"/>
      <c r="S2" s="309" t="s">
        <v>832</v>
      </c>
      <c r="T2" s="304"/>
      <c r="U2" s="304"/>
    </row>
    <row r="3" spans="1:21" x14ac:dyDescent="0.25">
      <c r="D3" s="654"/>
      <c r="E3" s="654"/>
      <c r="F3" s="654" t="s">
        <v>526</v>
      </c>
      <c r="G3" s="654"/>
      <c r="I3" s="654"/>
      <c r="J3" s="654"/>
      <c r="K3" s="654"/>
      <c r="L3" s="654"/>
    </row>
    <row r="4" spans="1:21" x14ac:dyDescent="0.25">
      <c r="A4" t="s">
        <v>299</v>
      </c>
      <c r="B4" t="s">
        <v>299</v>
      </c>
      <c r="D4" s="206" t="s">
        <v>527</v>
      </c>
      <c r="E4" s="210">
        <v>0.25</v>
      </c>
      <c r="F4" s="207">
        <v>20</v>
      </c>
      <c r="G4" s="210">
        <v>2.69E-2</v>
      </c>
      <c r="I4" s="213" t="s">
        <v>334</v>
      </c>
      <c r="J4" s="213" t="s">
        <v>549</v>
      </c>
      <c r="K4" s="211">
        <v>75</v>
      </c>
      <c r="L4" s="211">
        <v>100</v>
      </c>
      <c r="M4" t="s">
        <v>334</v>
      </c>
      <c r="P4" s="307"/>
    </row>
    <row r="5" spans="1:21" x14ac:dyDescent="0.25">
      <c r="B5" t="s">
        <v>298</v>
      </c>
      <c r="D5" s="206" t="s">
        <v>528</v>
      </c>
      <c r="E5" s="210">
        <f>5/16</f>
        <v>0.3125</v>
      </c>
      <c r="F5" s="207">
        <v>18</v>
      </c>
      <c r="G5" s="210">
        <v>4.5400000000000003E-2</v>
      </c>
      <c r="I5" s="213" t="s">
        <v>335</v>
      </c>
      <c r="J5" s="213" t="s">
        <v>549</v>
      </c>
      <c r="K5" s="211">
        <v>36</v>
      </c>
      <c r="L5" s="211">
        <v>58</v>
      </c>
      <c r="M5" t="s">
        <v>335</v>
      </c>
    </row>
    <row r="6" spans="1:21" ht="15" customHeight="1" x14ac:dyDescent="0.25">
      <c r="D6" s="206" t="s">
        <v>529</v>
      </c>
      <c r="E6" s="210">
        <f>3/8</f>
        <v>0.375</v>
      </c>
      <c r="F6" s="207">
        <v>16</v>
      </c>
      <c r="G6" s="210">
        <v>6.7799999999999999E-2</v>
      </c>
      <c r="I6" s="213" t="s">
        <v>336</v>
      </c>
      <c r="J6" s="213" t="s">
        <v>549</v>
      </c>
      <c r="K6" s="211">
        <v>36</v>
      </c>
      <c r="L6" s="211">
        <v>60</v>
      </c>
      <c r="M6" t="s">
        <v>336</v>
      </c>
    </row>
    <row r="7" spans="1:21" x14ac:dyDescent="0.25">
      <c r="D7" s="206" t="s">
        <v>530</v>
      </c>
      <c r="E7" s="210">
        <f>7/16</f>
        <v>0.4375</v>
      </c>
      <c r="F7" s="207">
        <v>14</v>
      </c>
      <c r="G7" s="210">
        <v>9.3299999999999994E-2</v>
      </c>
      <c r="I7" s="213" t="s">
        <v>337</v>
      </c>
      <c r="J7" s="213" t="s">
        <v>549</v>
      </c>
      <c r="K7" s="211">
        <v>105</v>
      </c>
      <c r="L7" s="211">
        <v>125</v>
      </c>
      <c r="M7" t="s">
        <v>337</v>
      </c>
    </row>
    <row r="8" spans="1:21" x14ac:dyDescent="0.25">
      <c r="D8" s="206" t="s">
        <v>531</v>
      </c>
      <c r="E8" s="210">
        <f>1/2</f>
        <v>0.5</v>
      </c>
      <c r="F8" s="207">
        <v>13</v>
      </c>
      <c r="G8" s="210">
        <v>0.12570000000000001</v>
      </c>
      <c r="I8" s="213" t="s">
        <v>550</v>
      </c>
      <c r="J8" s="213" t="s">
        <v>551</v>
      </c>
      <c r="K8" s="211">
        <v>92</v>
      </c>
      <c r="L8" s="211">
        <v>120</v>
      </c>
      <c r="M8" t="s">
        <v>550</v>
      </c>
    </row>
    <row r="9" spans="1:21" ht="15" customHeight="1" x14ac:dyDescent="0.25">
      <c r="D9" s="206" t="s">
        <v>532</v>
      </c>
      <c r="E9" s="210">
        <f>9/16</f>
        <v>0.5625</v>
      </c>
      <c r="F9" s="207">
        <v>12</v>
      </c>
      <c r="G9" s="210">
        <v>0.16200000000000001</v>
      </c>
      <c r="I9" s="213" t="s">
        <v>550</v>
      </c>
      <c r="J9" s="213" t="s">
        <v>552</v>
      </c>
      <c r="K9" s="211">
        <v>81</v>
      </c>
      <c r="L9" s="211">
        <v>105</v>
      </c>
      <c r="M9" t="s">
        <v>338</v>
      </c>
    </row>
    <row r="10" spans="1:21" x14ac:dyDescent="0.25">
      <c r="D10" s="206" t="s">
        <v>533</v>
      </c>
      <c r="E10" s="210">
        <f>5/8</f>
        <v>0.625</v>
      </c>
      <c r="F10" s="207">
        <v>11</v>
      </c>
      <c r="G10" s="210">
        <v>0.20200000000000001</v>
      </c>
      <c r="I10" s="213" t="s">
        <v>338</v>
      </c>
      <c r="J10" s="213" t="s">
        <v>549</v>
      </c>
      <c r="K10" s="211">
        <v>130</v>
      </c>
      <c r="L10" s="211">
        <v>150</v>
      </c>
      <c r="M10" t="s">
        <v>554</v>
      </c>
    </row>
    <row r="11" spans="1:21" x14ac:dyDescent="0.25">
      <c r="D11" s="206" t="s">
        <v>534</v>
      </c>
      <c r="E11" s="210">
        <f>3/4</f>
        <v>0.75</v>
      </c>
      <c r="F11" s="207">
        <v>10</v>
      </c>
      <c r="G11" s="210">
        <v>0.30199999999999999</v>
      </c>
      <c r="I11" s="213" t="s">
        <v>554</v>
      </c>
      <c r="J11" s="213" t="s">
        <v>553</v>
      </c>
      <c r="K11" s="211">
        <v>109</v>
      </c>
      <c r="L11" s="211">
        <v>125</v>
      </c>
      <c r="M11" t="s">
        <v>339</v>
      </c>
    </row>
    <row r="12" spans="1:21" x14ac:dyDescent="0.25">
      <c r="D12" s="206" t="s">
        <v>535</v>
      </c>
      <c r="E12" s="210">
        <f>7/8</f>
        <v>0.875</v>
      </c>
      <c r="F12" s="207">
        <v>9</v>
      </c>
      <c r="G12" s="210">
        <v>0.41899999999999998</v>
      </c>
      <c r="I12" s="213" t="s">
        <v>554</v>
      </c>
      <c r="J12" s="213" t="s">
        <v>555</v>
      </c>
      <c r="K12" s="211">
        <v>99</v>
      </c>
      <c r="L12" s="211">
        <v>115</v>
      </c>
      <c r="M12" t="s">
        <v>495</v>
      </c>
    </row>
    <row r="13" spans="1:21" ht="15" customHeight="1" x14ac:dyDescent="0.25">
      <c r="D13" s="206" t="s">
        <v>536</v>
      </c>
      <c r="E13" s="210">
        <f>1</f>
        <v>1</v>
      </c>
      <c r="F13" s="207">
        <v>8</v>
      </c>
      <c r="G13" s="210">
        <v>0.55100000000000005</v>
      </c>
      <c r="I13" s="213" t="s">
        <v>339</v>
      </c>
      <c r="J13" s="213" t="s">
        <v>553</v>
      </c>
      <c r="K13" s="211">
        <v>130</v>
      </c>
      <c r="L13" s="211">
        <v>150</v>
      </c>
    </row>
    <row r="14" spans="1:21" x14ac:dyDescent="0.25">
      <c r="D14" s="206" t="s">
        <v>537</v>
      </c>
      <c r="E14" s="210">
        <f>1+1/8</f>
        <v>1.125</v>
      </c>
      <c r="F14" s="207">
        <v>7</v>
      </c>
      <c r="G14" s="210">
        <v>0.69299999999999995</v>
      </c>
      <c r="I14" s="213" t="s">
        <v>339</v>
      </c>
      <c r="J14" s="213" t="s">
        <v>555</v>
      </c>
      <c r="K14" s="211">
        <v>115</v>
      </c>
      <c r="L14" s="211">
        <v>140</v>
      </c>
    </row>
    <row r="15" spans="1:21" x14ac:dyDescent="0.25">
      <c r="D15" s="206" t="s">
        <v>538</v>
      </c>
      <c r="E15" s="210">
        <f>1+1/4</f>
        <v>1.25</v>
      </c>
      <c r="F15" s="207">
        <v>7</v>
      </c>
      <c r="G15" s="210">
        <v>0.89</v>
      </c>
      <c r="I15" s="213" t="s">
        <v>495</v>
      </c>
      <c r="J15" s="213" t="s">
        <v>549</v>
      </c>
      <c r="K15" s="212"/>
      <c r="L15" s="212"/>
    </row>
    <row r="16" spans="1:21" ht="15" customHeight="1" x14ac:dyDescent="0.25">
      <c r="D16" s="206" t="s">
        <v>558</v>
      </c>
      <c r="E16" s="210">
        <v>1.375</v>
      </c>
      <c r="F16" s="207">
        <v>6</v>
      </c>
      <c r="G16" s="210">
        <v>1.054</v>
      </c>
    </row>
    <row r="17" spans="3:7" x14ac:dyDescent="0.25">
      <c r="D17" s="206" t="s">
        <v>539</v>
      </c>
      <c r="E17" s="210">
        <f>1+1/2</f>
        <v>1.5</v>
      </c>
      <c r="F17" s="207">
        <v>6</v>
      </c>
      <c r="G17" s="210">
        <v>1.294</v>
      </c>
    </row>
    <row r="18" spans="3:7" x14ac:dyDescent="0.25">
      <c r="D18" s="208" t="s">
        <v>495</v>
      </c>
      <c r="E18" s="209"/>
      <c r="F18" s="209"/>
      <c r="G18" s="306" t="s">
        <v>813</v>
      </c>
    </row>
    <row r="19" spans="3:7" ht="15" customHeight="1" x14ac:dyDescent="0.25"/>
    <row r="21" spans="3:7" ht="60" x14ac:dyDescent="0.25">
      <c r="D21" s="423" t="s">
        <v>1370</v>
      </c>
      <c r="E21" s="423" t="s">
        <v>545</v>
      </c>
      <c r="F21" s="423" t="s">
        <v>546</v>
      </c>
      <c r="G21" s="423" t="s">
        <v>1373</v>
      </c>
    </row>
    <row r="22" spans="3:7" x14ac:dyDescent="0.25">
      <c r="D22" s="213">
        <v>35</v>
      </c>
      <c r="E22" s="211">
        <v>35</v>
      </c>
      <c r="F22" s="211">
        <v>60</v>
      </c>
      <c r="G22" s="424" t="s">
        <v>1374</v>
      </c>
    </row>
    <row r="23" spans="3:7" x14ac:dyDescent="0.25">
      <c r="D23" s="213">
        <v>36</v>
      </c>
      <c r="E23" s="211">
        <v>36</v>
      </c>
      <c r="F23" s="211">
        <v>58</v>
      </c>
      <c r="G23" s="424" t="s">
        <v>335</v>
      </c>
    </row>
    <row r="24" spans="3:7" x14ac:dyDescent="0.25">
      <c r="D24" s="213">
        <v>40</v>
      </c>
      <c r="E24" s="211">
        <v>40</v>
      </c>
      <c r="F24" s="211">
        <v>55</v>
      </c>
      <c r="G24" s="424" t="s">
        <v>1480</v>
      </c>
    </row>
    <row r="25" spans="3:7" x14ac:dyDescent="0.25">
      <c r="C25" s="205"/>
      <c r="D25" s="213">
        <v>42</v>
      </c>
      <c r="E25" s="211">
        <v>42</v>
      </c>
      <c r="F25" s="211">
        <v>58</v>
      </c>
      <c r="G25" s="424" t="s">
        <v>1375</v>
      </c>
    </row>
    <row r="26" spans="3:7" x14ac:dyDescent="0.25">
      <c r="D26" s="213">
        <v>46</v>
      </c>
      <c r="E26" s="211">
        <v>46</v>
      </c>
      <c r="F26" s="211">
        <v>62</v>
      </c>
      <c r="G26" s="424" t="s">
        <v>1377</v>
      </c>
    </row>
    <row r="27" spans="3:7" ht="15" customHeight="1" x14ac:dyDescent="0.25">
      <c r="D27" s="213">
        <v>50</v>
      </c>
      <c r="E27" s="211">
        <v>50</v>
      </c>
      <c r="F27" s="211">
        <v>65</v>
      </c>
      <c r="G27" s="424" t="s">
        <v>1060</v>
      </c>
    </row>
    <row r="28" spans="3:7" x14ac:dyDescent="0.25">
      <c r="D28" s="425">
        <v>55</v>
      </c>
      <c r="E28" s="211">
        <v>55</v>
      </c>
      <c r="F28" s="211">
        <v>70</v>
      </c>
      <c r="G28" s="424" t="s">
        <v>1376</v>
      </c>
    </row>
    <row r="29" spans="3:7" x14ac:dyDescent="0.25">
      <c r="D29" s="425">
        <v>60</v>
      </c>
      <c r="E29" s="211">
        <v>60</v>
      </c>
      <c r="F29" s="211">
        <v>75</v>
      </c>
      <c r="G29" s="424" t="s">
        <v>1371</v>
      </c>
    </row>
    <row r="30" spans="3:7" x14ac:dyDescent="0.25">
      <c r="D30" s="425">
        <v>65</v>
      </c>
      <c r="E30" s="211">
        <v>65</v>
      </c>
      <c r="F30" s="211">
        <v>80</v>
      </c>
      <c r="G30" s="424" t="s">
        <v>1372</v>
      </c>
    </row>
    <row r="31" spans="3:7" x14ac:dyDescent="0.25">
      <c r="D31" s="3"/>
    </row>
    <row r="32" spans="3:7" x14ac:dyDescent="0.25">
      <c r="D32" s="3"/>
    </row>
    <row r="33" spans="4:4" ht="15" customHeight="1" x14ac:dyDescent="0.25">
      <c r="D33" s="3"/>
    </row>
    <row r="34" spans="4:4" x14ac:dyDescent="0.25">
      <c r="D34" s="3"/>
    </row>
    <row r="35" spans="4:4" x14ac:dyDescent="0.25">
      <c r="D35" s="3"/>
    </row>
    <row r="36" spans="4:4" x14ac:dyDescent="0.25">
      <c r="D36" s="3"/>
    </row>
    <row r="37" spans="4:4" x14ac:dyDescent="0.25">
      <c r="D37" s="3"/>
    </row>
    <row r="38" spans="4:4" x14ac:dyDescent="0.25">
      <c r="D38" s="3"/>
    </row>
    <row r="39" spans="4:4" x14ac:dyDescent="0.25">
      <c r="D39" s="3"/>
    </row>
    <row r="40" spans="4:4" ht="15" customHeight="1" x14ac:dyDescent="0.25">
      <c r="D40" s="3"/>
    </row>
    <row r="41" spans="4:4" x14ac:dyDescent="0.25">
      <c r="D41" s="3"/>
    </row>
    <row r="42" spans="4:4" x14ac:dyDescent="0.25">
      <c r="D42" s="3"/>
    </row>
    <row r="43" spans="4:4" x14ac:dyDescent="0.25">
      <c r="D43" s="3"/>
    </row>
    <row r="44" spans="4:4" x14ac:dyDescent="0.25">
      <c r="D44" s="3"/>
    </row>
    <row r="45" spans="4:4" x14ac:dyDescent="0.25">
      <c r="D45" s="3"/>
    </row>
    <row r="46" spans="4:4" x14ac:dyDescent="0.25">
      <c r="D46" s="3"/>
    </row>
    <row r="47" spans="4:4" ht="15" customHeight="1" x14ac:dyDescent="0.25">
      <c r="D47" s="3"/>
    </row>
    <row r="48" spans="4:4" x14ac:dyDescent="0.25">
      <c r="D48" s="3"/>
    </row>
    <row r="49" spans="4:4" x14ac:dyDescent="0.25">
      <c r="D49" s="3"/>
    </row>
    <row r="50" spans="4:4" x14ac:dyDescent="0.25">
      <c r="D50" s="3"/>
    </row>
    <row r="51" spans="4:4" x14ac:dyDescent="0.25">
      <c r="D51" s="3"/>
    </row>
    <row r="52" spans="4:4" x14ac:dyDescent="0.25">
      <c r="D52" s="3"/>
    </row>
    <row r="53" spans="4:4" x14ac:dyDescent="0.25">
      <c r="D53" s="3"/>
    </row>
  </sheetData>
  <customSheetViews>
    <customSheetView guid="{47553E05-005A-459E-BBCC-799C7F4EBE26}">
      <selection activeCell="C7" sqref="C7"/>
      <pageMargins left="0.7" right="0.7" top="0.75" bottom="0.75" header="0.3" footer="0.3"/>
      <pageSetup paperSize="3" scale="120" fitToWidth="0" orientation="portrait" r:id="rId1"/>
    </customSheetView>
    <customSheetView guid="{9A54679E-64D7-44E9-AABE-4253818C5C4B}">
      <selection activeCell="C7" sqref="C7"/>
      <pageMargins left="0.7" right="0.7" top="0.75" bottom="0.75" header="0.3" footer="0.3"/>
      <pageSetup paperSize="3" scale="120" fitToWidth="0" orientation="portrait" r:id="rId2"/>
    </customSheetView>
  </customSheetViews>
  <mergeCells count="8">
    <mergeCell ref="K1:K3"/>
    <mergeCell ref="L1:L3"/>
    <mergeCell ref="J1:J3"/>
    <mergeCell ref="G1:G3"/>
    <mergeCell ref="D1:D3"/>
    <mergeCell ref="E1:E3"/>
    <mergeCell ref="F1:F3"/>
    <mergeCell ref="I1:I3"/>
  </mergeCells>
  <hyperlinks>
    <hyperlink ref="S2" location="'Bolt-On Split Pipe'!Q40" tooltip="Bolt-On Split Pipe Tab" display="Bolt-On Split Pipe Tab" xr:uid="{E410455A-7752-4EF4-B877-F666FCFBB6EF}"/>
    <hyperlink ref="Q2" location="Summary!A1" tooltip="Summary Tab" display="Summary Tab" xr:uid="{50E18B78-8E31-458C-939E-93083F15E9EE}"/>
  </hyperlinks>
  <pageMargins left="0.7" right="0.7" top="0.75" bottom="0.75" header="0.3" footer="0.3"/>
  <pageSetup paperSize="3" scale="120" fitToWidth="0" orientation="portrait" r:id="rId3"/>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1"/>
  <dimension ref="A1:M35"/>
  <sheetViews>
    <sheetView topLeftCell="A2" workbookViewId="0">
      <selection activeCell="J12" sqref="J12"/>
    </sheetView>
  </sheetViews>
  <sheetFormatPr defaultRowHeight="15" x14ac:dyDescent="0.25"/>
  <cols>
    <col min="1" max="1" width="12.7109375" customWidth="1"/>
    <col min="2" max="2" width="13.7109375" customWidth="1"/>
    <col min="3" max="3" width="11.5703125" bestFit="1" customWidth="1"/>
    <col min="4" max="4" width="12.7109375" bestFit="1" customWidth="1"/>
    <col min="11" max="11" width="10.140625" bestFit="1" customWidth="1"/>
    <col min="13" max="13" width="9.140625" hidden="1" customWidth="1"/>
  </cols>
  <sheetData>
    <row r="1" spans="1:13" ht="15.75" hidden="1" thickBot="1" x14ac:dyDescent="0.3">
      <c r="A1" s="119">
        <f>COUNT($A$3:$A$35)</f>
        <v>15</v>
      </c>
    </row>
    <row r="2" spans="1:13" ht="45.75" thickBot="1" x14ac:dyDescent="0.3">
      <c r="A2" s="105" t="s">
        <v>306</v>
      </c>
      <c r="B2" s="88" t="s">
        <v>294</v>
      </c>
      <c r="C2" s="109" t="s">
        <v>238</v>
      </c>
      <c r="D2" s="109" t="s">
        <v>239</v>
      </c>
      <c r="E2" s="109" t="s">
        <v>240</v>
      </c>
      <c r="F2" s="109" t="s">
        <v>241</v>
      </c>
      <c r="G2" s="109" t="s">
        <v>242</v>
      </c>
      <c r="H2" s="109" t="s">
        <v>243</v>
      </c>
      <c r="I2" s="109" t="s">
        <v>244</v>
      </c>
      <c r="J2" s="109" t="s">
        <v>245</v>
      </c>
      <c r="K2" s="110" t="s">
        <v>246</v>
      </c>
      <c r="L2" s="123" t="s">
        <v>247</v>
      </c>
      <c r="M2" s="91" t="s">
        <v>284</v>
      </c>
    </row>
    <row r="3" spans="1:13" x14ac:dyDescent="0.25">
      <c r="A3" s="106">
        <v>10.75</v>
      </c>
      <c r="B3" s="86">
        <v>10.875</v>
      </c>
      <c r="C3" s="111" t="s">
        <v>273</v>
      </c>
      <c r="D3" s="111" t="s">
        <v>274</v>
      </c>
      <c r="E3" s="111">
        <v>30.315999999999999</v>
      </c>
      <c r="F3" s="111">
        <v>9.0069999999999997</v>
      </c>
      <c r="G3" s="111">
        <v>3</v>
      </c>
      <c r="H3" s="111">
        <v>2.282</v>
      </c>
      <c r="I3" s="111">
        <v>65.432900000000004</v>
      </c>
      <c r="J3" s="111">
        <v>178.5523</v>
      </c>
      <c r="K3" s="111">
        <v>8</v>
      </c>
      <c r="L3" s="124">
        <v>0.375</v>
      </c>
      <c r="M3" s="120" t="e">
        <f>IF(K3=3,0.625-0.625*COS(RADIANS(30))+L3+(0.5*A3*TAN(RADIANS(30))-0.625*TAN(RADIANS(30)))*COS(RADIANS(60))+0.5*A3*COS(RADIANS(30))-(Summary!$Z$84-A3/2),Dleg-Summary!Z$84+L3)</f>
        <v>#N/A</v>
      </c>
    </row>
    <row r="4" spans="1:13" x14ac:dyDescent="0.25">
      <c r="A4" s="107">
        <v>8.625</v>
      </c>
      <c r="B4" s="11">
        <v>8.7550000000000008</v>
      </c>
      <c r="C4" s="112" t="s">
        <v>271</v>
      </c>
      <c r="D4" s="112" t="s">
        <v>272</v>
      </c>
      <c r="E4" s="112">
        <v>24.721</v>
      </c>
      <c r="F4" s="112">
        <v>7.3449999999999998</v>
      </c>
      <c r="G4" s="112">
        <v>2.5</v>
      </c>
      <c r="H4" s="112">
        <v>1.8117000000000001</v>
      </c>
      <c r="I4" s="112">
        <v>35.176499999999997</v>
      </c>
      <c r="J4" s="112">
        <v>94.625600000000006</v>
      </c>
      <c r="K4" s="112">
        <v>8</v>
      </c>
      <c r="L4" s="125">
        <v>0.375</v>
      </c>
      <c r="M4" s="121" t="e">
        <f>IF(K4=3,0.625-0.625*COS(RADIANS(30))+L4+(0.5*A4*TAN(RADIANS(30))-0.625*TAN(RADIANS(30)))*COS(RADIANS(60))+0.5*A4*COS(RADIANS(30))-(Summary!$Z$84-A4/2),Dleg-Summary!Z$84+L4)</f>
        <v>#N/A</v>
      </c>
    </row>
    <row r="5" spans="1:13" x14ac:dyDescent="0.25">
      <c r="A5" s="107">
        <v>6.625</v>
      </c>
      <c r="B5" s="11">
        <v>6.75</v>
      </c>
      <c r="C5" s="112" t="s">
        <v>269</v>
      </c>
      <c r="D5" s="112" t="s">
        <v>270</v>
      </c>
      <c r="E5" s="112">
        <v>19.483000000000001</v>
      </c>
      <c r="F5" s="112">
        <v>5.7103000000000002</v>
      </c>
      <c r="G5" s="112">
        <v>2</v>
      </c>
      <c r="H5" s="112">
        <v>1.3975</v>
      </c>
      <c r="I5" s="112">
        <v>17.221800000000002</v>
      </c>
      <c r="J5" s="112">
        <v>45.862699999999997</v>
      </c>
      <c r="K5" s="112">
        <v>6</v>
      </c>
      <c r="L5" s="125">
        <v>0.375</v>
      </c>
      <c r="M5" s="121" t="e">
        <f>IF(K5=3,0.625-0.625*COS(RADIANS(30))+L5+(0.5*A5*TAN(RADIANS(30))-0.625*TAN(RADIANS(30)))*COS(RADIANS(60))+0.5*A5*COS(RADIANS(30))-(Summary!$Z$84-A5/2),Dleg-Summary!Z$84+L5)</f>
        <v>#N/A</v>
      </c>
    </row>
    <row r="6" spans="1:13" ht="15.75" thickBot="1" x14ac:dyDescent="0.3">
      <c r="A6" s="108">
        <v>5.5625</v>
      </c>
      <c r="B6" s="87">
        <v>5.6875</v>
      </c>
      <c r="C6" s="113" t="s">
        <v>267</v>
      </c>
      <c r="D6" s="113" t="s">
        <v>268</v>
      </c>
      <c r="E6" s="113">
        <v>17.297000000000001</v>
      </c>
      <c r="F6" s="113">
        <v>5.0697000000000001</v>
      </c>
      <c r="G6" s="113">
        <v>2</v>
      </c>
      <c r="H6" s="113">
        <v>1.0486</v>
      </c>
      <c r="I6" s="113">
        <v>12.5153</v>
      </c>
      <c r="J6" s="113">
        <v>30.200800000000001</v>
      </c>
      <c r="K6" s="113">
        <v>6</v>
      </c>
      <c r="L6" s="126">
        <v>0.375</v>
      </c>
      <c r="M6" s="122" t="e">
        <f>IF(K6=3,0.625-0.625*COS(RADIANS(30))+L6+(0.5*A6*TAN(RADIANS(30))-0.625*TAN(RADIANS(30)))*COS(RADIANS(60))+0.5*A6*COS(RADIANS(30))-(Summary!$Z$84-A6/2),Dleg-Summary!Z$84+L6)</f>
        <v>#N/A</v>
      </c>
    </row>
    <row r="7" spans="1:13" x14ac:dyDescent="0.25">
      <c r="A7" s="106">
        <v>4.5</v>
      </c>
      <c r="B7" s="86">
        <v>4.5625</v>
      </c>
      <c r="C7" s="111" t="s">
        <v>265</v>
      </c>
      <c r="D7" s="111" t="s">
        <v>266</v>
      </c>
      <c r="E7" s="111">
        <v>14.667</v>
      </c>
      <c r="F7" s="111">
        <v>4.2987000000000002</v>
      </c>
      <c r="G7" s="111">
        <v>1.75</v>
      </c>
      <c r="H7" s="111">
        <v>0.83899999999999997</v>
      </c>
      <c r="I7" s="111">
        <v>7.6589</v>
      </c>
      <c r="J7" s="111">
        <v>17.516300000000001</v>
      </c>
      <c r="K7" s="111">
        <v>4</v>
      </c>
      <c r="L7" s="124">
        <v>0.375</v>
      </c>
      <c r="M7" s="120" t="e">
        <f>IF(K7=3,0.625-0.625*COS(RADIANS(30))+L7+(0.5*A7*TAN(RADIANS(30))-0.625*TAN(RADIANS(30)))*COS(RADIANS(60))+0.5*A7*COS(RADIANS(30))-(Summary!$Z$84-A7/2),Dleg-Summary!Z$84+L7)</f>
        <v>#N/A</v>
      </c>
    </row>
    <row r="8" spans="1:13" x14ac:dyDescent="0.25">
      <c r="A8" s="107">
        <v>4</v>
      </c>
      <c r="B8" s="11">
        <v>4.0625</v>
      </c>
      <c r="C8" s="112" t="s">
        <v>263</v>
      </c>
      <c r="D8" s="112" t="s">
        <v>264</v>
      </c>
      <c r="E8" s="112">
        <v>12.967000000000001</v>
      </c>
      <c r="F8" s="112">
        <v>3.8005</v>
      </c>
      <c r="G8" s="112">
        <v>1.5</v>
      </c>
      <c r="H8" s="112">
        <v>0.78349999999999997</v>
      </c>
      <c r="I8" s="112">
        <v>5.2512999999999996</v>
      </c>
      <c r="J8" s="112">
        <v>12.417899999999999</v>
      </c>
      <c r="K8" s="112">
        <v>4</v>
      </c>
      <c r="L8" s="125">
        <v>0.375</v>
      </c>
      <c r="M8" s="121" t="e">
        <f>IF(K8=3,0.625-0.625*COS(RADIANS(30))+L8+(0.5*A8*TAN(RADIANS(30))-0.625*TAN(RADIANS(30)))*COS(RADIANS(60))+0.5*A8*COS(RADIANS(30))-(Summary!$Z$84-A8/2),Dleg-Summary!Z$84+L8)</f>
        <v>#N/A</v>
      </c>
    </row>
    <row r="9" spans="1:13" ht="15.75" thickBot="1" x14ac:dyDescent="0.3">
      <c r="A9" s="108">
        <v>3.5</v>
      </c>
      <c r="B9" s="87">
        <v>3.5625</v>
      </c>
      <c r="C9" s="113" t="s">
        <v>262</v>
      </c>
      <c r="D9" s="113" t="s">
        <v>261</v>
      </c>
      <c r="E9" s="113">
        <v>11.268000000000001</v>
      </c>
      <c r="F9" s="113">
        <v>3.3024</v>
      </c>
      <c r="G9" s="113">
        <v>1.25</v>
      </c>
      <c r="H9" s="113">
        <v>0.72799999999999998</v>
      </c>
      <c r="I9" s="113">
        <v>3.4100999999999999</v>
      </c>
      <c r="J9" s="113">
        <v>8.4147999999999996</v>
      </c>
      <c r="K9" s="113">
        <v>4</v>
      </c>
      <c r="L9" s="126">
        <v>0.375</v>
      </c>
      <c r="M9" s="122" t="e">
        <f>IF(K9=3,0.625-0.625*COS(RADIANS(30))+L9+(0.5*A9*TAN(RADIANS(30))-0.625*TAN(RADIANS(30)))*COS(RADIANS(60))+0.5*A9*COS(RADIANS(30))-(Summary!$Z$84-A9/2),Dleg-Summary!Z$84+L9)</f>
        <v>#N/A</v>
      </c>
    </row>
    <row r="10" spans="1:13" x14ac:dyDescent="0.25">
      <c r="A10" s="106">
        <v>3.25</v>
      </c>
      <c r="B10" s="86">
        <v>3.3125</v>
      </c>
      <c r="C10" s="111" t="s">
        <v>260</v>
      </c>
      <c r="D10" s="111" t="s">
        <v>261</v>
      </c>
      <c r="E10" s="111">
        <v>10.198</v>
      </c>
      <c r="F10" s="111">
        <v>2.9887999999999999</v>
      </c>
      <c r="G10" s="111">
        <v>0.9587</v>
      </c>
      <c r="H10" s="111">
        <v>0.80149999999999999</v>
      </c>
      <c r="I10" s="111">
        <v>2.3748</v>
      </c>
      <c r="J10" s="111">
        <v>6.6359000000000004</v>
      </c>
      <c r="K10" s="111">
        <v>3</v>
      </c>
      <c r="L10" s="124">
        <v>0.375</v>
      </c>
      <c r="M10" s="120" t="e">
        <f>IF(K10=3,0.625-0.625*COS(RADIANS(30))+L10+(0.5*A10*TAN(RADIANS(30))-0.625*TAN(RADIANS(30)))*COS(RADIANS(60))+0.5*A10*COS(RADIANS(30))-(Summary!$Z$84-A10/2),Dleg-Summary!Z$84+L10)</f>
        <v>#N/A</v>
      </c>
    </row>
    <row r="11" spans="1:13" x14ac:dyDescent="0.25">
      <c r="A11" s="107">
        <v>3</v>
      </c>
      <c r="B11" s="11">
        <v>3.0625</v>
      </c>
      <c r="C11" s="112" t="s">
        <v>259</v>
      </c>
      <c r="D11" s="112" t="s">
        <v>258</v>
      </c>
      <c r="E11" s="112">
        <v>9.4589999999999996</v>
      </c>
      <c r="F11" s="112">
        <v>2.7719999999999998</v>
      </c>
      <c r="G11" s="112">
        <v>0.88660000000000005</v>
      </c>
      <c r="H11" s="112">
        <v>0.74709999999999999</v>
      </c>
      <c r="I11" s="112">
        <v>1.9005000000000001</v>
      </c>
      <c r="J11" s="112">
        <v>5.3391000000000002</v>
      </c>
      <c r="K11" s="112">
        <v>3</v>
      </c>
      <c r="L11" s="125">
        <v>0.375</v>
      </c>
      <c r="M11" s="121" t="e">
        <f>IF(K11=3,0.625-0.625*COS(RADIANS(30))+L11+(0.5*A11*TAN(RADIANS(30))-0.625*TAN(RADIANS(30)))*COS(RADIANS(60))+0.5*A11*COS(RADIANS(30))-(Summary!$Z$84-A11/2),Dleg-Summary!Z$84+L11)</f>
        <v>#N/A</v>
      </c>
    </row>
    <row r="12" spans="1:13" x14ac:dyDescent="0.25">
      <c r="A12" s="107">
        <v>2.875</v>
      </c>
      <c r="B12" s="11">
        <v>2.9375</v>
      </c>
      <c r="C12" s="112" t="s">
        <v>257</v>
      </c>
      <c r="D12" s="112" t="s">
        <v>258</v>
      </c>
      <c r="E12" s="112">
        <v>9.2210000000000001</v>
      </c>
      <c r="F12" s="112">
        <v>2.6640999999999999</v>
      </c>
      <c r="G12" s="112">
        <v>0.85050000000000003</v>
      </c>
      <c r="H12" s="112">
        <v>0.71989999999999998</v>
      </c>
      <c r="I12" s="112">
        <v>1.6891</v>
      </c>
      <c r="J12" s="112">
        <v>4.7592999999999996</v>
      </c>
      <c r="K12" s="112">
        <v>3</v>
      </c>
      <c r="L12" s="125">
        <v>0.375</v>
      </c>
      <c r="M12" s="121" t="e">
        <f>IF(K12=3,0.625-0.625*COS(RADIANS(30))+L12+(0.5*A12*TAN(RADIANS(30))-0.625*TAN(RADIANS(30)))*COS(RADIANS(60))+0.5*A12*COS(RADIANS(30))-(Summary!$Z$84-A12/2),Dleg-Summary!Z$84+L12)</f>
        <v>#N/A</v>
      </c>
    </row>
    <row r="13" spans="1:13" x14ac:dyDescent="0.25">
      <c r="A13" s="107">
        <v>2.5</v>
      </c>
      <c r="B13" s="11">
        <v>2.5625</v>
      </c>
      <c r="C13" s="112" t="s">
        <v>255</v>
      </c>
      <c r="D13" s="112" t="s">
        <v>256</v>
      </c>
      <c r="E13" s="112">
        <v>7.7969999999999997</v>
      </c>
      <c r="F13" s="112">
        <v>2.3393000000000002</v>
      </c>
      <c r="G13" s="112">
        <v>0.74219999999999997</v>
      </c>
      <c r="H13" s="112">
        <v>0.6381</v>
      </c>
      <c r="I13" s="112">
        <v>1.1498999999999999</v>
      </c>
      <c r="J13" s="112">
        <v>3.2738999999999998</v>
      </c>
      <c r="K13" s="112">
        <v>3</v>
      </c>
      <c r="L13" s="125">
        <v>0.375</v>
      </c>
      <c r="M13" s="121" t="e">
        <f>IF(K13=3,0.625-0.625*COS(RADIANS(30))+L13+(0.5*A13*TAN(RADIANS(30))-0.625*TAN(RADIANS(30)))*COS(RADIANS(60))+0.5*A13*COS(RADIANS(30))-(Summary!$Z$84-A13/2),Dleg-Summary!Z$84+L13)</f>
        <v>#N/A</v>
      </c>
    </row>
    <row r="14" spans="1:13" x14ac:dyDescent="0.25">
      <c r="A14" s="107">
        <v>2.375</v>
      </c>
      <c r="B14" s="11">
        <v>2.4375</v>
      </c>
      <c r="C14" s="112" t="s">
        <v>253</v>
      </c>
      <c r="D14" s="112" t="s">
        <v>254</v>
      </c>
      <c r="E14" s="112">
        <v>4.907</v>
      </c>
      <c r="F14" s="112">
        <v>1.4382999999999999</v>
      </c>
      <c r="G14" s="112">
        <v>0.70609999999999995</v>
      </c>
      <c r="H14" s="112">
        <v>0.56820000000000004</v>
      </c>
      <c r="I14" s="112">
        <v>0.60119999999999996</v>
      </c>
      <c r="J14" s="112">
        <v>1.6830000000000001</v>
      </c>
      <c r="K14" s="112">
        <v>3</v>
      </c>
      <c r="L14" s="125">
        <v>0.25</v>
      </c>
      <c r="M14" s="121" t="e">
        <f>IF(K14=3,0.625-0.625*COS(RADIANS(30))+L14+(0.5*A14*TAN(RADIANS(30))-0.625*TAN(RADIANS(30)))*COS(RADIANS(60))+0.5*A14*COS(RADIANS(30))-(Summary!$Z$84-A14/2),Dleg-Summary!Z$84+L14)</f>
        <v>#N/A</v>
      </c>
    </row>
    <row r="15" spans="1:13" x14ac:dyDescent="0.25">
      <c r="A15" s="107">
        <v>2</v>
      </c>
      <c r="B15" s="11">
        <v>2.0312999999999999</v>
      </c>
      <c r="C15" s="112" t="s">
        <v>252</v>
      </c>
      <c r="D15" s="112" t="s">
        <v>251</v>
      </c>
      <c r="E15" s="112">
        <v>3.0179999999999998</v>
      </c>
      <c r="F15" s="112">
        <v>0.88439999999999996</v>
      </c>
      <c r="G15" s="112">
        <v>0.57079999999999997</v>
      </c>
      <c r="H15" s="112">
        <v>0.47599999999999998</v>
      </c>
      <c r="I15" s="112">
        <v>0.25</v>
      </c>
      <c r="J15" s="112">
        <v>0.70050000000000001</v>
      </c>
      <c r="K15" s="112">
        <v>3</v>
      </c>
      <c r="L15" s="125">
        <v>0.1875</v>
      </c>
      <c r="M15" s="121" t="e">
        <f>IF(K15=3,0.625-0.625*COS(RADIANS(30))+L15+(0.5*A15*TAN(RADIANS(30))-0.625*TAN(RADIANS(30)))*COS(RADIANS(60))+0.5*A15*COS(RADIANS(30))-(Summary!$Z$84-A15/2),Dleg-Summary!Z$84+L15)</f>
        <v>#N/A</v>
      </c>
    </row>
    <row r="16" spans="1:13" x14ac:dyDescent="0.25">
      <c r="A16" s="107">
        <v>1.75</v>
      </c>
      <c r="B16" s="11">
        <v>1.8125</v>
      </c>
      <c r="C16" s="112" t="s">
        <v>250</v>
      </c>
      <c r="D16" s="112" t="s">
        <v>251</v>
      </c>
      <c r="E16" s="112">
        <v>2.694</v>
      </c>
      <c r="F16" s="112">
        <v>0.78969999999999996</v>
      </c>
      <c r="G16" s="112">
        <v>0.52569999999999995</v>
      </c>
      <c r="H16" s="112">
        <v>0.40960000000000002</v>
      </c>
      <c r="I16" s="112">
        <v>0.1787</v>
      </c>
      <c r="J16" s="112">
        <v>0.505</v>
      </c>
      <c r="K16" s="112">
        <v>3</v>
      </c>
      <c r="L16" s="125">
        <v>0.1875</v>
      </c>
      <c r="M16" s="121" t="e">
        <f>IF(K16=3,0.625-0.625*COS(RADIANS(30))+L16+(0.5*A16*TAN(RADIANS(30))-0.625*TAN(RADIANS(30)))*COS(RADIANS(60))+0.5*A16*COS(RADIANS(30))-(Summary!$Z$84-A16/2),Dleg-Summary!Z$84+L16)</f>
        <v>#N/A</v>
      </c>
    </row>
    <row r="17" spans="1:13" ht="15.75" thickBot="1" x14ac:dyDescent="0.3">
      <c r="A17" s="108">
        <v>1.5</v>
      </c>
      <c r="B17" s="87">
        <v>1.5625</v>
      </c>
      <c r="C17" s="113" t="s">
        <v>248</v>
      </c>
      <c r="D17" s="113" t="s">
        <v>249</v>
      </c>
      <c r="E17" s="113">
        <v>2.3250000000000002</v>
      </c>
      <c r="F17" s="113">
        <v>0.68140000000000001</v>
      </c>
      <c r="G17" s="113">
        <v>0.45350000000000001</v>
      </c>
      <c r="H17" s="113">
        <v>0.35410000000000003</v>
      </c>
      <c r="I17" s="113">
        <v>0.1153</v>
      </c>
      <c r="J17" s="113">
        <v>0.33029999999999998</v>
      </c>
      <c r="K17" s="113">
        <v>3</v>
      </c>
      <c r="L17" s="126">
        <v>0.1875</v>
      </c>
      <c r="M17" s="122" t="e">
        <f>IF(K17=3,0.625-0.625*COS(RADIANS(30))+L17+(0.5*A17*TAN(RADIANS(30))-0.625*TAN(RADIANS(30)))*COS(RADIANS(60))+0.5*A17*COS(RADIANS(30))-(Summary!$Z$84-A17/2),Dleg-Summary!Z$84+L17)</f>
        <v>#N/A</v>
      </c>
    </row>
    <row r="18" spans="1:13" x14ac:dyDescent="0.25">
      <c r="A18" s="134"/>
      <c r="B18" s="135"/>
      <c r="C18" s="135"/>
      <c r="D18" s="135"/>
      <c r="E18" s="135"/>
      <c r="F18" s="135"/>
      <c r="G18" s="135"/>
      <c r="H18" s="135"/>
      <c r="I18" s="135"/>
      <c r="J18" s="135"/>
      <c r="K18" s="135"/>
      <c r="L18" s="136"/>
      <c r="M18" s="120" t="e">
        <f>IF(K18=3,0.625-0.625*COS(RADIANS(30))+L18+(0.5*A18*TAN(RADIANS(30))-0.625*TAN(RADIANS(30)))*COS(RADIANS(60))+0.5*A18*COS(RADIANS(30))-(Summary!$Z$84-A18/2),Dleg-Summary!Z$84+L18)</f>
        <v>#N/A</v>
      </c>
    </row>
    <row r="19" spans="1:13" x14ac:dyDescent="0.25">
      <c r="A19" s="129"/>
      <c r="B19" s="127"/>
      <c r="C19" s="127"/>
      <c r="D19" s="11"/>
      <c r="E19" s="127"/>
      <c r="F19" s="127"/>
      <c r="G19" s="127"/>
      <c r="H19" s="127"/>
      <c r="I19" s="127"/>
      <c r="J19" s="127"/>
      <c r="K19" s="127"/>
      <c r="L19" s="130"/>
      <c r="M19" s="121" t="e">
        <f>IF(K19=3,0.625-0.625*COS(RADIANS(30))+L19+(0.5*A19*TAN(RADIANS(30))-0.625*TAN(RADIANS(30)))*COS(RADIANS(60))+0.5*A19*COS(RADIANS(30))-(Summary!$Z$84-A19/2),Dleg-Summary!Z$84+L19)</f>
        <v>#N/A</v>
      </c>
    </row>
    <row r="20" spans="1:13" x14ac:dyDescent="0.25">
      <c r="A20" s="129"/>
      <c r="B20" s="127"/>
      <c r="C20" s="127"/>
      <c r="D20" s="127"/>
      <c r="E20" s="127"/>
      <c r="F20" s="127"/>
      <c r="G20" s="127"/>
      <c r="H20" s="127"/>
      <c r="I20" s="127"/>
      <c r="J20" s="127"/>
      <c r="K20" s="127"/>
      <c r="L20" s="130"/>
      <c r="M20" s="121" t="e">
        <f>IF(K20=3,0.625-0.625*COS(RADIANS(30))+L20+(0.5*A20*TAN(RADIANS(30))-0.625*TAN(RADIANS(30)))*COS(RADIANS(60))+0.5*A20*COS(RADIANS(30))-(Summary!$Z$84-A20/2),Dleg-Summary!Z$84+L20)</f>
        <v>#N/A</v>
      </c>
    </row>
    <row r="21" spans="1:13" x14ac:dyDescent="0.25">
      <c r="A21" s="129"/>
      <c r="B21" s="127"/>
      <c r="C21" s="127"/>
      <c r="D21" s="127"/>
      <c r="E21" s="127"/>
      <c r="F21" s="127"/>
      <c r="G21" s="127"/>
      <c r="H21" s="127"/>
      <c r="I21" s="128"/>
      <c r="J21" s="127"/>
      <c r="K21" s="127"/>
      <c r="L21" s="130"/>
      <c r="M21" s="121" t="e">
        <f>IF(K21=3,0.625-0.625*COS(RADIANS(30))+L21+(0.5*A21*TAN(RADIANS(30))-0.625*TAN(RADIANS(30)))*COS(RADIANS(60))+0.5*A21*COS(RADIANS(30))-(Summary!$Z$84-A21/2),Dleg-Summary!Z$84+L21)</f>
        <v>#N/A</v>
      </c>
    </row>
    <row r="22" spans="1:13" x14ac:dyDescent="0.25">
      <c r="A22" s="129"/>
      <c r="B22" s="127"/>
      <c r="C22" s="127"/>
      <c r="D22" s="127"/>
      <c r="E22" s="127"/>
      <c r="F22" s="127"/>
      <c r="G22" s="127"/>
      <c r="H22" s="127"/>
      <c r="I22" s="127"/>
      <c r="J22" s="127"/>
      <c r="K22" s="127"/>
      <c r="L22" s="130"/>
      <c r="M22" s="121" t="e">
        <f>IF(K22=3,0.625-0.625*COS(RADIANS(30))+L22+(0.5*A22*TAN(RADIANS(30))-0.625*TAN(RADIANS(30)))*COS(RADIANS(60))+0.5*A22*COS(RADIANS(30))-(Summary!$Z$84-A22/2),Dleg-Summary!Z$84+L22)</f>
        <v>#N/A</v>
      </c>
    </row>
    <row r="23" spans="1:13" x14ac:dyDescent="0.25">
      <c r="A23" s="129"/>
      <c r="B23" s="127"/>
      <c r="C23" s="127"/>
      <c r="D23" s="127"/>
      <c r="E23" s="127"/>
      <c r="F23" s="127"/>
      <c r="G23" s="127"/>
      <c r="H23" s="127"/>
      <c r="I23" s="127"/>
      <c r="J23" s="127"/>
      <c r="K23" s="127"/>
      <c r="L23" s="130"/>
      <c r="M23" s="121" t="e">
        <f>IF(K23=3,0.625-0.625*COS(RADIANS(30))+L23+(0.5*A23*TAN(RADIANS(30))-0.625*TAN(RADIANS(30)))*COS(RADIANS(60))+0.5*A23*COS(RADIANS(30))-(Summary!$Z$84-A23/2),Dleg-Summary!Z$84+L23)</f>
        <v>#N/A</v>
      </c>
    </row>
    <row r="24" spans="1:13" x14ac:dyDescent="0.25">
      <c r="A24" s="129"/>
      <c r="B24" s="127"/>
      <c r="C24" s="127"/>
      <c r="D24" s="127"/>
      <c r="E24" s="127"/>
      <c r="F24" s="127"/>
      <c r="G24" s="127"/>
      <c r="H24" s="127"/>
      <c r="I24" s="127"/>
      <c r="J24" s="127"/>
      <c r="K24" s="127"/>
      <c r="L24" s="130"/>
      <c r="M24" s="121" t="e">
        <f>IF(K24=3,0.625-0.625*COS(RADIANS(30))+L24+(0.5*A24*TAN(RADIANS(30))-0.625*TAN(RADIANS(30)))*COS(RADIANS(60))+0.5*A24*COS(RADIANS(30))-(Summary!$Z$84-A24/2),Dleg-Summary!Z$84+L24)</f>
        <v>#N/A</v>
      </c>
    </row>
    <row r="25" spans="1:13" x14ac:dyDescent="0.25">
      <c r="A25" s="129"/>
      <c r="B25" s="127"/>
      <c r="C25" s="127"/>
      <c r="D25" s="127"/>
      <c r="E25" s="127"/>
      <c r="F25" s="127"/>
      <c r="G25" s="127"/>
      <c r="H25" s="127"/>
      <c r="I25" s="127"/>
      <c r="J25" s="127"/>
      <c r="K25" s="127"/>
      <c r="L25" s="130"/>
      <c r="M25" s="121" t="e">
        <f>IF(K25=3,0.625-0.625*COS(RADIANS(30))+L25+(0.5*A25*TAN(RADIANS(30))-0.625*TAN(RADIANS(30)))*COS(RADIANS(60))+0.5*A25*COS(RADIANS(30))-(Summary!$Z$84-A25/2),Dleg-Summary!Z$84+L25)</f>
        <v>#N/A</v>
      </c>
    </row>
    <row r="26" spans="1:13" x14ac:dyDescent="0.25">
      <c r="A26" s="129"/>
      <c r="B26" s="127"/>
      <c r="C26" s="127"/>
      <c r="D26" s="127"/>
      <c r="E26" s="127"/>
      <c r="F26" s="127"/>
      <c r="G26" s="127"/>
      <c r="H26" s="127"/>
      <c r="I26" s="127"/>
      <c r="J26" s="127"/>
      <c r="K26" s="127"/>
      <c r="L26" s="130"/>
      <c r="M26" s="121" t="e">
        <f>IF(K26=3,0.625-0.625*COS(RADIANS(30))+L26+(0.5*A26*TAN(RADIANS(30))-0.625*TAN(RADIANS(30)))*COS(RADIANS(60))+0.5*A26*COS(RADIANS(30))-(Summary!$Z$84-A26/2),Dleg-Summary!Z$84+L26)</f>
        <v>#N/A</v>
      </c>
    </row>
    <row r="27" spans="1:13" x14ac:dyDescent="0.25">
      <c r="A27" s="129"/>
      <c r="B27" s="127"/>
      <c r="C27" s="127"/>
      <c r="D27" s="127"/>
      <c r="E27" s="127"/>
      <c r="F27" s="127"/>
      <c r="G27" s="127"/>
      <c r="H27" s="127"/>
      <c r="I27" s="127"/>
      <c r="J27" s="127"/>
      <c r="K27" s="127"/>
      <c r="L27" s="130"/>
      <c r="M27" s="121" t="e">
        <f>IF(K27=3,0.625-0.625*COS(RADIANS(30))+L27+(0.5*A27*TAN(RADIANS(30))-0.625*TAN(RADIANS(30)))*COS(RADIANS(60))+0.5*A27*COS(RADIANS(30))-(Summary!$Z$84-A27/2),Dleg-Summary!Z$84+L27)</f>
        <v>#N/A</v>
      </c>
    </row>
    <row r="28" spans="1:13" x14ac:dyDescent="0.25">
      <c r="A28" s="129"/>
      <c r="B28" s="127"/>
      <c r="C28" s="127"/>
      <c r="D28" s="127"/>
      <c r="E28" s="127"/>
      <c r="F28" s="127"/>
      <c r="G28" s="127"/>
      <c r="H28" s="127"/>
      <c r="I28" s="127"/>
      <c r="J28" s="127"/>
      <c r="K28" s="127"/>
      <c r="L28" s="130"/>
      <c r="M28" s="121" t="e">
        <f>IF(K28=3,0.625-0.625*COS(RADIANS(30))+L28+(0.5*A28*TAN(RADIANS(30))-0.625*TAN(RADIANS(30)))*COS(RADIANS(60))+0.5*A28*COS(RADIANS(30))-(Summary!$Z$84-A28/2),Dleg-Summary!Z$84+L28)</f>
        <v>#N/A</v>
      </c>
    </row>
    <row r="29" spans="1:13" x14ac:dyDescent="0.25">
      <c r="A29" s="129"/>
      <c r="B29" s="127"/>
      <c r="C29" s="127"/>
      <c r="D29" s="127"/>
      <c r="E29" s="127"/>
      <c r="F29" s="127"/>
      <c r="G29" s="127"/>
      <c r="H29" s="127"/>
      <c r="I29" s="127"/>
      <c r="J29" s="127"/>
      <c r="K29" s="127"/>
      <c r="L29" s="130"/>
      <c r="M29" s="121" t="e">
        <f>IF(K29=3,0.625-0.625*COS(RADIANS(30))+L29+(0.5*A29*TAN(RADIANS(30))-0.625*TAN(RADIANS(30)))*COS(RADIANS(60))+0.5*A29*COS(RADIANS(30))-(Summary!$Z$84-A29/2),Dleg-Summary!Z$84+L29)</f>
        <v>#N/A</v>
      </c>
    </row>
    <row r="30" spans="1:13" x14ac:dyDescent="0.25">
      <c r="A30" s="129"/>
      <c r="B30" s="127"/>
      <c r="C30" s="127"/>
      <c r="D30" s="127"/>
      <c r="E30" s="127"/>
      <c r="F30" s="127"/>
      <c r="G30" s="127"/>
      <c r="H30" s="127"/>
      <c r="I30" s="127"/>
      <c r="J30" s="127"/>
      <c r="K30" s="127"/>
      <c r="L30" s="130"/>
      <c r="M30" s="121" t="e">
        <f>IF(K30=3,0.625-0.625*COS(RADIANS(30))+L30+(0.5*A30*TAN(RADIANS(30))-0.625*TAN(RADIANS(30)))*COS(RADIANS(60))+0.5*A30*COS(RADIANS(30))-(Summary!$Z$84-A30/2),Dleg-Summary!Z$84+L30)</f>
        <v>#N/A</v>
      </c>
    </row>
    <row r="31" spans="1:13" x14ac:dyDescent="0.25">
      <c r="A31" s="129"/>
      <c r="B31" s="127"/>
      <c r="C31" s="127"/>
      <c r="D31" s="127"/>
      <c r="E31" s="127"/>
      <c r="F31" s="127"/>
      <c r="G31" s="127"/>
      <c r="H31" s="127"/>
      <c r="I31" s="127"/>
      <c r="J31" s="127"/>
      <c r="K31" s="127"/>
      <c r="L31" s="130"/>
      <c r="M31" s="121" t="e">
        <f>IF(K31=3,0.625-0.625*COS(RADIANS(30))+L31+(0.5*A31*TAN(RADIANS(30))-0.625*TAN(RADIANS(30)))*COS(RADIANS(60))+0.5*A31*COS(RADIANS(30))-(Summary!$Z$84-A31/2),Dleg-Summary!Z$84+L31)</f>
        <v>#N/A</v>
      </c>
    </row>
    <row r="32" spans="1:13" x14ac:dyDescent="0.25">
      <c r="A32" s="129"/>
      <c r="B32" s="127"/>
      <c r="C32" s="127"/>
      <c r="D32" s="127"/>
      <c r="E32" s="127"/>
      <c r="F32" s="127"/>
      <c r="G32" s="127"/>
      <c r="H32" s="127"/>
      <c r="I32" s="127"/>
      <c r="J32" s="127"/>
      <c r="K32" s="127"/>
      <c r="L32" s="130"/>
      <c r="M32" s="121" t="e">
        <f>IF(K32=3,0.625-0.625*COS(RADIANS(30))+L32+(0.5*A32*TAN(RADIANS(30))-0.625*TAN(RADIANS(30)))*COS(RADIANS(60))+0.5*A32*COS(RADIANS(30))-(Summary!$Z$84-A32/2),Dleg-Summary!Z$84+L32)</f>
        <v>#N/A</v>
      </c>
    </row>
    <row r="33" spans="1:13" x14ac:dyDescent="0.25">
      <c r="A33" s="129"/>
      <c r="B33" s="127"/>
      <c r="C33" s="127"/>
      <c r="D33" s="127"/>
      <c r="E33" s="127"/>
      <c r="F33" s="127"/>
      <c r="G33" s="127"/>
      <c r="H33" s="127"/>
      <c r="I33" s="127"/>
      <c r="J33" s="127"/>
      <c r="K33" s="127"/>
      <c r="L33" s="130"/>
      <c r="M33" s="121" t="e">
        <f>IF(K33=3,0.625-0.625*COS(RADIANS(30))+L33+(0.5*A33*TAN(RADIANS(30))-0.625*TAN(RADIANS(30)))*COS(RADIANS(60))+0.5*A33*COS(RADIANS(30))-(Summary!$Z$84-A33/2),Dleg-Summary!Z$84+L33)</f>
        <v>#N/A</v>
      </c>
    </row>
    <row r="34" spans="1:13" x14ac:dyDescent="0.25">
      <c r="A34" s="129"/>
      <c r="B34" s="127"/>
      <c r="C34" s="127"/>
      <c r="D34" s="127"/>
      <c r="E34" s="127"/>
      <c r="F34" s="127"/>
      <c r="G34" s="127"/>
      <c r="H34" s="127"/>
      <c r="I34" s="127"/>
      <c r="J34" s="127"/>
      <c r="K34" s="127"/>
      <c r="L34" s="130"/>
      <c r="M34" s="121" t="e">
        <f>IF(K34=3,0.625-0.625*COS(RADIANS(30))+L34+(0.5*A34*TAN(RADIANS(30))-0.625*TAN(RADIANS(30)))*COS(RADIANS(60))+0.5*A34*COS(RADIANS(30))-(Summary!$Z$84-A34/2),Dleg-Summary!Z$84+L34)</f>
        <v>#N/A</v>
      </c>
    </row>
    <row r="35" spans="1:13" ht="15.75" thickBot="1" x14ac:dyDescent="0.3">
      <c r="A35" s="131"/>
      <c r="B35" s="132"/>
      <c r="C35" s="132"/>
      <c r="D35" s="132"/>
      <c r="E35" s="132"/>
      <c r="F35" s="132"/>
      <c r="G35" s="132"/>
      <c r="H35" s="132"/>
      <c r="I35" s="132"/>
      <c r="J35" s="132"/>
      <c r="K35" s="132"/>
      <c r="L35" s="133"/>
      <c r="M35" s="122" t="e">
        <f>IF(K35=3,0.625-0.625*COS(RADIANS(30))+L35+(0.5*A35*TAN(RADIANS(30))-0.625*TAN(RADIANS(30)))*COS(RADIANS(60))+0.5*A35*COS(RADIANS(30))-(Summary!$Z$84-A35/2),Dleg-Summary!Z$84+L35)</f>
        <v>#N/A</v>
      </c>
    </row>
  </sheetData>
  <customSheetViews>
    <customSheetView guid="{47553E05-005A-459E-BBCC-799C7F4EBE26}">
      <selection activeCell="B34" sqref="B34"/>
      <pageMargins left="0.7" right="0.7" top="0.75" bottom="0.75" header="0.3" footer="0.3"/>
      <pageSetup orientation="portrait" horizontalDpi="90" verticalDpi="90" r:id="rId1"/>
    </customSheetView>
    <customSheetView guid="{9A54679E-64D7-44E9-AABE-4253818C5C4B}">
      <selection activeCell="B34" sqref="B34"/>
      <pageMargins left="0.7" right="0.7" top="0.75" bottom="0.75" header="0.3" footer="0.3"/>
      <pageSetup orientation="portrait" horizontalDpi="90" verticalDpi="90" r:id="rId2"/>
    </customSheetView>
  </customSheetViews>
  <pageMargins left="0.7" right="0.7" top="0.75" bottom="0.75" header="0.3" footer="0.3"/>
  <pageSetup orientation="portrait" horizontalDpi="90" verticalDpi="90" r:id="rId3"/>
  <drawing r:id="rId4"/>
  <legacyDrawing r:id="rId5"/>
  <extLst>
    <ext xmlns:x14="http://schemas.microsoft.com/office/spreadsheetml/2009/9/main" uri="{78C0D931-6437-407d-A8EE-F0AAD7539E65}">
      <x14:conditionalFormattings>
        <x14:conditionalFormatting xmlns:xm="http://schemas.microsoft.com/office/excel/2006/main">
          <x14:cfRule type="expression" priority="66" id="{E9FC173A-19DE-4E03-AFE7-7DB30690303D}">
            <xm:f>IF($F3&lt;&gt;Summary!$Z$78,1,0)</xm:f>
            <x14:dxf>
              <font>
                <color theme="0"/>
              </font>
            </x14:dxf>
          </x14:cfRule>
          <xm:sqref>M3:M35</xm:sqref>
        </x14:conditionalFormatting>
        <x14:conditionalFormatting xmlns:xm="http://schemas.microsoft.com/office/excel/2006/main">
          <x14:cfRule type="expression" priority="67" id="{76E8F367-45F3-402C-ACE0-3CF11ADF8504}">
            <xm:f>IF($F19=Summary!$Z$78,1,0)</xm:f>
            <x14:dxf>
              <font>
                <b/>
                <i val="0"/>
              </font>
              <fill>
                <patternFill>
                  <bgColor rgb="FFFFFF00"/>
                </patternFill>
              </fill>
            </x14:dxf>
          </x14:cfRule>
          <xm:sqref>M19:M35</xm:sqref>
        </x14:conditionalFormatting>
        <x14:conditionalFormatting xmlns:xm="http://schemas.microsoft.com/office/excel/2006/main">
          <x14:cfRule type="expression" priority="68" id="{1F46338E-BC9F-4B4A-92B2-36E098F4DF0C}">
            <xm:f>IF(AND($C3=Summary!$A$33,$A3=Dleg),1,0)</xm:f>
            <x14:dxf>
              <font>
                <b/>
                <i val="0"/>
              </font>
              <fill>
                <patternFill>
                  <bgColor rgb="FFFFFF00"/>
                </patternFill>
              </fill>
            </x14:dxf>
          </x14:cfRule>
          <xm:sqref>A3:M35</xm:sqref>
        </x14:conditionalFormatting>
      </x14:conditionalFormattings>
    </ext>
  </extLst>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4"/>
  <dimension ref="A1:E43"/>
  <sheetViews>
    <sheetView topLeftCell="A42" zoomScale="115" zoomScaleNormal="115" workbookViewId="0">
      <selection activeCell="F43" sqref="F43"/>
    </sheetView>
  </sheetViews>
  <sheetFormatPr defaultRowHeight="15" x14ac:dyDescent="0.25"/>
  <cols>
    <col min="1" max="1" width="15.5703125" style="19" bestFit="1" customWidth="1"/>
    <col min="2" max="2" width="73.140625" style="19" customWidth="1"/>
    <col min="3" max="3" width="12.140625" style="19" customWidth="1"/>
    <col min="4" max="4" width="11" style="19" bestFit="1" customWidth="1"/>
    <col min="5" max="5" width="12.5703125" style="19" bestFit="1" customWidth="1"/>
  </cols>
  <sheetData>
    <row r="1" spans="1:5" x14ac:dyDescent="0.25">
      <c r="A1" s="50" t="s">
        <v>6</v>
      </c>
      <c r="B1" s="50"/>
    </row>
    <row r="3" spans="1:5" x14ac:dyDescent="0.25">
      <c r="A3" s="137" t="s">
        <v>7</v>
      </c>
      <c r="B3" s="138" t="s">
        <v>8</v>
      </c>
      <c r="C3" s="138" t="s">
        <v>9</v>
      </c>
      <c r="D3" s="138" t="s">
        <v>10</v>
      </c>
      <c r="E3" s="138" t="s">
        <v>308</v>
      </c>
    </row>
    <row r="4" spans="1:5" x14ac:dyDescent="0.25">
      <c r="A4" s="51">
        <v>1</v>
      </c>
      <c r="B4" s="52" t="s">
        <v>12</v>
      </c>
      <c r="C4" s="53">
        <v>40919</v>
      </c>
      <c r="D4" s="54" t="s">
        <v>13</v>
      </c>
      <c r="E4" s="55" t="s">
        <v>14</v>
      </c>
    </row>
    <row r="5" spans="1:5" x14ac:dyDescent="0.25">
      <c r="A5" s="51">
        <v>2</v>
      </c>
      <c r="B5" s="52" t="s">
        <v>15</v>
      </c>
      <c r="C5" s="53">
        <v>41038</v>
      </c>
      <c r="D5" s="54" t="s">
        <v>13</v>
      </c>
      <c r="E5" s="55"/>
    </row>
    <row r="6" spans="1:5" ht="30" x14ac:dyDescent="0.25">
      <c r="A6" s="51">
        <v>3</v>
      </c>
      <c r="B6" s="56" t="s">
        <v>16</v>
      </c>
      <c r="C6" s="53">
        <v>41103</v>
      </c>
      <c r="D6" s="55" t="s">
        <v>13</v>
      </c>
      <c r="E6" s="55"/>
    </row>
    <row r="7" spans="1:5" x14ac:dyDescent="0.25">
      <c r="A7" s="51">
        <v>4</v>
      </c>
      <c r="B7" s="56" t="s">
        <v>18</v>
      </c>
      <c r="C7" s="57">
        <v>41122</v>
      </c>
      <c r="D7" s="55" t="s">
        <v>13</v>
      </c>
      <c r="E7" s="55"/>
    </row>
    <row r="8" spans="1:5" x14ac:dyDescent="0.25">
      <c r="A8" s="51">
        <v>5</v>
      </c>
      <c r="B8" s="56" t="s">
        <v>19</v>
      </c>
      <c r="C8" s="57">
        <v>41192</v>
      </c>
      <c r="D8" s="55" t="s">
        <v>13</v>
      </c>
      <c r="E8" s="55"/>
    </row>
    <row r="9" spans="1:5" ht="30" x14ac:dyDescent="0.25">
      <c r="A9" s="51">
        <v>6</v>
      </c>
      <c r="B9" s="56" t="s">
        <v>20</v>
      </c>
      <c r="C9" s="53">
        <v>41281</v>
      </c>
      <c r="D9" s="55" t="s">
        <v>13</v>
      </c>
      <c r="E9" s="55"/>
    </row>
    <row r="10" spans="1:5" x14ac:dyDescent="0.25">
      <c r="A10" s="51">
        <v>6.1</v>
      </c>
      <c r="B10" s="56" t="s">
        <v>21</v>
      </c>
      <c r="C10" s="53">
        <v>41292</v>
      </c>
      <c r="D10" s="55" t="s">
        <v>13</v>
      </c>
      <c r="E10" s="55"/>
    </row>
    <row r="11" spans="1:5" x14ac:dyDescent="0.25">
      <c r="A11" s="51">
        <v>6.2</v>
      </c>
      <c r="B11" s="56" t="s">
        <v>29</v>
      </c>
      <c r="C11" s="53">
        <v>41311</v>
      </c>
      <c r="D11" s="55" t="s">
        <v>13</v>
      </c>
      <c r="E11" s="55"/>
    </row>
    <row r="12" spans="1:5" x14ac:dyDescent="0.25">
      <c r="A12" s="58">
        <v>6.3</v>
      </c>
      <c r="B12" s="59" t="s">
        <v>30</v>
      </c>
      <c r="C12" s="53">
        <v>41346</v>
      </c>
      <c r="D12" s="11" t="s">
        <v>13</v>
      </c>
      <c r="E12" s="18"/>
    </row>
    <row r="13" spans="1:5" x14ac:dyDescent="0.25">
      <c r="A13" s="58">
        <v>6.4</v>
      </c>
      <c r="B13" s="59" t="s">
        <v>31</v>
      </c>
      <c r="C13" s="60">
        <v>41359</v>
      </c>
      <c r="D13" s="11" t="s">
        <v>13</v>
      </c>
      <c r="E13" s="18"/>
    </row>
    <row r="14" spans="1:5" x14ac:dyDescent="0.25">
      <c r="A14" s="58">
        <v>6.5</v>
      </c>
      <c r="B14" s="59" t="s">
        <v>32</v>
      </c>
      <c r="C14" s="60">
        <v>41375</v>
      </c>
      <c r="D14" s="11" t="s">
        <v>13</v>
      </c>
      <c r="E14" s="18"/>
    </row>
    <row r="15" spans="1:5" ht="30" x14ac:dyDescent="0.25">
      <c r="A15" s="58">
        <v>6.6</v>
      </c>
      <c r="B15" s="59" t="s">
        <v>300</v>
      </c>
      <c r="C15" s="60">
        <v>41401</v>
      </c>
      <c r="D15" s="11" t="s">
        <v>13</v>
      </c>
      <c r="E15" s="18"/>
    </row>
    <row r="16" spans="1:5" ht="30" x14ac:dyDescent="0.25">
      <c r="A16" s="58">
        <v>6.7</v>
      </c>
      <c r="B16" s="59" t="s">
        <v>87</v>
      </c>
      <c r="C16" s="60">
        <v>41432</v>
      </c>
      <c r="D16" s="11" t="s">
        <v>88</v>
      </c>
      <c r="E16" s="18"/>
    </row>
    <row r="17" spans="1:5" x14ac:dyDescent="0.25">
      <c r="A17" s="61"/>
      <c r="B17" s="61"/>
      <c r="C17" s="61"/>
      <c r="D17" s="61"/>
      <c r="E17" s="61"/>
    </row>
    <row r="18" spans="1:5" x14ac:dyDescent="0.25">
      <c r="A18" s="655" t="s">
        <v>152</v>
      </c>
      <c r="B18" s="655"/>
      <c r="C18" s="655"/>
      <c r="D18" s="655"/>
      <c r="E18" s="655"/>
    </row>
    <row r="19" spans="1:5" x14ac:dyDescent="0.25">
      <c r="A19" s="137" t="s">
        <v>7</v>
      </c>
      <c r="B19" s="138" t="s">
        <v>8</v>
      </c>
      <c r="C19" s="138" t="s">
        <v>9</v>
      </c>
      <c r="D19" s="138" t="s">
        <v>10</v>
      </c>
      <c r="E19" s="138" t="s">
        <v>11</v>
      </c>
    </row>
    <row r="20" spans="1:5" ht="39.75" customHeight="1" x14ac:dyDescent="0.25">
      <c r="A20" s="62">
        <v>7</v>
      </c>
      <c r="B20" s="203" t="s">
        <v>153</v>
      </c>
      <c r="D20" s="19" t="s">
        <v>88</v>
      </c>
    </row>
    <row r="21" spans="1:5" ht="31.5" customHeight="1" x14ac:dyDescent="0.25">
      <c r="A21" s="19">
        <v>7.1</v>
      </c>
      <c r="B21" s="203" t="s">
        <v>154</v>
      </c>
      <c r="C21" s="64">
        <v>41981</v>
      </c>
      <c r="D21" s="19" t="s">
        <v>88</v>
      </c>
    </row>
    <row r="22" spans="1:5" ht="19.5" customHeight="1" x14ac:dyDescent="0.25">
      <c r="A22" s="19">
        <v>7.2</v>
      </c>
      <c r="B22" s="203" t="s">
        <v>156</v>
      </c>
      <c r="C22" s="64">
        <v>42018</v>
      </c>
      <c r="D22" s="19" t="s">
        <v>88</v>
      </c>
    </row>
    <row r="23" spans="1:5" ht="18" customHeight="1" x14ac:dyDescent="0.25">
      <c r="A23" s="19">
        <v>7.3</v>
      </c>
      <c r="B23" s="203" t="s">
        <v>157</v>
      </c>
      <c r="C23" s="64">
        <v>42038</v>
      </c>
      <c r="D23" s="19" t="s">
        <v>88</v>
      </c>
    </row>
    <row r="24" spans="1:5" ht="44.25" customHeight="1" x14ac:dyDescent="0.25">
      <c r="A24" s="19">
        <v>7.4</v>
      </c>
      <c r="B24" s="203" t="s">
        <v>158</v>
      </c>
      <c r="C24" s="64">
        <v>42059</v>
      </c>
      <c r="D24" s="19" t="s">
        <v>88</v>
      </c>
    </row>
    <row r="25" spans="1:5" s="65" customFormat="1" ht="51.75" customHeight="1" x14ac:dyDescent="0.25">
      <c r="A25" s="63">
        <v>7.5</v>
      </c>
      <c r="B25" s="203" t="s">
        <v>159</v>
      </c>
      <c r="C25" s="66">
        <v>42095</v>
      </c>
      <c r="D25" s="63" t="s">
        <v>88</v>
      </c>
      <c r="E25" s="63"/>
    </row>
    <row r="26" spans="1:5" ht="45.75" customHeight="1" x14ac:dyDescent="0.25">
      <c r="A26" s="19">
        <v>7.6</v>
      </c>
      <c r="B26" s="203" t="s">
        <v>160</v>
      </c>
      <c r="C26" s="64">
        <v>42230</v>
      </c>
      <c r="D26" s="19" t="s">
        <v>88</v>
      </c>
    </row>
    <row r="27" spans="1:5" ht="18" customHeight="1" x14ac:dyDescent="0.25">
      <c r="A27" s="19">
        <v>7.7</v>
      </c>
      <c r="B27" s="203" t="s">
        <v>161</v>
      </c>
      <c r="C27" s="64">
        <v>43119</v>
      </c>
      <c r="D27" s="19" t="s">
        <v>88</v>
      </c>
    </row>
    <row r="28" spans="1:5" ht="39" customHeight="1" x14ac:dyDescent="0.25">
      <c r="A28" s="19" t="s">
        <v>228</v>
      </c>
      <c r="B28" s="203" t="s">
        <v>232</v>
      </c>
      <c r="C28" s="64">
        <v>43252</v>
      </c>
      <c r="D28" s="19" t="s">
        <v>229</v>
      </c>
      <c r="E28" s="19" t="s">
        <v>230</v>
      </c>
    </row>
    <row r="29" spans="1:5" ht="54.75" customHeight="1" x14ac:dyDescent="0.25">
      <c r="A29" s="19" t="s">
        <v>234</v>
      </c>
      <c r="B29" s="203" t="s">
        <v>237</v>
      </c>
      <c r="C29" s="64">
        <v>43320</v>
      </c>
      <c r="D29" s="19" t="s">
        <v>235</v>
      </c>
      <c r="E29" s="19" t="s">
        <v>236</v>
      </c>
    </row>
    <row r="30" spans="1:5" ht="57" customHeight="1" x14ac:dyDescent="0.25">
      <c r="A30" s="19" t="s">
        <v>304</v>
      </c>
      <c r="B30" s="203" t="s">
        <v>307</v>
      </c>
      <c r="C30" s="64">
        <v>43406</v>
      </c>
      <c r="D30" s="19" t="s">
        <v>305</v>
      </c>
      <c r="E30" s="19" t="s">
        <v>236</v>
      </c>
    </row>
    <row r="31" spans="1:5" ht="127.5" customHeight="1" x14ac:dyDescent="0.25">
      <c r="A31" s="19" t="s">
        <v>310</v>
      </c>
      <c r="B31" s="203" t="s">
        <v>311</v>
      </c>
      <c r="C31" s="64">
        <v>43517</v>
      </c>
      <c r="D31" s="19" t="s">
        <v>236</v>
      </c>
    </row>
    <row r="32" spans="1:5" ht="30" x14ac:dyDescent="0.25">
      <c r="A32" s="19" t="s">
        <v>312</v>
      </c>
      <c r="B32" s="203" t="s">
        <v>313</v>
      </c>
      <c r="C32" s="64">
        <v>43524</v>
      </c>
      <c r="D32" s="19" t="s">
        <v>236</v>
      </c>
    </row>
    <row r="33" spans="1:4" x14ac:dyDescent="0.25">
      <c r="A33" s="19" t="s">
        <v>314</v>
      </c>
      <c r="B33" s="204" t="s">
        <v>315</v>
      </c>
      <c r="C33" s="64">
        <v>43636</v>
      </c>
      <c r="D33" s="19" t="s">
        <v>88</v>
      </c>
    </row>
    <row r="34" spans="1:4" x14ac:dyDescent="0.25">
      <c r="A34" s="19" t="s">
        <v>824</v>
      </c>
      <c r="B34" s="204" t="s">
        <v>825</v>
      </c>
      <c r="C34" s="64">
        <v>43818</v>
      </c>
      <c r="D34" s="19" t="s">
        <v>907</v>
      </c>
    </row>
    <row r="35" spans="1:4" ht="45" x14ac:dyDescent="0.25">
      <c r="A35" s="19" t="s">
        <v>908</v>
      </c>
      <c r="B35" s="203" t="s">
        <v>909</v>
      </c>
      <c r="C35" s="64">
        <v>43902</v>
      </c>
      <c r="D35" s="19" t="s">
        <v>236</v>
      </c>
    </row>
    <row r="36" spans="1:4" ht="60" x14ac:dyDescent="0.25">
      <c r="A36" s="19" t="s">
        <v>910</v>
      </c>
      <c r="B36" s="330" t="s">
        <v>911</v>
      </c>
      <c r="C36" s="64">
        <v>43909</v>
      </c>
      <c r="D36" s="19" t="s">
        <v>912</v>
      </c>
    </row>
    <row r="37" spans="1:4" ht="60" x14ac:dyDescent="0.25">
      <c r="A37" s="19" t="s">
        <v>920</v>
      </c>
      <c r="B37" s="377" t="s">
        <v>921</v>
      </c>
      <c r="C37" s="64">
        <v>43928</v>
      </c>
      <c r="D37" s="19" t="s">
        <v>236</v>
      </c>
    </row>
    <row r="38" spans="1:4" ht="409.5" x14ac:dyDescent="0.25">
      <c r="A38" s="19" t="s">
        <v>1055</v>
      </c>
      <c r="B38" s="377" t="s">
        <v>1058</v>
      </c>
      <c r="C38" s="64">
        <v>44026</v>
      </c>
      <c r="D38" s="19" t="s">
        <v>236</v>
      </c>
    </row>
    <row r="39" spans="1:4" ht="150" x14ac:dyDescent="0.25">
      <c r="A39" s="19" t="s">
        <v>1393</v>
      </c>
      <c r="B39" s="429" t="s">
        <v>1412</v>
      </c>
      <c r="C39" s="64">
        <v>44068</v>
      </c>
      <c r="D39" s="19" t="s">
        <v>236</v>
      </c>
    </row>
    <row r="40" spans="1:4" ht="240" x14ac:dyDescent="0.25">
      <c r="A40" s="19" t="s">
        <v>1422</v>
      </c>
      <c r="B40" s="469" t="s">
        <v>1470</v>
      </c>
      <c r="C40" s="64">
        <v>44099</v>
      </c>
      <c r="D40" s="19" t="s">
        <v>236</v>
      </c>
    </row>
    <row r="41" spans="1:4" ht="105" x14ac:dyDescent="0.25">
      <c r="A41" s="19" t="s">
        <v>1473</v>
      </c>
      <c r="B41" s="475" t="s">
        <v>1478</v>
      </c>
      <c r="C41" s="64">
        <v>44148</v>
      </c>
      <c r="D41" s="19" t="s">
        <v>236</v>
      </c>
    </row>
    <row r="42" spans="1:4" ht="150" x14ac:dyDescent="0.25">
      <c r="A42" s="19" t="s">
        <v>1479</v>
      </c>
      <c r="B42" s="478" t="s">
        <v>1481</v>
      </c>
      <c r="C42" s="64">
        <v>44229</v>
      </c>
      <c r="D42" s="19" t="s">
        <v>236</v>
      </c>
    </row>
    <row r="43" spans="1:4" ht="210" x14ac:dyDescent="0.25">
      <c r="A43" s="19" t="s">
        <v>1483</v>
      </c>
      <c r="B43" s="479" t="s">
        <v>1505</v>
      </c>
      <c r="C43" s="64">
        <v>44319</v>
      </c>
      <c r="D43" s="19" t="s">
        <v>236</v>
      </c>
    </row>
  </sheetData>
  <customSheetViews>
    <customSheetView guid="{47553E05-005A-459E-BBCC-799C7F4EBE26}" scale="85">
      <selection activeCell="F29" sqref="F29"/>
      <pageMargins left="0.7" right="0.7" top="0.75" bottom="0.75" header="0.3" footer="0.3"/>
      <pageSetup orientation="portrait" r:id="rId1"/>
    </customSheetView>
    <customSheetView guid="{9A54679E-64D7-44E9-AABE-4253818C5C4B}" scale="85">
      <selection activeCell="F29" sqref="F29"/>
      <pageMargins left="0.7" right="0.7" top="0.75" bottom="0.75" header="0.3" footer="0.3"/>
      <pageSetup orientation="portrait" r:id="rId2"/>
    </customSheetView>
  </customSheetViews>
  <mergeCells count="1">
    <mergeCell ref="A18:E18"/>
  </mergeCells>
  <pageMargins left="0.7" right="0.7" top="0.75" bottom="0.75" header="0.3" footer="0.3"/>
  <pageSetup orientation="portrait" r:id="rId3"/>
  <drawing r:id="rId4"/>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F380F7FA71A2D146BFD10E51870C24B2" ma:contentTypeVersion="11" ma:contentTypeDescription="Create a new document." ma:contentTypeScope="" ma:versionID="d629cf66cb7437d97c05d471986f298d">
  <xsd:schema xmlns:xsd="http://www.w3.org/2001/XMLSchema" xmlns:xs="http://www.w3.org/2001/XMLSchema" xmlns:p="http://schemas.microsoft.com/office/2006/metadata/properties" xmlns:ns2="cbfdd7c9-7280-41c4-b5fd-bd4e36265668" xmlns:ns3="34ea2ff3-6ec2-43d9-a471-c19986830980" targetNamespace="http://schemas.microsoft.com/office/2006/metadata/properties" ma:root="true" ma:fieldsID="daf824d6f7acac3782f0b9fe8845967a" ns2:_="" ns3:_="">
    <xsd:import namespace="cbfdd7c9-7280-41c4-b5fd-bd4e36265668"/>
    <xsd:import namespace="34ea2ff3-6ec2-43d9-a471-c19986830980"/>
    <xsd:element name="properties">
      <xsd:complexType>
        <xsd:sequence>
          <xsd:element name="documentManagement">
            <xsd:complexType>
              <xsd:all>
                <xsd:element ref="ns2:MediaServiceMetadata" minOccurs="0"/>
                <xsd:element ref="ns2:MediaServiceFastMetadata" minOccurs="0"/>
                <xsd:element ref="ns2:MediaServiceAutoKeyPoints" minOccurs="0"/>
                <xsd:element ref="ns2:MediaServiceKeyPoints" minOccurs="0"/>
                <xsd:element ref="ns2:MediaServiceDateTaken" minOccurs="0"/>
                <xsd:element ref="ns2:MediaServiceAutoTags" minOccurs="0"/>
                <xsd:element ref="ns2:MediaServiceGenerationTime" minOccurs="0"/>
                <xsd:element ref="ns2:MediaServiceEventHashCode" minOccurs="0"/>
                <xsd:element ref="ns2:MediaServiceOCR" minOccurs="0"/>
                <xsd:element ref="ns3:SharedWithUsers" minOccurs="0"/>
                <xsd:element ref="ns3:SharedWithDetail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cbfdd7c9-7280-41c4-b5fd-bd4e36265668"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KeyPoints" ma:index="10" nillable="true" ma:displayName="MediaServiceAutoKeyPoints" ma:hidden="true" ma:internalName="MediaServiceAutoKeyPoints" ma:readOnly="true">
      <xsd:simpleType>
        <xsd:restriction base="dms:Note"/>
      </xsd:simpleType>
    </xsd:element>
    <xsd:element name="MediaServiceKeyPoints" ma:index="11" nillable="true" ma:displayName="KeyPoints" ma:internalName="MediaServiceKeyPoints" ma:readOnly="true">
      <xsd:simpleType>
        <xsd:restriction base="dms:Note">
          <xsd:maxLength value="255"/>
        </xsd:restriction>
      </xsd:simpleType>
    </xsd:element>
    <xsd:element name="MediaServiceDateTaken" ma:index="12" nillable="true" ma:displayName="MediaServiceDateTaken" ma:hidden="true" ma:internalName="MediaServiceDateTaken" ma:readOnly="true">
      <xsd:simpleType>
        <xsd:restriction base="dms:Text"/>
      </xsd:simpleType>
    </xsd:element>
    <xsd:element name="MediaServiceAutoTags" ma:index="13" nillable="true" ma:displayName="Tags" ma:internalName="MediaServiceAutoTags" ma:readOnly="true">
      <xsd:simpleType>
        <xsd:restriction base="dms:Text"/>
      </xsd:simpleType>
    </xsd:element>
    <xsd:element name="MediaServiceGenerationTime" ma:index="14" nillable="true" ma:displayName="MediaServiceGenerationTime" ma:hidden="true" ma:internalName="MediaServiceGenerationTime" ma:readOnly="true">
      <xsd:simpleType>
        <xsd:restriction base="dms:Text"/>
      </xsd:simpleType>
    </xsd:element>
    <xsd:element name="MediaServiceEventHashCode" ma:index="15" nillable="true" ma:displayName="MediaServiceEventHashCode" ma:hidden="true" ma:internalName="MediaServiceEventHashCode" ma:readOnly="true">
      <xsd:simpleType>
        <xsd:restriction base="dms:Text"/>
      </xsd:simpleType>
    </xsd:element>
    <xsd:element name="MediaServiceOCR" ma:index="16" nillable="true" ma:displayName="Extracted Text" ma:internalName="MediaServiceOCR" ma:readOnly="true">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34ea2ff3-6ec2-43d9-a471-c19986830980" elementFormDefault="qualified">
    <xsd:import namespace="http://schemas.microsoft.com/office/2006/documentManagement/types"/>
    <xsd:import namespace="http://schemas.microsoft.com/office/infopath/2007/PartnerControls"/>
    <xsd:element name="SharedWithUsers" ma:index="17"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8"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p:properties>
</file>

<file path=customXml/itemProps1.xml><?xml version="1.0" encoding="utf-8"?>
<ds:datastoreItem xmlns:ds="http://schemas.openxmlformats.org/officeDocument/2006/customXml" ds:itemID="{20D4F413-900F-463A-9157-92CB91382358}">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cbfdd7c9-7280-41c4-b5fd-bd4e36265668"/>
    <ds:schemaRef ds:uri="34ea2ff3-6ec2-43d9-a471-c19986830980"/>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C44B519F-359B-4D48-B685-81860F5E9608}">
  <ds:schemaRefs>
    <ds:schemaRef ds:uri="http://schemas.microsoft.com/sharepoint/v3/contenttype/forms"/>
  </ds:schemaRefs>
</ds:datastoreItem>
</file>

<file path=customXml/itemProps3.xml><?xml version="1.0" encoding="utf-8"?>
<ds:datastoreItem xmlns:ds="http://schemas.openxmlformats.org/officeDocument/2006/customXml" ds:itemID="{4BCAC107-00F6-461C-BDE7-604435DB9569}">
  <ds:schemaRefs>
    <ds:schemaRef ds:uri="http://schemas.microsoft.com/office/2006/metadata/properties"/>
    <ds:schemaRef ds:uri="c7accfda-0245-44b0-89e8-2ca9994861f5"/>
    <ds:schemaRef ds:uri="http://purl.org/dc/elements/1.1/"/>
    <ds:schemaRef ds:uri="http://schemas.openxmlformats.org/package/2006/metadata/core-properties"/>
    <ds:schemaRef ds:uri="http://purl.org/dc/terms/"/>
    <ds:schemaRef ds:uri="http://www.w3.org/XML/1998/namespace"/>
    <ds:schemaRef ds:uri="http://schemas.microsoft.com/office/2006/documentManagement/types"/>
    <ds:schemaRef ds:uri="http://schemas.microsoft.com/office/infopath/2007/PartnerControls"/>
    <ds:schemaRef ds:uri="65342ae2-0146-4020-b84f-9a1cc2adbfe7"/>
    <ds:schemaRef ds:uri="http://purl.org/dc/dcmitype/"/>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18</vt:i4>
      </vt:variant>
      <vt:variant>
        <vt:lpstr>Named Ranges</vt:lpstr>
      </vt:variant>
      <vt:variant>
        <vt:i4>675</vt:i4>
      </vt:variant>
    </vt:vector>
  </HeadingPairs>
  <TitlesOfParts>
    <vt:vector size="693" baseType="lpstr">
      <vt:lpstr>IMPORT</vt:lpstr>
      <vt:lpstr>TNX Arbitrary Shape</vt:lpstr>
      <vt:lpstr>TNX File</vt:lpstr>
      <vt:lpstr>TNX File Parse</vt:lpstr>
      <vt:lpstr>TNX RTF</vt:lpstr>
      <vt:lpstr>TNX RTF Parse</vt:lpstr>
      <vt:lpstr>TNX Export</vt:lpstr>
      <vt:lpstr>Database</vt:lpstr>
      <vt:lpstr>Import Ranges</vt:lpstr>
      <vt:lpstr>Summary</vt:lpstr>
      <vt:lpstr>Bolt-On Split Pipe Connections</vt:lpstr>
      <vt:lpstr>Leg Load at Time of Mod</vt:lpstr>
      <vt:lpstr>Rev. H</vt:lpstr>
      <vt:lpstr>Rev. G</vt:lpstr>
      <vt:lpstr>Rev. F</vt:lpstr>
      <vt:lpstr>Ref</vt:lpstr>
      <vt:lpstr>Form Fit Reference</vt:lpstr>
      <vt:lpstr>Revision</vt:lpstr>
      <vt:lpstr>ACleg</vt:lpstr>
      <vt:lpstr>AClegin</vt:lpstr>
      <vt:lpstr>AClegtot</vt:lpstr>
      <vt:lpstr>ACrein</vt:lpstr>
      <vt:lpstr>ACreinin</vt:lpstr>
      <vt:lpstr>ACreintot</vt:lpstr>
      <vt:lpstr>ACtot</vt:lpstr>
      <vt:lpstr>Agross_Ubolt</vt:lpstr>
      <vt:lpstr>ai</vt:lpstr>
      <vt:lpstr>ai_ri_F</vt:lpstr>
      <vt:lpstr>ai_ri_G</vt:lpstr>
      <vt:lpstr>ai_ri_H</vt:lpstr>
      <vt:lpstr>Ainner</vt:lpstr>
      <vt:lpstr>Aleg</vt:lpstr>
      <vt:lpstr>Alegf</vt:lpstr>
      <vt:lpstr>AllInputsComplete</vt:lpstr>
      <vt:lpstr>anglebolts_bot</vt:lpstr>
      <vt:lpstr>anglebolts_top</vt:lpstr>
      <vt:lpstr>Aouter</vt:lpstr>
      <vt:lpstr>AppliedLoad</vt:lpstr>
      <vt:lpstr>AppliedLoadColumn</vt:lpstr>
      <vt:lpstr>Area</vt:lpstr>
      <vt:lpstr>Arein</vt:lpstr>
      <vt:lpstr>Areinf</vt:lpstr>
      <vt:lpstr>armsp_bot</vt:lpstr>
      <vt:lpstr>armsp_top</vt:lpstr>
      <vt:lpstr>Asp</vt:lpstr>
      <vt:lpstr>Astiffener_bot</vt:lpstr>
      <vt:lpstr>Astiffener_top</vt:lpstr>
      <vt:lpstr>Astiffenertop_bot</vt:lpstr>
      <vt:lpstr>Astiffenertop_top</vt:lpstr>
      <vt:lpstr>Athreadedrod_gross_bot</vt:lpstr>
      <vt:lpstr>Athreadedrod_gross_top</vt:lpstr>
      <vt:lpstr>Athreadedrod_net_bot</vt:lpstr>
      <vt:lpstr>Athreadedrod_net_top</vt:lpstr>
      <vt:lpstr>ATlegtot</vt:lpstr>
      <vt:lpstr>Atot</vt:lpstr>
      <vt:lpstr>Atotf</vt:lpstr>
      <vt:lpstr>ATreintot</vt:lpstr>
      <vt:lpstr>ATtot</vt:lpstr>
      <vt:lpstr>Aweld_h_bot</vt:lpstr>
      <vt:lpstr>Aweld_h_top</vt:lpstr>
      <vt:lpstr>BCthreadedrod_bot</vt:lpstr>
      <vt:lpstr>BCthreadedrod_top</vt:lpstr>
      <vt:lpstr>bendf</vt:lpstr>
      <vt:lpstr>BoltCircleInput_Bot</vt:lpstr>
      <vt:lpstr>BoltCircleInput_Top</vt:lpstr>
      <vt:lpstr>BoltOnRating</vt:lpstr>
      <vt:lpstr>BoltOrientationInput_Bot</vt:lpstr>
      <vt:lpstr>BoltOrientationInput_Top</vt:lpstr>
      <vt:lpstr>BU_Import</vt:lpstr>
      <vt:lpstr>Cc_leg_F</vt:lpstr>
      <vt:lpstr>Cc_sp_F</vt:lpstr>
      <vt:lpstr>Check_buckling</vt:lpstr>
      <vt:lpstr>Check_TIA</vt:lpstr>
      <vt:lpstr>cmax_bot</vt:lpstr>
      <vt:lpstr>cmax_top</vt:lpstr>
      <vt:lpstr>ConsiderLegLoadatTimeofMod</vt:lpstr>
      <vt:lpstr>CopySectionStart</vt:lpstr>
      <vt:lpstr>COUNT</vt:lpstr>
      <vt:lpstr>CountSections</vt:lpstr>
      <vt:lpstr>CurrentSectionForPrompt</vt:lpstr>
      <vt:lpstr>Cw</vt:lpstr>
      <vt:lpstr>Database_ArbitraryShape_Reference</vt:lpstr>
      <vt:lpstr>Database_BoltOn_Reference</vt:lpstr>
      <vt:lpstr>Database_Reference_List</vt:lpstr>
      <vt:lpstr>Database_Summary_Reference</vt:lpstr>
      <vt:lpstr>DatabaseRng1</vt:lpstr>
      <vt:lpstr>DatabaseRng2</vt:lpstr>
      <vt:lpstr>DataStored</vt:lpstr>
      <vt:lpstr>DataStoredBoltOnConnections</vt:lpstr>
      <vt:lpstr>DataStoredColumn</vt:lpstr>
      <vt:lpstr>DataType</vt:lpstr>
      <vt:lpstr>DefineUserInputs</vt:lpstr>
      <vt:lpstr>Density</vt:lpstr>
      <vt:lpstr>DesignBoltOnConnectionsHyperlink</vt:lpstr>
      <vt:lpstr>DesignBoltOnSplitPipeConnections</vt:lpstr>
      <vt:lpstr>Dfillet_bot</vt:lpstr>
      <vt:lpstr>Dfillet_top</vt:lpstr>
      <vt:lpstr>Diameter</vt:lpstr>
      <vt:lpstr>DL_Column</vt:lpstr>
      <vt:lpstr>DL_Row</vt:lpstr>
      <vt:lpstr>Dleg</vt:lpstr>
      <vt:lpstr>Drein</vt:lpstr>
      <vt:lpstr>dthreadedrod_bot</vt:lpstr>
      <vt:lpstr>dthreadedrod_net_bot</vt:lpstr>
      <vt:lpstr>dthreadedrod_net_top</vt:lpstr>
      <vt:lpstr>dthreadedrod_top</vt:lpstr>
      <vt:lpstr>dturn</vt:lpstr>
      <vt:lpstr>dv_bot</vt:lpstr>
      <vt:lpstr>dv_top</vt:lpstr>
      <vt:lpstr>E</vt:lpstr>
      <vt:lpstr>ElectrodeStrengthInput_Bot</vt:lpstr>
      <vt:lpstr>ElectrodeStrengthInput_Top</vt:lpstr>
      <vt:lpstr>EndConnections</vt:lpstr>
      <vt:lpstr>EndConnectionsColumn</vt:lpstr>
      <vt:lpstr>F\y_leg_G</vt:lpstr>
      <vt:lpstr>F\y_leg_H</vt:lpstr>
      <vt:lpstr>F\y_sp_G</vt:lpstr>
      <vt:lpstr>F\y_sp_H</vt:lpstr>
      <vt:lpstr>F\ythreadedrod_bot</vt:lpstr>
      <vt:lpstr>F\ythreadedrod_top</vt:lpstr>
      <vt:lpstr>f1_bot</vt:lpstr>
      <vt:lpstr>f1_top</vt:lpstr>
      <vt:lpstr>f2_bot</vt:lpstr>
      <vt:lpstr>f2_top</vt:lpstr>
      <vt:lpstr>Facomp_F</vt:lpstr>
      <vt:lpstr>Faleg_F</vt:lpstr>
      <vt:lpstr>Fasp_F</vt:lpstr>
      <vt:lpstr>Fcr_comp_G</vt:lpstr>
      <vt:lpstr>Fcr_comp_H</vt:lpstr>
      <vt:lpstr>Fcr_leg_G</vt:lpstr>
      <vt:lpstr>Fcr_leg_H</vt:lpstr>
      <vt:lpstr>Fcr_sp_G</vt:lpstr>
      <vt:lpstr>Fcr_sp_H</vt:lpstr>
      <vt:lpstr>Fcrthreadedrod_bot</vt:lpstr>
      <vt:lpstr>Fcrthreadedrod_top</vt:lpstr>
      <vt:lpstr>Fe_leg_H</vt:lpstr>
      <vt:lpstr>Fe_sp_H</vt:lpstr>
      <vt:lpstr>Fethreadedrod_bot</vt:lpstr>
      <vt:lpstr>Fethreadedrod_top</vt:lpstr>
      <vt:lpstr>FEXX_bot</vt:lpstr>
      <vt:lpstr>FEXX_top</vt:lpstr>
      <vt:lpstr>FFPArea</vt:lpstr>
      <vt:lpstr>FFPI</vt:lpstr>
      <vt:lpstr>FFPlegArea</vt:lpstr>
      <vt:lpstr>FFPtotArea</vt:lpstr>
      <vt:lpstr>File</vt:lpstr>
      <vt:lpstr>file_path</vt:lpstr>
      <vt:lpstr>file_path_report</vt:lpstr>
      <vt:lpstr>file_path_report_dead</vt:lpstr>
      <vt:lpstr>filename_search_keyword</vt:lpstr>
      <vt:lpstr>FilletWeldSizeInput_Bot</vt:lpstr>
      <vt:lpstr>FilletWeldSizeInput_Top</vt:lpstr>
      <vt:lpstr>Fixed</vt:lpstr>
      <vt:lpstr>Fixed2</vt:lpstr>
      <vt:lpstr>FixedOptions</vt:lpstr>
      <vt:lpstr>FlangeThicknessInput_Bot</vt:lpstr>
      <vt:lpstr>FlangeThicknessInput_Top</vt:lpstr>
      <vt:lpstr>FntUbolt</vt:lpstr>
      <vt:lpstr>FormFitReference</vt:lpstr>
      <vt:lpstr>Free</vt:lpstr>
      <vt:lpstr>Free2</vt:lpstr>
      <vt:lpstr>FreeOptions</vt:lpstr>
      <vt:lpstr>Fu_Material</vt:lpstr>
      <vt:lpstr>Fustiffener_bot</vt:lpstr>
      <vt:lpstr>Fustiffener_top</vt:lpstr>
      <vt:lpstr>Futhreadedrod_bot</vt:lpstr>
      <vt:lpstr>Futhreadedrod_top</vt:lpstr>
      <vt:lpstr>Fy_Material</vt:lpstr>
      <vt:lpstr>Fystiffener_bot</vt:lpstr>
      <vt:lpstr>Fystiffener_top</vt:lpstr>
      <vt:lpstr>Fythreadedrod_bot</vt:lpstr>
      <vt:lpstr>Fythreadedrod_top</vt:lpstr>
      <vt:lpstr>Gleg</vt:lpstr>
      <vt:lpstr>GR</vt:lpstr>
      <vt:lpstr>Grein</vt:lpstr>
      <vt:lpstr>GRf</vt:lpstr>
      <vt:lpstr>Height</vt:lpstr>
      <vt:lpstr>HeightofStiffenersInput_Bot</vt:lpstr>
      <vt:lpstr>HeightofStiffenersInput_Top</vt:lpstr>
      <vt:lpstr>hstiffener_bot</vt:lpstr>
      <vt:lpstr>hstiffener_top</vt:lpstr>
      <vt:lpstr>I_h1_bot</vt:lpstr>
      <vt:lpstr>I_h1_top</vt:lpstr>
      <vt:lpstr>I_h2_bot</vt:lpstr>
      <vt:lpstr>I_h2_top</vt:lpstr>
      <vt:lpstr>Iinner</vt:lpstr>
      <vt:lpstr>Ileg</vt:lpstr>
      <vt:lpstr>Ilegf</vt:lpstr>
      <vt:lpstr>Interaction_stiffenerheight_bot</vt:lpstr>
      <vt:lpstr>Interaction_stiffenerheight_top</vt:lpstr>
      <vt:lpstr>Interaction_stiffenerlength_bot</vt:lpstr>
      <vt:lpstr>Interaction_stiffenerlength_top</vt:lpstr>
      <vt:lpstr>IntermediateConnectionType</vt:lpstr>
      <vt:lpstr>Iouter</vt:lpstr>
      <vt:lpstr>Irein</vt:lpstr>
      <vt:lpstr>ireinf</vt:lpstr>
      <vt:lpstr>ireinxf</vt:lpstr>
      <vt:lpstr>Itot</vt:lpstr>
      <vt:lpstr>ItotF</vt:lpstr>
      <vt:lpstr>ItotFFP</vt:lpstr>
      <vt:lpstr>Iv_bot</vt:lpstr>
      <vt:lpstr>Iv_top</vt:lpstr>
      <vt:lpstr>Iweld_group_bot</vt:lpstr>
      <vt:lpstr>Iweld_group_top</vt:lpstr>
      <vt:lpstr>Ix</vt:lpstr>
      <vt:lpstr>Iy</vt:lpstr>
      <vt:lpstr>J</vt:lpstr>
      <vt:lpstr>K_Original_Leg_Equivalent_F</vt:lpstr>
      <vt:lpstr>K_Original_Leg_Equivalent_G</vt:lpstr>
      <vt:lpstr>K_Original_Leg_Equivalent_H</vt:lpstr>
      <vt:lpstr>K_TNX</vt:lpstr>
      <vt:lpstr>Kai_ri</vt:lpstr>
      <vt:lpstr>KFactorAdjustment</vt:lpstr>
      <vt:lpstr>KFactorAdjustmentColumn</vt:lpstr>
      <vt:lpstr>Ki</vt:lpstr>
      <vt:lpstr>Ki_Override</vt:lpstr>
      <vt:lpstr>KL_rib</vt:lpstr>
      <vt:lpstr>KL_rib_F</vt:lpstr>
      <vt:lpstr>KL_rib_G</vt:lpstr>
      <vt:lpstr>KL_rib_H</vt:lpstr>
      <vt:lpstr>KL_rleg</vt:lpstr>
      <vt:lpstr>KL_rleg_F</vt:lpstr>
      <vt:lpstr>KL_rleg_G</vt:lpstr>
      <vt:lpstr>KL_rleg_H</vt:lpstr>
      <vt:lpstr>KL_rm</vt:lpstr>
      <vt:lpstr>KL_rm_F</vt:lpstr>
      <vt:lpstr>KL_rm_G</vt:lpstr>
      <vt:lpstr>KL_rm_H</vt:lpstr>
      <vt:lpstr>KL_ro</vt:lpstr>
      <vt:lpstr>KL_ro_F</vt:lpstr>
      <vt:lpstr>KL_ro_G</vt:lpstr>
      <vt:lpstr>KL_ro_H</vt:lpstr>
      <vt:lpstr>KL_rthreadedrod_bot</vt:lpstr>
      <vt:lpstr>KL_rthreadedrod_top</vt:lpstr>
      <vt:lpstr>Kthreadedrod</vt:lpstr>
      <vt:lpstr>LastHeader</vt:lpstr>
      <vt:lpstr>Lbolt</vt:lpstr>
      <vt:lpstr>LegCrushing</vt:lpstr>
      <vt:lpstr>LegReinforcementSelection</vt:lpstr>
      <vt:lpstr>LengthofStiffenersInput_Bot</vt:lpstr>
      <vt:lpstr>LengthofStiffenersInput_Top</vt:lpstr>
      <vt:lpstr>ListHeader</vt:lpstr>
      <vt:lpstr>ListHeader2</vt:lpstr>
      <vt:lpstr>ListIndex_withBlanks</vt:lpstr>
      <vt:lpstr>Lleg</vt:lpstr>
      <vt:lpstr>LoadZNormalization</vt:lpstr>
      <vt:lpstr>Lsp</vt:lpstr>
      <vt:lpstr>Lstiffener_bot</vt:lpstr>
      <vt:lpstr>Lstiffener_top</vt:lpstr>
      <vt:lpstr>Lu_leg</vt:lpstr>
      <vt:lpstr>Luthreadedrod_bot</vt:lpstr>
      <vt:lpstr>Luthreadedrod_top</vt:lpstr>
      <vt:lpstr>Lweld_h1_bot</vt:lpstr>
      <vt:lpstr>Lweld_h1_top</vt:lpstr>
      <vt:lpstr>Lweld_h2_bot</vt:lpstr>
      <vt:lpstr>Lweld_h2_top</vt:lpstr>
      <vt:lpstr>Lweld_hstiffener</vt:lpstr>
      <vt:lpstr>Lweld_hstiffener_bot</vt:lpstr>
      <vt:lpstr>Lweld_hstiffener_top</vt:lpstr>
      <vt:lpstr>Lweld_v_bot</vt:lpstr>
      <vt:lpstr>Lweld_v_top</vt:lpstr>
      <vt:lpstr>Material</vt:lpstr>
      <vt:lpstr>MaterialGrades</vt:lpstr>
      <vt:lpstr>materialstiffener_bot</vt:lpstr>
      <vt:lpstr>materialstiffener_top</vt:lpstr>
      <vt:lpstr>materialthreadedrod_bot</vt:lpstr>
      <vt:lpstr>materialthreadedrod_top</vt:lpstr>
      <vt:lpstr>MatName</vt:lpstr>
      <vt:lpstr>MatNameColumn</vt:lpstr>
      <vt:lpstr>MatValue</vt:lpstr>
      <vt:lpstr>MemberMatFile</vt:lpstr>
      <vt:lpstr>Modulus</vt:lpstr>
      <vt:lpstr>Mthreadedrod_bot</vt:lpstr>
      <vt:lpstr>Mthreadedrod_top</vt:lpstr>
      <vt:lpstr>n_h1_bot</vt:lpstr>
      <vt:lpstr>n_h1_top</vt:lpstr>
      <vt:lpstr>n_h2_bot</vt:lpstr>
      <vt:lpstr>n_h2_top</vt:lpstr>
      <vt:lpstr>n_v_bot</vt:lpstr>
      <vt:lpstr>n_v_top</vt:lpstr>
      <vt:lpstr>nbolts_existing_bot</vt:lpstr>
      <vt:lpstr>nbolts_existing_top</vt:lpstr>
      <vt:lpstr>notchstiffener_bot</vt:lpstr>
      <vt:lpstr>notchstiffener_top</vt:lpstr>
      <vt:lpstr>nthreadedrod_bot</vt:lpstr>
      <vt:lpstr>nthreadedrod_threads_bot</vt:lpstr>
      <vt:lpstr>nthreadedrod_threads_top</vt:lpstr>
      <vt:lpstr>nthreadedrod_top</vt:lpstr>
      <vt:lpstr>nweld_h_bot</vt:lpstr>
      <vt:lpstr>nweld_h_top</vt:lpstr>
      <vt:lpstr>ØA</vt:lpstr>
      <vt:lpstr>Order_Import</vt:lpstr>
      <vt:lpstr>Original_Leg_Capacity_Equivalent_F</vt:lpstr>
      <vt:lpstr>Original_Leg_Capacity_Equivalent_G</vt:lpstr>
      <vt:lpstr>Original_Leg_Capacity_Equivalent_H</vt:lpstr>
      <vt:lpstr>Original_Leg_Capacity_F</vt:lpstr>
      <vt:lpstr>Original_Leg_Capacity_G</vt:lpstr>
      <vt:lpstr>Original_Leg_Capacity_H</vt:lpstr>
      <vt:lpstr>P_1</vt:lpstr>
      <vt:lpstr>P_2</vt:lpstr>
      <vt:lpstr>P_3</vt:lpstr>
      <vt:lpstr>Pdead</vt:lpstr>
      <vt:lpstr>Pdead_Column</vt:lpstr>
      <vt:lpstr>Pdead_Column2</vt:lpstr>
      <vt:lpstr>Pdead_Count_NonBlank</vt:lpstr>
      <vt:lpstr>Pdead_Import</vt:lpstr>
      <vt:lpstr>Pdead_Import_Column</vt:lpstr>
      <vt:lpstr>Perimeter</vt:lpstr>
      <vt:lpstr>Phic_G</vt:lpstr>
      <vt:lpstr>Phic_H</vt:lpstr>
      <vt:lpstr>Pleg</vt:lpstr>
      <vt:lpstr>Pmod_leg</vt:lpstr>
      <vt:lpstr>Pmod_sp</vt:lpstr>
      <vt:lpstr>PNA</vt:lpstr>
      <vt:lpstr>'Bolt-On Split Pipe Connections'!Print_Area</vt:lpstr>
      <vt:lpstr>Summary!Print_Area</vt:lpstr>
      <vt:lpstr>PrintBoltOnConnectionInfo</vt:lpstr>
      <vt:lpstr>PrintBoltOnConnectionInfoColumn</vt:lpstr>
      <vt:lpstr>PropertiesAndSpacingsKnown</vt:lpstr>
      <vt:lpstr>PropertiesKnown</vt:lpstr>
      <vt:lpstr>Psp</vt:lpstr>
      <vt:lpstr>Pthreadedrod_bot</vt:lpstr>
      <vt:lpstr>Pthreadedrod_top</vt:lpstr>
      <vt:lpstr>Pu</vt:lpstr>
      <vt:lpstr>Pu_0mph</vt:lpstr>
      <vt:lpstr>Pu_Column</vt:lpstr>
      <vt:lpstr>Pu_Column2</vt:lpstr>
      <vt:lpstr>Pu_Count_NonBlank</vt:lpstr>
      <vt:lpstr>Pu_Import</vt:lpstr>
      <vt:lpstr>Pu_Import_Column</vt:lpstr>
      <vt:lpstr>Pu_Parse</vt:lpstr>
      <vt:lpstr>Pu_Parse_Dead</vt:lpstr>
      <vt:lpstr>Pu_Parse_Wind</vt:lpstr>
      <vt:lpstr>QaQs</vt:lpstr>
      <vt:lpstr>QuantityofFlangeBoltsInput_Bot</vt:lpstr>
      <vt:lpstr>QuantityofFlangeBoltsInput_Top</vt:lpstr>
      <vt:lpstr>QuantityofThreadedRodsInput_Bot</vt:lpstr>
      <vt:lpstr>QuantityofThreadedRodsInput_Top</vt:lpstr>
      <vt:lpstr>Ratioexisting</vt:lpstr>
      <vt:lpstr>Ratiomod</vt:lpstr>
      <vt:lpstr>Ratioturn_bot</vt:lpstr>
      <vt:lpstr>Ratioturn_top</vt:lpstr>
      <vt:lpstr>ReinType</vt:lpstr>
      <vt:lpstr>ReinTypeColumn</vt:lpstr>
      <vt:lpstr>Required_Inputs_Complete</vt:lpstr>
      <vt:lpstr>RFF_Actual</vt:lpstr>
      <vt:lpstr>rh_bot</vt:lpstr>
      <vt:lpstr>rh_tens_h_bot</vt:lpstr>
      <vt:lpstr>rh_tens_h_top</vt:lpstr>
      <vt:lpstr>rh_tens_v_bot</vt:lpstr>
      <vt:lpstr>rh_tens_v_top</vt:lpstr>
      <vt:lpstr>rh_top</vt:lpstr>
      <vt:lpstr>Rleg</vt:lpstr>
      <vt:lpstr>rlegf</vt:lpstr>
      <vt:lpstr>Rlegin</vt:lpstr>
      <vt:lpstr>Rleginf</vt:lpstr>
      <vt:lpstr>rm_bot</vt:lpstr>
      <vt:lpstr>rm_tens_bot</vt:lpstr>
      <vt:lpstr>rm_tens_top</vt:lpstr>
      <vt:lpstr>rm_top</vt:lpstr>
      <vt:lpstr>Rntstiffener_bot</vt:lpstr>
      <vt:lpstr>Rntstiffener_top</vt:lpstr>
      <vt:lpstr>Rntstiffenertop_bot</vt:lpstr>
      <vt:lpstr>Rntstiffenertop_top</vt:lpstr>
      <vt:lpstr>Rnvstiffener_bot</vt:lpstr>
      <vt:lpstr>Rnvstiffener_top</vt:lpstr>
      <vt:lpstr>Rnvstiffenertop_bot</vt:lpstr>
      <vt:lpstr>Rnvstiffenertop_top</vt:lpstr>
      <vt:lpstr>Rnweld</vt:lpstr>
      <vt:lpstr>Rnweld_bot</vt:lpstr>
      <vt:lpstr>Rnweld_h_bot</vt:lpstr>
      <vt:lpstr>Rnweld_h_top</vt:lpstr>
      <vt:lpstr>Rnweld_tens</vt:lpstr>
      <vt:lpstr>Rnweld_tens_bot</vt:lpstr>
      <vt:lpstr>Rnweld_tens_top</vt:lpstr>
      <vt:lpstr>Rnweld_top</vt:lpstr>
      <vt:lpstr>Rotationbot</vt:lpstr>
      <vt:lpstr>Rotationnut_bot</vt:lpstr>
      <vt:lpstr>Rotationnut_top</vt:lpstr>
      <vt:lpstr>Rotationtop</vt:lpstr>
      <vt:lpstr>ROW_END</vt:lpstr>
      <vt:lpstr>ROW_START</vt:lpstr>
      <vt:lpstr>rp_bot</vt:lpstr>
      <vt:lpstr>rp_tens_bot</vt:lpstr>
      <vt:lpstr>rp_tens_top</vt:lpstr>
      <vt:lpstr>rp_top</vt:lpstr>
      <vt:lpstr>Rrein</vt:lpstr>
      <vt:lpstr>Rreinf</vt:lpstr>
      <vt:lpstr>Rreinin</vt:lpstr>
      <vt:lpstr>Rreininf</vt:lpstr>
      <vt:lpstr>RTF_unit</vt:lpstr>
      <vt:lpstr>rthreadedrod_bot</vt:lpstr>
      <vt:lpstr>rthreadedrod_top</vt:lpstr>
      <vt:lpstr>ru</vt:lpstr>
      <vt:lpstr>ru_bot</vt:lpstr>
      <vt:lpstr>ru_tens_bot</vt:lpstr>
      <vt:lpstr>ru_tens_top</vt:lpstr>
      <vt:lpstr>ru_top</vt:lpstr>
      <vt:lpstr>rx</vt:lpstr>
      <vt:lpstr>ry</vt:lpstr>
      <vt:lpstr>SecondOrderAnlaysis</vt:lpstr>
      <vt:lpstr>Section15.5</vt:lpstr>
      <vt:lpstr>SectionCount</vt:lpstr>
      <vt:lpstr>SectionDataStored</vt:lpstr>
      <vt:lpstr>SectionElevations</vt:lpstr>
      <vt:lpstr>SectionHeader</vt:lpstr>
      <vt:lpstr>SectionIndexTotal</vt:lpstr>
      <vt:lpstr>SectionLastRow</vt:lpstr>
      <vt:lpstr>SetTopToBottom</vt:lpstr>
      <vt:lpstr>SFx</vt:lpstr>
      <vt:lpstr>SFy</vt:lpstr>
      <vt:lpstr>ShowDesignCalcs</vt:lpstr>
      <vt:lpstr>ShowDesignCalcsCheckbox</vt:lpstr>
      <vt:lpstr>SI_Name</vt:lpstr>
      <vt:lpstr>SIName</vt:lpstr>
      <vt:lpstr>SiteName_Import</vt:lpstr>
      <vt:lpstr>sizethreadedrod_bot</vt:lpstr>
      <vt:lpstr>sizethreadedrod_top</vt:lpstr>
      <vt:lpstr>SlendernessRatioInput</vt:lpstr>
      <vt:lpstr>SlendernessRatioInputColumn</vt:lpstr>
      <vt:lpstr>source_rev_rng</vt:lpstr>
      <vt:lpstr>SpacingRequirement</vt:lpstr>
      <vt:lpstr>SR_comp</vt:lpstr>
      <vt:lpstr>SR_leg</vt:lpstr>
      <vt:lpstr>SR_sp</vt:lpstr>
      <vt:lpstr>StartDesignOptions</vt:lpstr>
      <vt:lpstr>Sx_bot</vt:lpstr>
      <vt:lpstr>Sx_top</vt:lpstr>
      <vt:lpstr>Sy_bot</vt:lpstr>
      <vt:lpstr>Sy_top</vt:lpstr>
      <vt:lpstr>tflange_bot</vt:lpstr>
      <vt:lpstr>tflange_top</vt:lpstr>
      <vt:lpstr>THleg</vt:lpstr>
      <vt:lpstr>THlegin</vt:lpstr>
      <vt:lpstr>ThreadedRodMaterialInput_Bot</vt:lpstr>
      <vt:lpstr>ThreadedRodMaterialInput_Top</vt:lpstr>
      <vt:lpstr>ThreadedRodMaterials</vt:lpstr>
      <vt:lpstr>ThreadedRodSizeInput_Bot</vt:lpstr>
      <vt:lpstr>ThreadedRodSizeInput_Top</vt:lpstr>
      <vt:lpstr>ThreadedRodSizes</vt:lpstr>
      <vt:lpstr>THrein</vt:lpstr>
      <vt:lpstr>THreinin</vt:lpstr>
      <vt:lpstr>TIA</vt:lpstr>
      <vt:lpstr>TIA_Import</vt:lpstr>
      <vt:lpstr>TIA_Import_Column</vt:lpstr>
      <vt:lpstr>Tleg</vt:lpstr>
      <vt:lpstr>TLF</vt:lpstr>
      <vt:lpstr>TNX_Database_Materials</vt:lpstr>
      <vt:lpstr>TNX_Database_Sections</vt:lpstr>
      <vt:lpstr>'TNX Export'!TNX_File</vt:lpstr>
      <vt:lpstr>'TNX File'!TNX_File</vt:lpstr>
      <vt:lpstr>'TNX Export'!TNX_File_1</vt:lpstr>
      <vt:lpstr>'TNX File'!TNX_File_1</vt:lpstr>
      <vt:lpstr>'TNX Export'!TNX_File_10</vt:lpstr>
      <vt:lpstr>'TNX File'!TNX_File_10</vt:lpstr>
      <vt:lpstr>'TNX Export'!TNX_File_11</vt:lpstr>
      <vt:lpstr>'TNX File'!TNX_File_11</vt:lpstr>
      <vt:lpstr>'TNX Export'!TNX_File_12</vt:lpstr>
      <vt:lpstr>'TNX File'!TNX_File_12</vt:lpstr>
      <vt:lpstr>'TNX Export'!TNX_File_13</vt:lpstr>
      <vt:lpstr>'TNX File'!TNX_File_13</vt:lpstr>
      <vt:lpstr>'TNX Export'!TNX_File_14</vt:lpstr>
      <vt:lpstr>'TNX File'!TNX_File_14</vt:lpstr>
      <vt:lpstr>'TNX Export'!TNX_File_15</vt:lpstr>
      <vt:lpstr>'TNX File'!TNX_File_15</vt:lpstr>
      <vt:lpstr>'TNX Export'!TNX_File_16</vt:lpstr>
      <vt:lpstr>'TNX File'!TNX_File_16</vt:lpstr>
      <vt:lpstr>'TNX Export'!TNX_File_17</vt:lpstr>
      <vt:lpstr>'TNX File'!TNX_File_17</vt:lpstr>
      <vt:lpstr>'TNX Export'!TNX_File_18</vt:lpstr>
      <vt:lpstr>'TNX File'!TNX_File_18</vt:lpstr>
      <vt:lpstr>'TNX Export'!TNX_File_19</vt:lpstr>
      <vt:lpstr>'TNX File'!TNX_File_19</vt:lpstr>
      <vt:lpstr>'TNX File'!TNX_File_2</vt:lpstr>
      <vt:lpstr>'TNX Export'!TNX_File_20</vt:lpstr>
      <vt:lpstr>'TNX File'!TNX_File_20</vt:lpstr>
      <vt:lpstr>'TNX Export'!TNX_File_21</vt:lpstr>
      <vt:lpstr>'TNX File'!TNX_File_21</vt:lpstr>
      <vt:lpstr>'TNX Export'!TNX_File_22</vt:lpstr>
      <vt:lpstr>'TNX File'!TNX_File_22</vt:lpstr>
      <vt:lpstr>'TNX Export'!TNX_File_23</vt:lpstr>
      <vt:lpstr>'TNX File'!TNX_File_23</vt:lpstr>
      <vt:lpstr>'TNX Export'!TNX_File_24</vt:lpstr>
      <vt:lpstr>'TNX File'!TNX_File_24</vt:lpstr>
      <vt:lpstr>'TNX Export'!TNX_File_25</vt:lpstr>
      <vt:lpstr>'TNX File'!TNX_File_25</vt:lpstr>
      <vt:lpstr>'TNX Export'!TNX_File_26</vt:lpstr>
      <vt:lpstr>'TNX File'!TNX_File_26</vt:lpstr>
      <vt:lpstr>'TNX Export'!TNX_File_27</vt:lpstr>
      <vt:lpstr>'TNX File'!TNX_File_27</vt:lpstr>
      <vt:lpstr>'TNX Export'!TNX_File_28</vt:lpstr>
      <vt:lpstr>'TNX File'!TNX_File_28</vt:lpstr>
      <vt:lpstr>'TNX Export'!TNX_File_29</vt:lpstr>
      <vt:lpstr>'TNX File'!TNX_File_29</vt:lpstr>
      <vt:lpstr>'TNX File'!TNX_File_3</vt:lpstr>
      <vt:lpstr>'TNX Export'!TNX_File_30</vt:lpstr>
      <vt:lpstr>'TNX File'!TNX_File_30</vt:lpstr>
      <vt:lpstr>'TNX Export'!TNX_File_31</vt:lpstr>
      <vt:lpstr>'TNX File'!TNX_File_31</vt:lpstr>
      <vt:lpstr>'TNX Export'!TNX_File_32</vt:lpstr>
      <vt:lpstr>'TNX File'!TNX_File_32</vt:lpstr>
      <vt:lpstr>'TNX Export'!TNX_File_33</vt:lpstr>
      <vt:lpstr>'TNX File'!TNX_File_33</vt:lpstr>
      <vt:lpstr>'TNX Export'!TNX_File_34</vt:lpstr>
      <vt:lpstr>'TNX File'!TNX_File_34</vt:lpstr>
      <vt:lpstr>'TNX File'!TNX_File_35</vt:lpstr>
      <vt:lpstr>'TNX File'!TNX_File_36</vt:lpstr>
      <vt:lpstr>'TNX File'!TNX_File_37</vt:lpstr>
      <vt:lpstr>'TNX File'!TNX_File_38</vt:lpstr>
      <vt:lpstr>'TNX File'!TNX_File_39</vt:lpstr>
      <vt:lpstr>'TNX Export'!TNX_File_4</vt:lpstr>
      <vt:lpstr>'TNX File'!TNX_File_4</vt:lpstr>
      <vt:lpstr>'TNX File'!TNX_File_40</vt:lpstr>
      <vt:lpstr>'TNX File'!TNX_File_41</vt:lpstr>
      <vt:lpstr>'TNX File'!TNX_File_42</vt:lpstr>
      <vt:lpstr>'TNX File'!TNX_File_43</vt:lpstr>
      <vt:lpstr>'TNX File'!TNX_File_44</vt:lpstr>
      <vt:lpstr>'TNX File'!TNX_File_45</vt:lpstr>
      <vt:lpstr>'TNX File'!TNX_File_46</vt:lpstr>
      <vt:lpstr>'TNX File'!TNX_File_47</vt:lpstr>
      <vt:lpstr>'TNX File'!TNX_File_48</vt:lpstr>
      <vt:lpstr>'TNX File'!TNX_File_49</vt:lpstr>
      <vt:lpstr>'TNX Export'!TNX_File_5</vt:lpstr>
      <vt:lpstr>'TNX File'!TNX_File_5</vt:lpstr>
      <vt:lpstr>'TNX File'!TNX_File_50</vt:lpstr>
      <vt:lpstr>'TNX File'!TNX_File_51</vt:lpstr>
      <vt:lpstr>'TNX File'!TNX_File_52</vt:lpstr>
      <vt:lpstr>'TNX File'!TNX_File_53</vt:lpstr>
      <vt:lpstr>'TNX File'!TNX_File_54</vt:lpstr>
      <vt:lpstr>'TNX File'!TNX_File_55</vt:lpstr>
      <vt:lpstr>'TNX File'!TNX_File_56</vt:lpstr>
      <vt:lpstr>'TNX File'!TNX_File_57</vt:lpstr>
      <vt:lpstr>'TNX File'!TNX_File_58</vt:lpstr>
      <vt:lpstr>'TNX File'!TNX_File_59</vt:lpstr>
      <vt:lpstr>'TNX Export'!TNX_File_6</vt:lpstr>
      <vt:lpstr>'TNX File'!TNX_File_6</vt:lpstr>
      <vt:lpstr>'TNX File'!TNX_File_60</vt:lpstr>
      <vt:lpstr>'TNX File'!TNX_File_61</vt:lpstr>
      <vt:lpstr>'TNX File'!TNX_File_62</vt:lpstr>
      <vt:lpstr>'TNX File'!TNX_File_63</vt:lpstr>
      <vt:lpstr>'TNX File'!TNX_File_64</vt:lpstr>
      <vt:lpstr>'TNX File'!TNX_File_65</vt:lpstr>
      <vt:lpstr>'TNX File'!TNX_File_66</vt:lpstr>
      <vt:lpstr>'TNX File'!TNX_File_67</vt:lpstr>
      <vt:lpstr>'TNX File'!TNX_File_68</vt:lpstr>
      <vt:lpstr>'TNX File'!TNX_File_69</vt:lpstr>
      <vt:lpstr>'TNX Export'!TNX_File_7</vt:lpstr>
      <vt:lpstr>'TNX File'!TNX_File_7</vt:lpstr>
      <vt:lpstr>'TNX File'!TNX_File_70</vt:lpstr>
      <vt:lpstr>'TNX File'!TNX_File_71</vt:lpstr>
      <vt:lpstr>'TNX File'!TNX_File_72</vt:lpstr>
      <vt:lpstr>'TNX File'!TNX_File_73</vt:lpstr>
      <vt:lpstr>'TNX File'!TNX_File_74</vt:lpstr>
      <vt:lpstr>'TNX File'!TNX_File_75</vt:lpstr>
      <vt:lpstr>'TNX File'!TNX_File_76</vt:lpstr>
      <vt:lpstr>'TNX File'!TNX_File_77</vt:lpstr>
      <vt:lpstr>'TNX File'!TNX_File_78</vt:lpstr>
      <vt:lpstr>'TNX File'!TNX_File_79</vt:lpstr>
      <vt:lpstr>'TNX Export'!TNX_File_8</vt:lpstr>
      <vt:lpstr>'TNX File'!TNX_File_8</vt:lpstr>
      <vt:lpstr>'TNX File'!TNX_File_80</vt:lpstr>
      <vt:lpstr>'TNX File'!TNX_File_81</vt:lpstr>
      <vt:lpstr>'TNX File'!TNX_File_82</vt:lpstr>
      <vt:lpstr>'TNX File'!TNX_File_83</vt:lpstr>
      <vt:lpstr>'TNX File'!TNX_File_84</vt:lpstr>
      <vt:lpstr>'TNX File'!TNX_File_85</vt:lpstr>
      <vt:lpstr>'TNX File'!TNX_File_86</vt:lpstr>
      <vt:lpstr>'TNX File'!TNX_File_87</vt:lpstr>
      <vt:lpstr>'TNX File'!TNX_File_88</vt:lpstr>
      <vt:lpstr>'TNX File'!TNX_File_89</vt:lpstr>
      <vt:lpstr>'TNX Export'!TNX_File_9</vt:lpstr>
      <vt:lpstr>'TNX File'!TNX_File_9</vt:lpstr>
      <vt:lpstr>'TNX File'!TNX_File_90</vt:lpstr>
      <vt:lpstr>'TNX File'!TNX_File_91</vt:lpstr>
      <vt:lpstr>'TNX File'!TNX_File_92</vt:lpstr>
      <vt:lpstr>TNX_Record_Info</vt:lpstr>
      <vt:lpstr>TNXArbitraryShape</vt:lpstr>
      <vt:lpstr>TNXMaterialsDatabaseInfo</vt:lpstr>
      <vt:lpstr>TNXSectionsDatabaseInfo</vt:lpstr>
      <vt:lpstr>TotalDatabaseValuesStored</vt:lpstr>
      <vt:lpstr>TowerType</vt:lpstr>
      <vt:lpstr>TowerType_Import</vt:lpstr>
      <vt:lpstr>TowerTypeImport</vt:lpstr>
      <vt:lpstr>TowerTypeInput</vt:lpstr>
      <vt:lpstr>Trein</vt:lpstr>
      <vt:lpstr>tstiffener_bot</vt:lpstr>
      <vt:lpstr>tstiffener_top</vt:lpstr>
      <vt:lpstr>Tthreadedrod_distributed_bot</vt:lpstr>
      <vt:lpstr>Tthreadedrod_distributed_top</vt:lpstr>
      <vt:lpstr>TUbolt_bot</vt:lpstr>
      <vt:lpstr>TUbolt_top</vt:lpstr>
      <vt:lpstr>TurnofNutStart</vt:lpstr>
      <vt:lpstr>UnbracedLengthofThreadedRodsInput_Bot</vt:lpstr>
      <vt:lpstr>UnbracedLengthofThreadedRodsInput_Top</vt:lpstr>
      <vt:lpstr>US_Name</vt:lpstr>
      <vt:lpstr>USName</vt:lpstr>
      <vt:lpstr>USNameColumn</vt:lpstr>
      <vt:lpstr>Values</vt:lpstr>
      <vt:lpstr>Version</vt:lpstr>
      <vt:lpstr>Width</vt:lpstr>
      <vt:lpstr>WindProj.</vt:lpstr>
      <vt:lpstr>Wleg</vt:lpstr>
      <vt:lpstr>Wlegin</vt:lpstr>
      <vt:lpstr>Wrein</vt:lpstr>
      <vt:lpstr>Wreinin</vt:lpstr>
      <vt:lpstr>xarm_neg_bot</vt:lpstr>
      <vt:lpstr>xarm_neg_top</vt:lpstr>
      <vt:lpstr>xarm_pos_bot</vt:lpstr>
      <vt:lpstr>xarm_pos_top</vt:lpstr>
      <vt:lpstr>ybar_h1_bot</vt:lpstr>
      <vt:lpstr>ybar_h1_top</vt:lpstr>
      <vt:lpstr>ybar_h2_bot</vt:lpstr>
      <vt:lpstr>ybar_h2_top</vt:lpstr>
      <vt:lpstr>ybar_v_bot</vt:lpstr>
      <vt:lpstr>ybar_v_top</vt:lpstr>
      <vt:lpstr>ybar_weld_group_bot</vt:lpstr>
      <vt:lpstr>ybar_weld_group_top</vt:lpstr>
      <vt:lpstr>Yc</vt:lpstr>
      <vt:lpstr>Ycf</vt:lpstr>
      <vt:lpstr>YCleg</vt:lpstr>
      <vt:lpstr>YClegin</vt:lpstr>
      <vt:lpstr>YClegtot</vt:lpstr>
      <vt:lpstr>YCrein</vt:lpstr>
      <vt:lpstr>YCreinin</vt:lpstr>
      <vt:lpstr>YCreintot</vt:lpstr>
      <vt:lpstr>YCtot</vt:lpstr>
      <vt:lpstr>Yinner</vt:lpstr>
      <vt:lpstr>Yoff</vt:lpstr>
      <vt:lpstr>Yofff</vt:lpstr>
      <vt:lpstr>Youter</vt:lpstr>
      <vt:lpstr>Yrein</vt:lpstr>
      <vt:lpstr>Yreinf</vt:lpstr>
      <vt:lpstr>YTlegtot</vt:lpstr>
      <vt:lpstr>YTreintot</vt:lpstr>
      <vt:lpstr>YTtot</vt:lpstr>
      <vt:lpstr>Zc</vt:lpstr>
      <vt:lpstr>Zdiff</vt:lpstr>
      <vt:lpstr>Zt</vt:lpstr>
      <vt:lpstr>Ztot</vt:lpstr>
      <vt:lpstr>δbolt_loadshare_bot</vt:lpstr>
      <vt:lpstr>δbolt_loadshare_top</vt:lpstr>
      <vt:lpstr>δleg_deadload</vt:lpstr>
      <vt:lpstr>δleg_loadshare</vt:lpstr>
      <vt:lpstr>δsp_loadshare</vt:lpstr>
      <vt:lpstr>δtotal_bot</vt:lpstr>
      <vt:lpstr>δtotal_top</vt:lpstr>
      <vt:lpstr>λcleg_G</vt:lpstr>
      <vt:lpstr>λcsp_G</vt:lpstr>
      <vt:lpstr>ΣLweld_group_bot</vt:lpstr>
      <vt:lpstr>ΣLweld_group_top</vt:lpstr>
      <vt:lpstr>ΣLweld_h1_bot</vt:lpstr>
      <vt:lpstr>ΣLweld_h1_botybar_h1_bot</vt:lpstr>
      <vt:lpstr>ΣLweld_h1_top</vt:lpstr>
      <vt:lpstr>ΣLweld_h1_topybar_h1_top</vt:lpstr>
      <vt:lpstr>ΣLweld_h1ybar_h1_bot</vt:lpstr>
      <vt:lpstr>ΣLweld_h2_bot</vt:lpstr>
      <vt:lpstr>ΣLweld_h2_botybar_h2_bot</vt:lpstr>
      <vt:lpstr>ΣLweld_h2_top</vt:lpstr>
      <vt:lpstr>ΣLweld_h2_topybar_h2_top</vt:lpstr>
      <vt:lpstr>ΣLweld_v_bot</vt:lpstr>
      <vt:lpstr>ΣLweld_v_botybar_v_bot</vt:lpstr>
      <vt:lpstr>ΣLweld_v_top</vt:lpstr>
      <vt:lpstr>ΣLweld_v_topybar_v_top</vt:lpstr>
      <vt:lpstr>ΣLweld_vybar_v_bot</vt:lpstr>
      <vt:lpstr>Φc</vt:lpstr>
      <vt:lpstr>ΦPn</vt:lpstr>
      <vt:lpstr>ΦPn_comp</vt:lpstr>
      <vt:lpstr>ΦPn_leg</vt:lpstr>
      <vt:lpstr>ΦPn_sp</vt:lpstr>
      <vt:lpstr>ΦPnthreadedrod_bot</vt:lpstr>
      <vt:lpstr>ΦPnthreadedrod_top</vt:lpstr>
      <vt:lpstr>ΦRntstiffener_bot</vt:lpstr>
      <vt:lpstr>ΦRntstiffener_top</vt:lpstr>
      <vt:lpstr>ΦRntstiffenertop_bot</vt:lpstr>
      <vt:lpstr>ΦRntstiffenertop_top</vt:lpstr>
      <vt:lpstr>ΦRnUbolt</vt:lpstr>
      <vt:lpstr>ΦRnvstiffener_bot</vt:lpstr>
      <vt:lpstr>ΦRnvstiffener_top</vt:lpstr>
      <vt:lpstr>ΦRnvstiffenertop_bot</vt:lpstr>
      <vt:lpstr>ΦRnvstiffenertop_top</vt:lpstr>
      <vt:lpstr>ΦRnweld</vt:lpstr>
      <vt:lpstr>ΦRnweld_bot</vt:lpstr>
      <vt:lpstr>ΦRnweld_h_bot</vt:lpstr>
      <vt:lpstr>ΦRnweld_h_top</vt:lpstr>
      <vt:lpstr>ΦRnweld_tens</vt:lpstr>
      <vt:lpstr>ΦRnweld_tens_bot</vt:lpstr>
      <vt:lpstr>ΦRnweld_tens_top</vt:lpstr>
      <vt:lpstr>ΦRnweld_top</vt:lpstr>
      <vt:lpstr>Φtr</vt:lpstr>
      <vt:lpstr>Φty</vt:lpstr>
      <vt:lpstr>ΦUbolt</vt:lpstr>
      <vt:lpstr>Φv</vt:lpstr>
      <vt:lpstr>Φw</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Prust, Mitchell</dc:creator>
  <cp:lastModifiedBy>Miller, Ian</cp:lastModifiedBy>
  <cp:lastPrinted>2021-04-30T13:45:42Z</cp:lastPrinted>
  <dcterms:created xsi:type="dcterms:W3CDTF">2006-09-16T00:00:00Z</dcterms:created>
  <dcterms:modified xsi:type="dcterms:W3CDTF">2023-05-03T23:22:52Z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0x010100F380F7FA71A2D146BFD10E51870C24B2</vt:lpwstr>
  </property>
</Properties>
</file>