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MRudolph\C Drive Testing\EDS Testing\CCIpole\"/>
    </mc:Choice>
  </mc:AlternateContent>
  <xr:revisionPtr revIDLastSave="0" documentId="13_ncr:1_{D0D65FE9-2309-4AFA-9A68-37C7D0BE4FCA}" xr6:coauthVersionLast="47" xr6:coauthVersionMax="47" xr10:uidLastSave="{00000000-0000-0000-0000-000000000000}"/>
  <bookViews>
    <workbookView xWindow="57480" yWindow="-1245"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Ranges'!$U$1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_1" localSheetId="10">'Raw TNX File'!$A$1:$A$4527</definedName>
    <definedName name="Old_TNX_File_2" localSheetId="10">'Raw TNX File'!$A$1:$A$4527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1" i="52" l="1"/>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DT61" i="32" s="1"/>
  <c r="GT61" i="32" s="1"/>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M65" i="32"/>
  <c r="GN65" i="32" s="1"/>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M69" i="32"/>
  <c r="GN69" i="32" s="1"/>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M71" i="32"/>
  <c r="GN71" i="32" s="1"/>
  <c r="CJ70" i="32"/>
  <c r="CL70" i="32" s="1"/>
  <c r="BL70" i="32"/>
  <c r="GL71" i="32"/>
  <c r="DN71" i="32"/>
  <c r="CU70" i="32"/>
  <c r="EC68" i="32"/>
  <c r="GK64" i="32"/>
  <c r="GI62" i="32"/>
  <c r="DP61" i="32"/>
  <c r="GP61" i="32" s="1"/>
  <c r="X70" i="32"/>
  <c r="AL65" i="32"/>
  <c r="DO61" i="32"/>
  <c r="GO61" i="32" s="1"/>
  <c r="GM68" i="32"/>
  <c r="GN68" i="32" s="1"/>
  <c r="GL68" i="32"/>
  <c r="CV62" i="32"/>
  <c r="GK61" i="32"/>
  <c r="ES62" i="32" l="1"/>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M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DQ74" i="32"/>
  <c r="GQ74" i="32" s="1"/>
  <c r="AE9" i="25"/>
  <c r="AE10" i="25"/>
  <c r="AE11" i="25"/>
  <c r="AE12" i="25"/>
  <c r="AE13" i="25"/>
  <c r="AE14" i="25"/>
  <c r="AE15" i="25"/>
  <c r="AE16" i="25"/>
  <c r="AE17" i="25"/>
  <c r="DV74" i="32" l="1"/>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GM11" i="32"/>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X56" i="32"/>
  <c r="BW8" i="32"/>
  <c r="BX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4"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<sst xmlns="http://schemas.openxmlformats.org/spreadsheetml/2006/main" count="7262" uniqueCount="3260">
  <si>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</si>
  <si>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</si>
  <si>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</si>
  <si>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</si>
  <si>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</si>
  <si>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</si>
  <si>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</si>
  <si>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</si>
  <si>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</si>
  <si>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</si>
  <si>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</si>
  <si>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</si>
  <si>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</si>
  <si>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</si>
  <si>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</si>
  <si>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</si>
  <si>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</si>
  <si>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</si>
  <si>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</si>
  <si>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</si>
  <si>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</si>
  <si>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</si>
  <si>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</si>
  <si>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</si>
  <si>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</si>
  <si>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</si>
  <si>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</si>
  <si>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</si>
  <si>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</si>
  <si>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</si>
  <si>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</si>
  <si>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</si>
  <si>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</si>
  <si>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</si>
  <si>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</si>
  <si>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</si>
  <si>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</si>
  <si>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</si>
  <si>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</si>
  <si>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</si>
  <si>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</si>
  <si>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</si>
  <si>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</si>
  <si>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</si>
  <si>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</si>
  <si>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</si>
  <si>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</si>
  <si>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</si>
  <si>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</si>
  <si>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</si>
  <si>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</si>
  <si>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</si>
  <si>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</si>
  <si>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</si>
  <si>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</si>
  <si>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</si>
  <si>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</si>
  <si>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</si>
  <si>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</si>
  <si>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</si>
  <si>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</si>
  <si>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</si>
  <si>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</si>
  <si>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</si>
  <si>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</si>
  <si>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</si>
  <si>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</si>
  <si>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</si>
  <si>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</si>
  <si>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</si>
  <si>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</si>
  <si>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</si>
  <si>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</si>
  <si>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</si>
  <si>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</si>
  <si>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</si>
  <si>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</si>
  <si>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</si>
  <si>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</si>
  <si>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</si>
  <si>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</si>
  <si>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</si>
  <si>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</si>
  <si>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</si>
  <si>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</si>
  <si>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</si>
  <si>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</si>
  <si>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</si>
  <si>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</si>
  <si>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</si>
  <si>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</si>
  <si>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</si>
  <si>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</si>
  <si>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</si>
  <si>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</si>
  <si>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</si>
  <si>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</si>
  <si>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</si>
  <si>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</si>
  <si>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</si>
  <si>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</si>
  <si>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</si>
  <si>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</si>
  <si>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</si>
  <si>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</si>
  <si>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</si>
  <si>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</si>
  <si>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</si>
  <si>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</si>
  <si>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</si>
  <si>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</si>
  <si>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</si>
  <si>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</si>
  <si>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</si>
  <si>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</si>
  <si>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</si>
  <si>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</si>
  <si>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</si>
  <si>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</si>
  <si>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</si>
  <si>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</si>
  <si>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</si>
  <si>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</si>
  <si>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</si>
  <si>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</si>
  <si>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</si>
  <si>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</si>
  <si>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</si>
  <si>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</si>
  <si>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</si>
  <si>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</si>
  <si>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</si>
  <si>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</si>
  <si>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</si>
  <si>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</si>
  <si>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</si>
  <si>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</si>
  <si>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</si>
  <si>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</si>
  <si>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</si>
  <si>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</si>
  <si>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</si>
  <si>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</si>
  <si>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</si>
  <si>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</si>
  <si>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</si>
  <si>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</si>
  <si>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</si>
  <si>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</si>
  <si>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</si>
  <si>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</si>
  <si>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</si>
  <si>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</si>
  <si>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</si>
  <si>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</si>
  <si>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</si>
  <si>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</si>
  <si>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</si>
  <si>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</si>
  <si>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</si>
  <si>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</si>
  <si>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</si>
  <si>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</si>
  <si>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</si>
  <si>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</si>
  <si>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</si>
  <si>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</si>
  <si>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</si>
  <si>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</si>
  <si>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</si>
  <si>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</si>
  <si>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</si>
  <si>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</si>
  <si>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</si>
  <si>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</si>
  <si>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</si>
  <si>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</si>
  <si>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</si>
  <si>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</si>
  <si>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</si>
  <si>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</si>
  <si>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</si>
  <si>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</si>
  <si>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</si>
  <si>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</si>
  <si>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</si>
  <si>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</si>
  <si>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</si>
  <si>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</si>
  <si>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</si>
  <si>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</si>
  <si>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</si>
  <si>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</si>
  <si>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</si>
  <si>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</si>
  <si>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</si>
  <si>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</si>
  <si>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</si>
  <si>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</si>
  <si>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</si>
  <si>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</si>
  <si>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</si>
  <si>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</si>
  <si>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</si>
  <si>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</si>
  <si>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</si>
  <si>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</si>
  <si>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</si>
  <si>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</si>
  <si>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</si>
  <si>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</si>
  <si>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</si>
  <si>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</si>
  <si>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</si>
  <si>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</si>
  <si>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</si>
  <si>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</si>
  <si>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</si>
  <si>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</si>
  <si>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</si>
  <si>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</si>
  <si>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</si>
  <si>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</si>
  <si>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</si>
  <si>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</si>
  <si>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</si>
  <si>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</si>
  <si>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</si>
  <si>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</si>
  <si>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</si>
  <si>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</si>
  <si>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</si>
  <si>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</si>
  <si>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</si>
  <si>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</si>
  <si>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</si>
  <si>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</si>
  <si>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</si>
  <si>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</si>
  <si>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</si>
  <si>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</si>
  <si>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</si>
  <si>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</si>
  <si>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</si>
  <si>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</si>
  <si>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</si>
  <si>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</si>
  <si>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</si>
  <si>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</si>
  <si>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</si>
  <si>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</si>
  <si>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</si>
  <si>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</si>
  <si>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</si>
  <si>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</si>
  <si>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</si>
  <si>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</si>
  <si>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</si>
  <si>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</si>
  <si>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</si>
  <si>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</si>
  <si>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</si>
  <si>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</si>
  <si>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</si>
  <si>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</si>
  <si>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</si>
  <si>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</si>
  <si>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</si>
  <si>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</si>
  <si>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</si>
  <si>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</si>
  <si>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</si>
  <si>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</si>
  <si>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</si>
  <si>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</si>
  <si>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</si>
  <si>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</si>
  <si>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</si>
  <si>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</si>
  <si>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</si>
  <si>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</si>
  <si>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</si>
  <si>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</si>
  <si>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</si>
  <si>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</si>
  <si>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</si>
  <si>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</si>
  <si>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</si>
  <si>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</si>
  <si>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</si>
  <si>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</si>
  <si>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</si>
  <si>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</si>
  <si>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</si>
  <si>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</si>
  <si>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</si>
  <si>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</si>
  <si>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</si>
  <si>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</si>
  <si>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</si>
  <si>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</si>
  <si>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</si>
  <si>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</si>
  <si>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</si>
  <si>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</si>
  <si>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</si>
  <si>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</si>
  <si>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</si>
  <si>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</si>
  <si>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</si>
  <si>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</si>
  <si>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</si>
  <si>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</si>
  <si>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</si>
  <si>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</si>
  <si>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</si>
  <si>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</si>
  <si>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</si>
  <si>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</si>
  <si>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</si>
  <si>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</si>
  <si>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</si>
  <si>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</si>
  <si>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</si>
  <si>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</si>
  <si>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</si>
  <si>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</si>
  <si>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</si>
  <si>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</si>
  <si>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</si>
  <si>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</si>
  <si>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</si>
  <si>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</si>
  <si>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</si>
  <si>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</si>
  <si>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</si>
  <si>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</si>
  <si>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</si>
  <si>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</si>
  <si>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</si>
  <si>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</si>
  <si>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</si>
  <si>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</si>
  <si>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</si>
  <si>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</si>
  <si>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</si>
  <si>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</si>
  <si>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</si>
  <si>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</si>
  <si>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</si>
  <si>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</si>
  <si>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</si>
  <si>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</si>
  <si>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</si>
  <si>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</si>
  <si>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</si>
  <si>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</si>
  <si>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</si>
  <si>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</si>
  <si>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</si>
  <si>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</si>
  <si>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</si>
  <si>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</si>
  <si>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</si>
  <si>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</si>
  <si>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</si>
  <si>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</si>
  <si>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</si>
  <si>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</si>
  <si>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</si>
  <si>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</si>
  <si>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</si>
  <si>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</si>
  <si>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</si>
  <si>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</si>
  <si>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</si>
  <si>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</si>
  <si>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</si>
  <si>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</si>
  <si>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</si>
  <si>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</si>
  <si>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</si>
  <si>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</si>
  <si>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</si>
  <si>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</si>
  <si>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</si>
  <si>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</si>
  <si>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</si>
  <si>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</si>
  <si>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</si>
  <si>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</si>
  <si>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</si>
  <si>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</si>
  <si>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</si>
  <si>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</si>
  <si>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</si>
  <si>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</si>
  <si>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</si>
  <si>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</si>
  <si>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</si>
  <si>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</si>
  <si>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</si>
  <si>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</si>
  <si>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</si>
  <si>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</si>
  <si>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</si>
  <si>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</si>
  <si>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</si>
  <si>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</si>
  <si>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</si>
  <si>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</si>
  <si>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</si>
  <si>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</si>
  <si>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</si>
  <si>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</si>
  <si>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</si>
  <si>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</si>
  <si>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</si>
  <si>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</si>
  <si>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</si>
  <si>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</si>
  <si>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</si>
  <si>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</si>
  <si>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</si>
  <si>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</si>
  <si>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</si>
  <si>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</si>
  <si>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</si>
  <si>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</si>
  <si>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</si>
  <si>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</si>
  <si>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</si>
  <si>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</si>
  <si>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</si>
  <si>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</si>
  <si>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</si>
  <si>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</si>
  <si>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</si>
  <si>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</si>
  <si>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</si>
  <si>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</si>
  <si>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</si>
  <si>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</si>
  <si>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</si>
  <si>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</si>
  <si>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</si>
  <si>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</si>
  <si>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</si>
  <si>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</si>
  <si>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</si>
  <si>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</si>
  <si>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</si>
  <si>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</si>
  <si>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</si>
  <si>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</si>
  <si>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</si>
  <si>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</si>
  <si>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</si>
  <si>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</si>
  <si>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</si>
  <si>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</si>
  <si>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</si>
  <si>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</si>
  <si>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</si>
  <si>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</si>
  <si>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</si>
  <si>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</si>
  <si>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</si>
  <si>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</si>
  <si>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</si>
  <si>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</si>
  <si>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</si>
  <si>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</si>
  <si>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</si>
  <si>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</si>
  <si>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</si>
  <si>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</si>
  <si>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</si>
  <si>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</si>
  <si>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</si>
  <si>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</si>
  <si>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</si>
  <si>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</si>
  <si>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</si>
  <si>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</si>
  <si>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</si>
  <si>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</si>
  <si>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</si>
  <si>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</si>
  <si>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</si>
  <si>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</si>
  <si>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</si>
  <si>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</si>
  <si>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</si>
  <si>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</si>
  <si>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</si>
  <si>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</si>
  <si>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</si>
  <si>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</si>
  <si>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</si>
  <si>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</si>
  <si>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</si>
  <si>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</si>
  <si>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</si>
  <si>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</si>
  <si>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</si>
  <si>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</si>
  <si>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</si>
  <si>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</si>
  <si>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</si>
  <si>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</si>
  <si>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</si>
  <si>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</si>
  <si>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</si>
  <si>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</si>
  <si>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</si>
  <si>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</si>
  <si>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</si>
  <si>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</si>
  <si>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</si>
  <si>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</si>
  <si>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</si>
  <si>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</si>
  <si>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</si>
  <si>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</si>
  <si>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</si>
  <si>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</si>
  <si>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</si>
  <si>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</si>
  <si>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</si>
  <si>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</si>
  <si>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</si>
  <si>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</si>
  <si>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</si>
  <si>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</si>
  <si>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</si>
  <si>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</si>
  <si>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</si>
  <si>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</si>
  <si>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</si>
  <si>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</si>
  <si>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</si>
  <si>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</si>
  <si>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</si>
  <si>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</si>
  <si>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</si>
  <si>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</si>
  <si>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</si>
  <si>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</si>
  <si>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</si>
  <si>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</si>
  <si>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</si>
  <si>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</si>
  <si>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</si>
  <si>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</si>
  <si>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</si>
  <si>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</si>
  <si>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</si>
  <si>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</si>
  <si>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</si>
  <si>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</si>
  <si>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</si>
  <si>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</si>
  <si>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</si>
  <si>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</si>
  <si>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</si>
  <si>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</si>
  <si>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</si>
  <si>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</si>
  <si>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</si>
  <si>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</si>
  <si>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</si>
  <si>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</si>
  <si>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</si>
  <si>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</si>
  <si>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</si>
  <si>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</si>
  <si>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</si>
  <si>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</si>
  <si>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</si>
  <si>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</si>
  <si>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</si>
  <si>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</si>
  <si>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</si>
  <si>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</si>
  <si>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</si>
  <si>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</si>
  <si>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</si>
  <si>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</si>
  <si>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</si>
  <si>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</si>
  <si>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</si>
  <si>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</si>
  <si>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</si>
  <si>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</si>
  <si>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</si>
  <si>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</si>
  <si>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</si>
  <si>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</si>
  <si>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</si>
  <si>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</si>
  <si>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</si>
  <si>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</si>
  <si>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</si>
  <si>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</si>
  <si>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</si>
  <si>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</si>
  <si>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</si>
  <si>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</si>
  <si>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</si>
  <si>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</si>
  <si>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</si>
  <si>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</si>
  <si>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</si>
  <si>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</si>
  <si>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</si>
  <si>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</si>
  <si>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</si>
  <si>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</si>
  <si>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</si>
  <si>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</si>
  <si>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</si>
  <si>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</si>
  <si>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</si>
  <si>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</si>
  <si>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</si>
  <si>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</si>
  <si>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</si>
  <si>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</si>
  <si>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</si>
  <si>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</si>
  <si>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</si>
  <si>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</si>
  <si>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</si>
  <si>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</si>
  <si>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</si>
  <si>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</si>
  <si>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</si>
  <si>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</si>
  <si>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</si>
  <si>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</si>
  <si>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</si>
  <si>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</si>
  <si>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</si>
  <si>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</si>
  <si>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</si>
  <si>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</si>
  <si>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</si>
  <si>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</si>
  <si>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</si>
  <si>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</si>
  <si>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</si>
  <si>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</si>
  <si>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</si>
  <si>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</si>
  <si>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</si>
  <si>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</si>
  <si>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</si>
  <si>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</si>
  <si>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</si>
  <si>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</si>
  <si>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</si>
  <si>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</si>
  <si>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</si>
  <si>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</si>
  <si>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</si>
  <si>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</si>
  <si>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</si>
  <si>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</si>
  <si>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</si>
  <si>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</si>
  <si>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</si>
  <si>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</si>
  <si>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</si>
  <si>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</si>
  <si>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</si>
  <si>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</si>
  <si>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</si>
  <si>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</si>
  <si>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</si>
  <si>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</si>
  <si>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</si>
  <si>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</si>
  <si>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</si>
  <si>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</si>
  <si>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</si>
  <si>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</si>
  <si>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</si>
  <si>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</si>
  <si>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</si>
  <si>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</si>
  <si>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</si>
  <si>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</si>
  <si>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</si>
  <si>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</si>
  <si>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</si>
  <si>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</si>
  <si>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</si>
  <si>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</si>
  <si>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</si>
  <si>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</si>
  <si>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</si>
  <si>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</si>
  <si>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</si>
  <si>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</si>
  <si>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</si>
  <si>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</si>
  <si>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</si>
  <si>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</si>
  <si>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</si>
  <si>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</si>
  <si>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</si>
  <si>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</si>
  <si>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</si>
  <si>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</si>
  <si>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</si>
  <si>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</si>
  <si>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</si>
  <si>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</si>
  <si>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</si>
  <si>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</si>
  <si>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</si>
  <si>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</si>
  <si>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</si>
  <si>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</si>
  <si>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</si>
  <si>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</si>
  <si>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</si>
  <si>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</si>
  <si>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</si>
  <si>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</si>
  <si>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</si>
  <si>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</si>
  <si>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</si>
  <si>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</si>
  <si>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</si>
  <si>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</si>
  <si>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</si>
  <si>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</si>
  <si>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</si>
  <si>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</si>
  <si>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</si>
  <si>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</si>
  <si>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</si>
  <si>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</si>
  <si>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</si>
  <si>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</si>
  <si>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</si>
  <si>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</si>
  <si>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</si>
  <si>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</si>
  <si>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</si>
  <si>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</si>
  <si>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</si>
  <si>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</si>
  <si>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</si>
  <si>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</si>
  <si>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</si>
  <si>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</si>
  <si>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</si>
  <si>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</si>
  <si>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</si>
  <si>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</si>
  <si>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</si>
  <si>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</si>
  <si>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</si>
  <si>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</si>
  <si>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</si>
  <si>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</si>
  <si>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</si>
  <si>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</si>
  <si>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</si>
  <si>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</si>
  <si>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</si>
  <si>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</si>
  <si>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</si>
  <si>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</si>
  <si>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</si>
  <si>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</si>
  <si>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</si>
  <si>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</si>
  <si>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</si>
  <si>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</si>
  <si>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</si>
  <si>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</si>
  <si>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</si>
  <si>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</si>
  <si>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</si>
  <si>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</si>
  <si>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</si>
  <si>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</si>
  <si>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</si>
  <si>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</si>
  <si>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</si>
  <si>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</si>
  <si>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</si>
  <si>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</si>
  <si>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</si>
  <si>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</si>
  <si>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</si>
  <si>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</si>
  <si>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</si>
  <si>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</si>
  <si>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</si>
  <si>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</si>
  <si>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</si>
  <si>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</si>
  <si>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</si>
  <si>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</si>
  <si>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</si>
  <si>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</si>
  <si>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</si>
  <si>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</si>
  <si>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</si>
  <si>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</si>
  <si>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</si>
  <si>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</si>
  <si>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</si>
  <si>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</si>
  <si>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</si>
  <si>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</si>
  <si>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</si>
  <si>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</si>
  <si>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</si>
  <si>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</si>
  <si>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</si>
  <si>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</si>
  <si>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</si>
  <si>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</si>
  <si>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</si>
  <si>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</si>
  <si>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</si>
  <si>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</si>
  <si>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</si>
  <si>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</si>
  <si>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</si>
  <si>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</si>
  <si>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</si>
  <si>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</si>
  <si>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</si>
  <si>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</si>
  <si>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</si>
  <si>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</si>
  <si>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</si>
  <si>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</si>
  <si>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</si>
  <si>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</si>
  <si>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</si>
  <si>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</si>
  <si>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</si>
  <si>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</si>
  <si>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</si>
  <si>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</si>
  <si>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</si>
  <si>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</si>
  <si>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</si>
  <si>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</si>
  <si>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</si>
  <si>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</si>
  <si>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</si>
  <si>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</si>
  <si>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</si>
  <si>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</si>
  <si>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</si>
  <si>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</si>
  <si>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</si>
  <si>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</si>
  <si>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</si>
  <si>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</si>
  <si>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</si>
  <si>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</si>
  <si>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</si>
  <si>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</si>
  <si>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</si>
  <si>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</si>
  <si>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</si>
  <si>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</si>
  <si>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</si>
  <si>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</si>
  <si>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</si>
  <si>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</si>
  <si>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</si>
  <si>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</si>
  <si>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</si>
  <si>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</si>
  <si>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</si>
  <si>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</si>
  <si>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</si>
  <si>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</si>
  <si>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</si>
  <si>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</si>
  <si>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</si>
  <si>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</si>
  <si>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</si>
  <si>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</si>
  <si>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</si>
  <si>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</si>
  <si>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</si>
  <si>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</si>
  <si>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</si>
  <si>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</si>
  <si>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</si>
  <si>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</si>
  <si>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</si>
  <si>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</si>
  <si>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</si>
  <si>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</si>
  <si>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</si>
  <si>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</si>
  <si>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</si>
  <si>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</si>
  <si>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</si>
  <si>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</si>
  <si>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</si>
  <si>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</si>
  <si>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</si>
  <si>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</si>
  <si>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</si>
  <si>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</si>
  <si>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</si>
  <si>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</si>
  <si>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</si>
  <si>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</si>
  <si>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</si>
  <si>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</si>
  <si>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</si>
  <si>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</si>
  <si>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</si>
  <si>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</si>
  <si>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</si>
  <si>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</si>
  <si>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</si>
  <si>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</si>
  <si>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</si>
  <si>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</si>
  <si>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</si>
  <si>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</si>
  <si>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</si>
  <si>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</si>
  <si>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</si>
  <si>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</si>
  <si>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</si>
  <si>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</si>
  <si>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</si>
  <si>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</si>
  <si>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</si>
  <si>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</si>
  <si>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</si>
  <si>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</si>
  <si>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</si>
  <si>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</si>
  <si>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</si>
  <si>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</si>
  <si>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</si>
  <si>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</si>
  <si>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</si>
  <si>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</si>
  <si>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</si>
  <si>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</si>
  <si>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</si>
  <si>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</si>
  <si>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</si>
  <si>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</si>
  <si>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</si>
  <si>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</si>
  <si>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</si>
  <si>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</si>
  <si>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</si>
  <si>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</si>
  <si>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</si>
  <si>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</si>
  <si>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</si>
  <si>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</si>
  <si>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</si>
  <si>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</si>
  <si>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</si>
  <si>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</si>
  <si>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</si>
  <si>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</si>
  <si>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</si>
  <si>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</si>
  <si>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</si>
  <si>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</si>
  <si>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</si>
  <si>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</si>
  <si>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</si>
  <si>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</si>
  <si>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</si>
  <si>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</si>
  <si>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</si>
  <si>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</si>
  <si>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</si>
  <si>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</si>
  <si>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</si>
  <si>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</si>
  <si>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</si>
  <si>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</si>
  <si>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</si>
  <si>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</si>
  <si>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</si>
  <si>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</si>
  <si>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</si>
  <si>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</si>
  <si>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</si>
  <si>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</si>
  <si>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</si>
  <si>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</si>
  <si>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</si>
  <si>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</si>
  <si>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</si>
  <si>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</si>
  <si>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</si>
  <si>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</si>
  <si>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</si>
  <si>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</si>
  <si>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</si>
  <si>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</si>
  <si>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</si>
  <si>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</si>
  <si>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</si>
  <si>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</si>
  <si>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</si>
  <si>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</si>
  <si>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</si>
  <si>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</si>
  <si>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</si>
  <si>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</si>
  <si>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</si>
  <si>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</si>
  <si>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</si>
  <si>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</si>
  <si>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</si>
  <si>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</si>
  <si>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</si>
  <si>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</si>
  <si>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</si>
  <si>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</si>
  <si>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</si>
  <si>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</si>
  <si>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</si>
  <si>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</si>
  <si>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</si>
  <si>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</si>
  <si>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</si>
  <si>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</si>
  <si>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</si>
  <si>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</si>
  <si>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</si>
  <si>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</si>
  <si>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</si>
  <si>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</si>
  <si>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</si>
  <si>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</si>
  <si>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</si>
  <si>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</si>
  <si>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</si>
  <si>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</si>
  <si>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</si>
  <si>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</si>
  <si>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</si>
  <si>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</si>
  <si>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</si>
  <si>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</si>
  <si>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</si>
  <si>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</si>
  <si>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</si>
  <si>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</si>
  <si>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</si>
  <si>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</si>
  <si>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</si>
  <si>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</si>
  <si>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</si>
  <si>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</si>
  <si>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</si>
  <si>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</si>
  <si>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</si>
  <si>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</si>
  <si>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</si>
  <si>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</si>
  <si>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</si>
  <si>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</si>
  <si>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</si>
  <si>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</si>
  <si>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</si>
  <si>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</si>
  <si>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</si>
  <si>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</si>
  <si>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</si>
  <si>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</si>
  <si>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</si>
  <si>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</si>
  <si>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</si>
  <si>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</si>
  <si>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</si>
  <si>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</si>
  <si>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</si>
  <si>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</si>
  <si>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</si>
  <si>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</si>
  <si>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</si>
  <si>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</si>
  <si>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</si>
  <si>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</si>
  <si>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</si>
  <si>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</si>
  <si>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</si>
  <si>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</si>
  <si>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</si>
  <si>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</si>
  <si>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</si>
  <si>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</si>
  <si>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</si>
  <si>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</si>
  <si>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</si>
  <si>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</si>
  <si>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</si>
  <si>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</si>
  <si>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</si>
  <si>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</si>
  <si>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</si>
  <si>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</si>
  <si>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</si>
  <si>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</si>
  <si>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</si>
  <si>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</si>
  <si>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</si>
  <si>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</si>
  <si>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</si>
  <si>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</si>
  <si>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</si>
  <si>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</si>
  <si>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</si>
  <si>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</si>
  <si>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</si>
  <si>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</si>
  <si>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</si>
  <si>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</si>
  <si>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</si>
  <si>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</si>
  <si>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</si>
  <si>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</si>
  <si>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</si>
  <si>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</si>
  <si>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</si>
  <si>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</si>
  <si>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</si>
  <si>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</si>
  <si>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</si>
  <si>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</si>
  <si>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</si>
  <si>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</si>
  <si>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</si>
  <si>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</si>
  <si>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</si>
  <si>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</si>
  <si>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</si>
  <si>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</si>
  <si>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</si>
  <si>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</si>
  <si>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</si>
  <si>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</si>
  <si>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</si>
  <si>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</si>
  <si>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</si>
  <si>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</si>
  <si>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</si>
  <si>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</si>
  <si>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</si>
  <si>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</si>
  <si>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</si>
  <si>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</si>
  <si>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</si>
  <si>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</si>
  <si>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</si>
  <si>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</si>
  <si>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</si>
  <si>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</si>
  <si>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</si>
  <si>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</si>
  <si>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</si>
  <si>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</si>
  <si>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</si>
  <si>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</si>
  <si>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</si>
  <si>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</si>
  <si>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</si>
  <si>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</si>
  <si>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</si>
  <si>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</si>
  <si>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</si>
  <si>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</si>
  <si>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</si>
  <si>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</si>
  <si>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</si>
  <si>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</si>
  <si>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</si>
  <si>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</si>
  <si>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</si>
  <si>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</si>
  <si>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</si>
  <si>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</si>
  <si>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</si>
  <si>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</si>
  <si>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</si>
  <si>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</si>
  <si>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</si>
  <si>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</si>
  <si>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</si>
  <si>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</si>
  <si>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</si>
  <si>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</si>
  <si>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</si>
  <si>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</si>
  <si>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</si>
  <si>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</si>
  <si>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</si>
  <si>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</si>
  <si>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</si>
  <si>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</si>
  <si>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</si>
  <si>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</si>
  <si>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</si>
  <si>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</si>
  <si>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</si>
  <si>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</si>
  <si>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</si>
  <si>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</si>
  <si>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</si>
  <si>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</si>
  <si>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</si>
  <si>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</si>
  <si>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</si>
  <si>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</si>
  <si>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</si>
  <si>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</si>
  <si>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</si>
  <si>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</si>
  <si>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</si>
  <si>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</si>
  <si>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</si>
  <si>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</si>
  <si>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</si>
  <si>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</si>
  <si>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</si>
  <si>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</si>
  <si>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</si>
  <si>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</si>
  <si>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</si>
  <si>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</si>
  <si>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</si>
  <si>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</si>
  <si>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</si>
  <si>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</si>
  <si>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</si>
  <si>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</si>
  <si>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</si>
  <si>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</si>
  <si>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</si>
  <si>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</si>
  <si>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</si>
  <si>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</si>
  <si>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</si>
  <si>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</si>
  <si>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</si>
  <si>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</si>
  <si>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</si>
  <si>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</si>
  <si>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</si>
  <si>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</si>
  <si>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</si>
  <si>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</si>
  <si>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</si>
  <si>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</si>
  <si>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</si>
  <si>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</si>
  <si>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</si>
  <si>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</si>
  <si>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</si>
  <si>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</si>
  <si>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</si>
  <si>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</si>
  <si>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</si>
  <si>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</si>
  <si>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</si>
  <si>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</si>
  <si>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</si>
  <si>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</si>
  <si>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</si>
  <si>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</si>
  <si>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</si>
  <si>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</si>
  <si>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</si>
  <si>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</si>
  <si>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</si>
  <si>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</si>
  <si>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</si>
  <si>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</si>
  <si>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</si>
  <si>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</si>
  <si>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</si>
  <si>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</si>
  <si>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</si>
  <si>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</si>
  <si>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</si>
  <si>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</si>
  <si>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</si>
  <si>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</si>
  <si>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</si>
  <si>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</si>
  <si>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</si>
  <si>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</si>
  <si>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</si>
  <si>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</si>
  <si>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</si>
  <si>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</si>
  <si>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</si>
  <si>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</si>
  <si>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</si>
  <si>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</si>
  <si>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</si>
  <si>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</si>
  <si>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</si>
  <si>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</si>
  <si>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</si>
  <si>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</si>
  <si>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</si>
  <si>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</si>
  <si>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</si>
  <si>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</si>
  <si>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</si>
  <si>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</si>
  <si>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</si>
  <si>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</si>
  <si>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</si>
  <si>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</si>
  <si>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</si>
  <si>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</si>
  <si>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</si>
  <si>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</si>
  <si>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</si>
  <si>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</si>
  <si>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</si>
  <si>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</si>
  <si>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</si>
  <si>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</si>
  <si>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</si>
  <si>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</si>
  <si>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</si>
  <si>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</si>
  <si>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</si>
  <si>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</si>
  <si>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</si>
  <si>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</si>
  <si>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</si>
  <si>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</si>
  <si>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</si>
  <si>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</si>
  <si>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</si>
  <si>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</si>
  <si>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</si>
  <si>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</si>
  <si>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</si>
  <si>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</si>
  <si>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</si>
  <si>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</si>
  <si>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</si>
  <si>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</si>
  <si>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</si>
  <si>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</si>
  <si>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</si>
  <si>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</si>
  <si>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</si>
  <si>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</si>
  <si>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</si>
  <si>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</si>
  <si>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</si>
  <si>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</si>
  <si>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</si>
  <si>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</si>
  <si>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</si>
  <si>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</si>
  <si>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</si>
  <si>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</si>
  <si>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</si>
  <si>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</si>
  <si>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</si>
  <si>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</si>
  <si>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</si>
  <si>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</si>
  <si>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</si>
  <si>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</si>
  <si>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</si>
  <si>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</si>
  <si>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</si>
  <si>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</si>
  <si>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</si>
  <si>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</si>
  <si>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</si>
  <si>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</si>
  <si>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</si>
  <si>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</si>
  <si>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</si>
  <si>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</si>
  <si>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</si>
  <si>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</si>
  <si>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</si>
  <si>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</si>
  <si>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</si>
  <si>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</si>
  <si>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</si>
  <si>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</si>
  <si>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</si>
  <si>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</si>
  <si>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</si>
  <si>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</si>
  <si>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</si>
  <si>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</si>
  <si>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</si>
  <si>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</si>
  <si>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</si>
  <si>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</si>
  <si>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</si>
  <si>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</si>
  <si>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</si>
  <si>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</si>
  <si>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</si>
  <si>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</si>
  <si>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</si>
  <si>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</si>
  <si>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</si>
  <si>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</si>
  <si>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</si>
  <si>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</si>
  <si>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</si>
  <si>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</si>
  <si>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</si>
  <si>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</si>
  <si>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</si>
  <si>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</si>
  <si>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</si>
  <si>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</si>
  <si>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</si>
  <si>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</si>
  <si>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</si>
  <si>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</si>
  <si>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</si>
  <si>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</si>
  <si>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</si>
  <si>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</si>
  <si>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</si>
  <si>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</si>
  <si>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</si>
  <si>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</si>
  <si>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</si>
  <si>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</si>
  <si>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</si>
  <si>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</si>
  <si>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</si>
  <si>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</si>
  <si>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</si>
  <si>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</si>
  <si>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</si>
  <si>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</si>
  <si>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</si>
  <si>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</si>
  <si>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</si>
  <si>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</si>
  <si>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</si>
  <si>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</si>
  <si>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</si>
  <si>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</si>
  <si>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</si>
  <si>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</si>
  <si>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</si>
  <si>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</si>
  <si>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</si>
  <si>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</si>
  <si>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</si>
  <si>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</si>
  <si>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</si>
  <si>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</si>
  <si>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</si>
  <si>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</si>
  <si>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</si>
  <si>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</si>
  <si>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</si>
  <si>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</si>
  <si>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</si>
  <si>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</si>
  <si>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</si>
  <si>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</si>
  <si>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</si>
  <si>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</si>
  <si>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</si>
  <si>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</si>
  <si>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</si>
  <si>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</si>
  <si>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</si>
  <si>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</si>
  <si>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</si>
  <si>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</si>
  <si>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</si>
  <si>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</si>
  <si>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</si>
  <si>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</si>
  <si>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</si>
  <si>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</si>
  <si>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</si>
  <si>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</si>
  <si>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</si>
  <si>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</si>
  <si>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</si>
  <si>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</si>
  <si>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</si>
  <si>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</si>
  <si>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</si>
  <si>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</si>
  <si>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</si>
  <si>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</si>
  <si>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</si>
  <si>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</si>
  <si>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</si>
  <si>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</si>
  <si>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</si>
  <si>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</si>
  <si>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</si>
  <si>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</si>
  <si>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</si>
  <si>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</si>
  <si>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</si>
  <si>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</si>
  <si>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</si>
  <si>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</si>
  <si>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</si>
  <si>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</si>
  <si>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</si>
  <si>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</si>
  <si>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</si>
  <si>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</si>
  <si>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</si>
  <si>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</si>
  <si>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</si>
  <si>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</si>
  <si>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</si>
  <si>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</si>
  <si>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</si>
  <si>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</si>
  <si>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</si>
  <si>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</si>
  <si>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</si>
  <si>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</si>
  <si>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</si>
  <si>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</si>
  <si>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</si>
  <si>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</si>
  <si>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</si>
  <si>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</si>
  <si>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</si>
  <si>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</si>
  <si>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</si>
  <si>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</si>
  <si>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</si>
  <si>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</si>
  <si>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</si>
  <si>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</si>
  <si>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</si>
  <si>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</si>
  <si>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</si>
  <si>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</si>
  <si>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</si>
  <si>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</si>
  <si>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</si>
  <si>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</si>
  <si>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</si>
  <si>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</si>
  <si>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</si>
  <si>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</si>
  <si>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</si>
  <si>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</si>
  <si>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</si>
  <si>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</si>
  <si>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</si>
  <si>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</si>
  <si>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</si>
  <si>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</si>
  <si>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</si>
  <si>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</si>
  <si>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</si>
  <si>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</si>
  <si>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</si>
  <si>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</si>
  <si>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</si>
  <si>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</si>
  <si>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</si>
  <si>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</si>
  <si>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</si>
  <si>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</si>
  <si>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</si>
  <si>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</si>
  <si>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</si>
  <si>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</si>
  <si>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</si>
  <si>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</si>
  <si>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</si>
  <si>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</si>
  <si>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</si>
  <si>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</si>
  <si>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</si>
  <si>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</si>
  <si>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</si>
  <si>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</si>
  <si>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</si>
  <si>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</si>
  <si>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</si>
  <si>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</si>
  <si>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</si>
  <si>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</si>
  <si>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</si>
  <si>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</si>
  <si>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</si>
  <si>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</si>
  <si>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</si>
  <si>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</si>
  <si>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</si>
  <si>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</si>
  <si>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</si>
  <si>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</si>
  <si>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</si>
  <si>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</si>
  <si>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</si>
  <si>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</si>
  <si>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</si>
  <si>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</si>
  <si>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</si>
  <si>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</si>
  <si>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</si>
  <si>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</si>
  <si>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</si>
  <si>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</si>
  <si>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</si>
  <si>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</si>
  <si>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</si>
  <si>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</si>
  <si>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</si>
  <si>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</si>
  <si>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</si>
  <si>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</si>
  <si>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</si>
  <si>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</si>
  <si>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</si>
  <si>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</si>
  <si>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</si>
  <si>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</si>
  <si>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</si>
  <si>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</si>
  <si>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</si>
  <si>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</si>
  <si>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</si>
  <si>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</si>
  <si>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</si>
  <si>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</si>
  <si>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</si>
  <si>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</si>
  <si>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</si>
  <si>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</si>
  <si>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</si>
  <si>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</si>
  <si>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</si>
  <si>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</si>
  <si>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</si>
  <si>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</si>
  <si>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</si>
  <si>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</si>
  <si>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</si>
  <si>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</si>
  <si>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</si>
  <si>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</si>
  <si>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</si>
  <si>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</si>
  <si>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</si>
  <si>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</si>
  <si>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</si>
  <si>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</si>
  <si>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</si>
  <si>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</si>
  <si>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</si>
  <si>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</si>
  <si>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</si>
  <si>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</si>
  <si>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</si>
  <si>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</si>
  <si>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</si>
  <si>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</si>
  <si>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</si>
  <si>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</si>
  <si>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</si>
  <si>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</si>
  <si>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</si>
  <si>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</si>
  <si>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</si>
  <si>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</si>
  <si>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</si>
  <si>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</si>
  <si>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</si>
  <si>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</si>
  <si>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</si>
  <si>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</si>
  <si>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</si>
  <si>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</si>
  <si>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</si>
  <si>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</si>
  <si>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</si>
  <si>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</si>
  <si>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</si>
  <si>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</si>
  <si>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</si>
  <si>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</si>
  <si>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</si>
  <si>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</si>
  <si>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</si>
  <si>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</si>
  <si>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</si>
  <si>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</si>
  <si>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</si>
  <si>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</si>
  <si>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</si>
  <si>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</si>
  <si>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</si>
  <si>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</si>
  <si>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</si>
  <si>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</si>
  <si>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</si>
  <si>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</si>
  <si>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</si>
  <si>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</si>
  <si>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</si>
  <si>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</si>
  <si>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</si>
  <si>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</si>
  <si>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</si>
  <si>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</si>
  <si>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</si>
  <si>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</si>
  <si>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</si>
  <si>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</si>
  <si>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</si>
  <si>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</si>
  <si>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</si>
  <si>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</si>
  <si>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</si>
  <si>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</si>
  <si>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</si>
  <si>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</si>
  <si>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</si>
  <si>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</si>
  <si>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</si>
  <si>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</si>
  <si>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</si>
  <si>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</si>
  <si>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</si>
  <si>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</si>
  <si>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</si>
  <si>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</si>
  <si>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</si>
  <si>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</si>
  <si>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</si>
  <si>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</si>
  <si>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</si>
  <si>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</si>
  <si>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</si>
  <si>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</si>
  <si>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</si>
  <si>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</si>
  <si>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</si>
  <si>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</si>
  <si>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</si>
  <si>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</si>
  <si>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</si>
  <si>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</si>
  <si>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</si>
  <si>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</si>
  <si>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</si>
  <si>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</si>
  <si>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</si>
  <si>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</si>
  <si>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</si>
  <si>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</si>
  <si>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</si>
  <si>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</si>
  <si>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</si>
  <si>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</si>
  <si>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</si>
  <si>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</si>
  <si>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</si>
  <si>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</si>
  <si>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</si>
  <si>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</si>
  <si>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</si>
  <si>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</si>
  <si>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</si>
  <si>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</si>
  <si>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</si>
  <si>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</si>
  <si>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</si>
  <si>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</si>
  <si>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</si>
  <si>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</si>
  <si>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</si>
  <si>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</si>
  <si>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</si>
  <si>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</si>
  <si>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</si>
  <si>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</si>
  <si>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</si>
  <si>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</si>
  <si>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</si>
  <si>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</si>
  <si>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</si>
  <si>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</si>
  <si>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</si>
  <si>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</si>
  <si>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</si>
  <si>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</si>
  <si>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</si>
  <si>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</si>
  <si>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</si>
  <si>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</si>
  <si>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</si>
  <si>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</si>
  <si>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</si>
  <si>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</si>
  <si>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</si>
  <si>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</si>
  <si>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</si>
  <si>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</si>
  <si>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</si>
  <si>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</si>
  <si>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</si>
  <si>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</si>
  <si>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</si>
  <si>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</si>
  <si>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</si>
  <si>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</si>
  <si>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</si>
  <si>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</si>
  <si>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</si>
  <si>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</si>
  <si>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</si>
  <si>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</si>
  <si>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</si>
  <si>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</si>
  <si>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</si>
  <si>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</si>
  <si>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</si>
  <si>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</si>
  <si>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</si>
  <si>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</si>
  <si>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</si>
  <si>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</si>
  <si>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</si>
  <si>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</si>
  <si>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</si>
  <si>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</si>
  <si>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</si>
  <si>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</si>
  <si>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</si>
  <si>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</si>
  <si>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</si>
  <si>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</si>
  <si>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</si>
  <si>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</si>
  <si>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</si>
  <si>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</si>
  <si>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</si>
  <si>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</si>
  <si>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</si>
  <si>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</si>
  <si>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</si>
  <si>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</si>
  <si>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</si>
  <si>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</si>
  <si>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</si>
  <si>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</si>
  <si>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</si>
  <si>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</si>
  <si>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</si>
  <si>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</si>
  <si>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</si>
  <si>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</si>
  <si>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</si>
  <si>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</si>
  <si>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</si>
  <si>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</si>
  <si>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</si>
  <si>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</si>
  <si>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</si>
  <si>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</si>
  <si>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</si>
  <si>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</si>
  <si>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</si>
  <si>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</si>
  <si>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</si>
  <si>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</si>
  <si>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</si>
  <si>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</si>
  <si>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</si>
  <si>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</si>
  <si>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</si>
  <si>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</si>
  <si>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</si>
  <si>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</si>
  <si>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</si>
  <si>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</si>
  <si>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</si>
  <si>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</si>
  <si>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</si>
  <si>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</si>
  <si>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</si>
  <si>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</si>
  <si>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</si>
  <si>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</si>
  <si>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</si>
  <si>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</si>
  <si>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</si>
  <si>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</si>
  <si>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</si>
  <si>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</si>
  <si>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</si>
  <si>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</si>
  <si>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</si>
  <si>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</si>
  <si>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</si>
  <si>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</si>
  <si>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</si>
  <si>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</si>
  <si>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</si>
  <si>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</si>
  <si>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</si>
  <si>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</si>
  <si>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</si>
  <si>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</si>
  <si>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</si>
  <si>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</si>
  <si>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</si>
  <si>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</si>
  <si>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</si>
  <si>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</si>
  <si>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</si>
  <si>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</si>
  <si>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</si>
  <si>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</si>
  <si>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</si>
  <si>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</si>
  <si>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</si>
  <si>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</si>
  <si>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</si>
  <si>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</si>
  <si>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</si>
  <si>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</si>
  <si>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</si>
  <si>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</si>
  <si>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</si>
  <si>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</si>
  <si>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</si>
  <si>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</si>
  <si>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</si>
  <si>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</si>
  <si>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</si>
  <si>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</si>
  <si>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</si>
  <si>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</si>
  <si>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</si>
  <si>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</si>
  <si>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</si>
  <si>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</si>
  <si>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</si>
  <si>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</si>
  <si>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</si>
  <si>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</si>
  <si>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</si>
  <si>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</si>
  <si>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</si>
  <si>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</si>
  <si>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</si>
  <si>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</si>
  <si>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</si>
  <si>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</si>
  <si>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</si>
  <si>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</si>
  <si>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</si>
  <si>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</si>
  <si>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</si>
  <si>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</si>
  <si>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</si>
  <si>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</si>
  <si>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</si>
  <si>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</si>
  <si>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</si>
  <si>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</si>
  <si>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</si>
  <si>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</si>
  <si>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</si>
  <si>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</si>
  <si>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</si>
  <si>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</si>
  <si>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</si>
  <si>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</si>
  <si>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</si>
  <si>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</si>
  <si>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</si>
  <si>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</si>
  <si>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</si>
  <si>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</si>
  <si>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</si>
  <si>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</si>
  <si>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</si>
  <si>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</si>
  <si>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</si>
  <si>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</si>
  <si>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</si>
  <si>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</si>
  <si>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</si>
  <si>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</si>
  <si>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</si>
  <si>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</si>
  <si>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</si>
  <si>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</si>
  <si>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</si>
  <si>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</si>
  <si>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</si>
  <si>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</si>
  <si>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</si>
  <si>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</si>
  <si>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</si>
  <si>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</si>
  <si>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</si>
  <si>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</si>
  <si>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</si>
  <si>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</si>
  <si>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</si>
  <si>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</si>
  <si>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</si>
  <si>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</si>
  <si>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</si>
  <si>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</si>
  <si>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</si>
  <si>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</si>
  <si>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</si>
  <si>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</si>
  <si>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</si>
  <si>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</si>
  <si>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</si>
  <si>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</si>
  <si>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</si>
  <si>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</si>
  <si>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</si>
  <si>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</si>
  <si>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</si>
  <si>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</si>
  <si>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</si>
  <si>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</si>
  <si>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</si>
  <si>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</si>
  <si>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</si>
  <si>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</si>
  <si>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</si>
  <si>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</si>
  <si>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</si>
  <si>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</si>
  <si>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</si>
  <si>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</si>
  <si>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</si>
  <si>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</si>
  <si>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</si>
  <si>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</si>
  <si>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</si>
  <si>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</si>
  <si>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</si>
  <si>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</si>
  <si>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</si>
  <si>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</si>
  <si>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</si>
  <si>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</si>
  <si>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</si>
  <si>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</si>
  <si>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</si>
  <si>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</si>
  <si>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</si>
  <si>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</si>
  <si>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</si>
  <si>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</si>
  <si>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</si>
  <si>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</si>
  <si>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</si>
  <si>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</si>
  <si>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</si>
  <si>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</si>
  <si>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</si>
  <si>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</si>
  <si>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</si>
  <si>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</si>
  <si>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</si>
  <si>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</si>
  <si>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</si>
  <si>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</si>
  <si>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</si>
  <si>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</si>
  <si>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</si>
  <si>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</si>
  <si>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</si>
  <si>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</si>
  <si>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</si>
  <si>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</si>
  <si>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</si>
  <si>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</si>
  <si>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</si>
  <si>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</si>
  <si>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</si>
  <si>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</si>
  <si>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</si>
  <si>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</si>
  <si>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</si>
  <si>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</si>
  <si>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</si>
  <si>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</si>
  <si>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</si>
  <si>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</si>
  <si>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</si>
  <si>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</si>
  <si>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</si>
  <si>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</si>
  <si>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</si>
  <si>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</si>
  <si>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</si>
  <si>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</si>
  <si>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</si>
  <si>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</si>
  <si>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</si>
  <si>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</si>
  <si>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</si>
  <si>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</si>
  <si>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</si>
  <si>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</si>
  <si>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</si>
  <si>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</si>
  <si>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</si>
  <si>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</si>
  <si>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</si>
  <si>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</si>
  <si>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</si>
  <si>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</si>
  <si>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</si>
  <si>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</si>
  <si>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</si>
  <si>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</si>
  <si>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</si>
  <si>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</si>
  <si>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</si>
  <si>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</si>
  <si>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</si>
  <si>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</si>
  <si>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</si>
  <si>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</si>
  <si>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</si>
  <si>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</si>
  <si>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</si>
  <si>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</si>
  <si>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</si>
  <si>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</si>
  <si>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</si>
  <si>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</si>
  <si>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</si>
  <si>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</si>
  <si>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</si>
  <si>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</si>
  <si>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</si>
  <si>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</si>
  <si>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</si>
  <si>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</si>
  <si>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</si>
  <si>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</si>
  <si>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</si>
  <si>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</si>
  <si>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</si>
  <si>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</si>
  <si>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</si>
  <si>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</si>
  <si>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</si>
  <si>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</si>
  <si>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</si>
  <si>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</si>
  <si>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</si>
  <si>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</si>
  <si>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</si>
  <si>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</si>
  <si>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</si>
  <si>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</si>
  <si>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</si>
  <si>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</si>
  <si>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</si>
  <si>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</si>
  <si>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</si>
  <si>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</si>
  <si>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</si>
  <si>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</si>
  <si>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</si>
  <si>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</si>
  <si>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</si>
  <si>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</si>
  <si>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</si>
  <si>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</si>
  <si>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</si>
  <si>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</si>
  <si>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</si>
  <si>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</si>
  <si>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</si>
  <si>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</si>
  <si>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</si>
  <si>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</si>
  <si>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</si>
  <si>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</si>
  <si>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</si>
  <si>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</si>
  <si>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</si>
  <si>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</si>
  <si>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</si>
  <si>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</si>
  <si>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</si>
  <si>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</si>
  <si>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</si>
  <si>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</si>
  <si>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</si>
  <si>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</si>
  <si>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</si>
  <si>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</si>
  <si>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</si>
  <si>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</si>
  <si>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</si>
  <si>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</si>
  <si>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</si>
  <si>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</si>
  <si>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</si>
  <si>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</si>
  <si>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</si>
  <si>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</si>
  <si>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</si>
  <si>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</si>
  <si>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</si>
  <si>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</si>
  <si>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</si>
  <si>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</si>
  <si>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</si>
  <si>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</si>
  <si>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</si>
  <si>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</si>
  <si>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</si>
  <si>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</si>
  <si>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</si>
  <si>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</si>
  <si>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</si>
  <si>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</si>
  <si>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</si>
  <si>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</si>
  <si>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</si>
  <si>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</si>
  <si>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</si>
  <si>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</si>
  <si>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</si>
  <si>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</si>
  <si>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</si>
  <si>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</si>
  <si>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</si>
  <si>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</si>
  <si>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</si>
  <si>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</si>
  <si>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</si>
  <si>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</si>
  <si>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</si>
  <si>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</si>
  <si>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</si>
  <si>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</si>
  <si>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</si>
  <si>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</si>
  <si>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</si>
  <si>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</si>
  <si>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</si>
  <si>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</si>
  <si>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</si>
  <si>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</si>
  <si>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</si>
  <si>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</si>
  <si>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</si>
  <si>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</si>
  <si>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</si>
  <si>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</si>
  <si>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</si>
  <si>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</si>
  <si>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</si>
  <si>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</si>
  <si>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</si>
  <si>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</si>
  <si>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</si>
  <si>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</si>
  <si>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</si>
  <si>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</si>
  <si>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</si>
  <si>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</si>
  <si>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</si>
  <si>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</si>
  <si>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</si>
  <si>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</si>
  <si>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</si>
  <si>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</si>
  <si>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</si>
  <si>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</si>
  <si>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</si>
  <si>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</si>
  <si>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</si>
  <si>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</si>
  <si>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</si>
  <si>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</si>
  <si>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</si>
  <si>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</si>
  <si>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</si>
  <si>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</si>
  <si>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</si>
  <si>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</si>
  <si>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</si>
  <si>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</si>
  <si>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</si>
  <si>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</si>
  <si>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</si>
  <si>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</si>
  <si>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</si>
  <si>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</si>
  <si>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</si>
  <si>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</si>
  <si>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</si>
  <si>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</si>
  <si>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</si>
  <si>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</si>
  <si>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</si>
  <si>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</si>
  <si>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</si>
  <si>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</si>
  <si>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</si>
  <si>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</si>
  <si>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</si>
  <si>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</si>
  <si>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</si>
  <si>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</si>
  <si>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</si>
  <si>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</si>
  <si>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</si>
  <si>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</si>
  <si>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</si>
  <si>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</si>
  <si>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</si>
  <si>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</si>
  <si>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</si>
  <si>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</si>
  <si>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</si>
  <si>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</si>
  <si>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</si>
  <si>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</si>
  <si>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</si>
  <si>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</si>
  <si>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</si>
  <si>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</si>
  <si>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</si>
  <si>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</si>
  <si>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</si>
  <si>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</si>
  <si>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</si>
  <si>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</si>
  <si>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</si>
  <si>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</si>
  <si>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</si>
  <si>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</si>
  <si>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</si>
  <si>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</si>
  <si>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</si>
  <si>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</si>
  <si>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</si>
  <si>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</si>
  <si>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</si>
  <si>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</si>
  <si>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</si>
  <si>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</si>
  <si>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</si>
  <si>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</si>
  <si>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</si>
  <si>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</si>
  <si>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</si>
  <si>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</si>
  <si>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</si>
  <si>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</si>
  <si>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</si>
  <si>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</si>
  <si>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</si>
  <si>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</si>
  <si>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</si>
  <si>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</si>
  <si>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</si>
  <si>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</si>
  <si>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</si>
  <si>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</si>
  <si>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</si>
  <si>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</si>
  <si>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</si>
  <si>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</si>
  <si>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</si>
  <si>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</si>
  <si>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</si>
  <si>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</si>
  <si>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</si>
  <si>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</si>
  <si>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</si>
  <si>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</si>
  <si>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</si>
  <si>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</si>
  <si>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</si>
  <si>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</si>
  <si>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</si>
  <si>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</si>
  <si>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</si>
  <si>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</si>
  <si>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</si>
  <si>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</si>
  <si>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</si>
  <si>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</si>
  <si>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</si>
  <si>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</si>
  <si>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</si>
  <si>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</si>
  <si>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</si>
  <si>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</si>
  <si>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</si>
  <si>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</si>
  <si>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</si>
  <si>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</si>
  <si>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</si>
  <si>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</si>
  <si>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</si>
  <si>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</si>
  <si>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</si>
  <si>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</si>
  <si>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</si>
  <si>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</si>
  <si>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</si>
  <si>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</si>
  <si>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</si>
  <si>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</si>
  <si>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</si>
  <si>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</si>
  <si>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</si>
  <si>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</si>
  <si>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</si>
  <si>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</si>
  <si>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</si>
  <si>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</si>
  <si>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</si>
  <si>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</si>
  <si>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</si>
  <si>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</si>
  <si>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</si>
  <si>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</si>
  <si>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</si>
  <si>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</si>
  <si>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</si>
  <si>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</si>
  <si>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</si>
  <si>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</si>
  <si>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</si>
  <si>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</si>
  <si>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</si>
  <si>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</si>
  <si>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</si>
  <si>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</si>
  <si>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</si>
  <si>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</si>
  <si>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</si>
  <si>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</si>
  <si>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</si>
  <si>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</si>
  <si>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</si>
  <si>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</si>
  <si>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</si>
  <si>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</si>
  <si>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</si>
  <si>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</si>
  <si>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</si>
  <si>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</si>
  <si>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</si>
  <si>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</si>
  <si>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</si>
  <si>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</si>
  <si>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</si>
  <si>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</si>
  <si>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</si>
  <si>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</si>
  <si>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</si>
  <si>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</si>
  <si>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</si>
  <si>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</si>
  <si>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</si>
  <si>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</si>
  <si>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</si>
  <si>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</si>
  <si>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</si>
  <si>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</si>
  <si>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</si>
  <si>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</si>
  <si>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</si>
  <si>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</si>
  <si>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</si>
  <si>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</si>
  <si>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</si>
  <si>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</si>
  <si>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</si>
  <si>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</si>
  <si>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</si>
  <si>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</si>
  <si>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</si>
  <si>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</si>
  <si>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</si>
  <si>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</si>
  <si>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</si>
  <si>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</si>
  <si>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</si>
  <si>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</si>
  <si>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</si>
  <si>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</si>
  <si>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</si>
  <si>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</si>
  <si>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</si>
  <si>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</si>
  <si>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</si>
  <si>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</si>
  <si>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</si>
  <si>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</si>
  <si>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</si>
  <si>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</si>
  <si>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</si>
  <si>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</si>
  <si>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</si>
  <si>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</si>
  <si>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</si>
  <si>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</si>
  <si>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</si>
  <si>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</si>
  <si>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</si>
  <si>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</si>
  <si>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</si>
  <si>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</si>
  <si>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</si>
  <si>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</si>
  <si>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</si>
  <si>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</si>
  <si>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</si>
  <si>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</si>
  <si>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</si>
  <si>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</si>
  <si>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</si>
  <si>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</si>
  <si>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</si>
  <si>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</si>
  <si>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</si>
  <si>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</si>
  <si>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</si>
  <si>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</si>
  <si>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</si>
  <si>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</si>
  <si>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</si>
  <si>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</si>
  <si>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</si>
  <si>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</si>
  <si>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</si>
  <si>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</si>
  <si>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</si>
  <si>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</si>
  <si>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</si>
  <si>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</si>
  <si>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</si>
  <si>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</si>
  <si>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</si>
  <si>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</si>
  <si>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</si>
  <si>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</si>
  <si>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</si>
  <si>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</si>
  <si>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</si>
  <si>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</si>
  <si>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</si>
  <si>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</si>
  <si>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</si>
  <si>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</si>
  <si>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</si>
  <si>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</si>
  <si>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</si>
  <si>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</si>
  <si>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</si>
  <si>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</si>
  <si>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</si>
  <si>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</si>
  <si>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</si>
  <si>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</si>
  <si>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</si>
  <si>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</si>
  <si>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</si>
  <si>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</si>
  <si>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</si>
  <si>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</si>
  <si>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</si>
  <si>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</si>
  <si>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</si>
  <si>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</si>
  <si>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</si>
  <si>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</si>
  <si>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</si>
  <si>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</si>
  <si>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</si>
  <si>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</si>
  <si>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</si>
  <si>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</si>
  <si>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</si>
  <si>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</si>
  <si>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</si>
  <si>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</si>
  <si>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</si>
  <si>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</si>
  <si>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</si>
  <si>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</si>
  <si>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</si>
  <si>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</si>
  <si>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</si>
  <si>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</si>
  <si>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</si>
  <si>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</si>
  <si>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</si>
  <si>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</si>
  <si>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</si>
  <si>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</si>
  <si>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</si>
  <si>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</si>
  <si>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</si>
  <si>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</si>
  <si>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</si>
  <si>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</si>
  <si>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</si>
  <si>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</si>
  <si>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</si>
  <si>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</si>
  <si>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</si>
  <si>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</si>
  <si>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</si>
  <si>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</si>
  <si>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</si>
  <si>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</si>
  <si>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</si>
  <si>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</si>
  <si>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</si>
  <si>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</si>
  <si>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</si>
  <si>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</si>
  <si>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</si>
  <si>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</si>
  <si>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</si>
  <si>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</si>
  <si>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</si>
  <si>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</si>
  <si>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</si>
  <si>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</si>
  <si>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</si>
  <si>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</si>
  <si>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</si>
  <si>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</si>
  <si>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</si>
  <si>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</si>
  <si>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</si>
  <si>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</si>
  <si>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</si>
  <si>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</si>
  <si>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</si>
  <si>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</si>
  <si>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</si>
  <si>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</si>
  <si>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</si>
  <si>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</si>
  <si>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</si>
  <si>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</si>
  <si>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</si>
  <si>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</si>
  <si>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</si>
  <si>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</si>
  <si>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</si>
  <si>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</si>
  <si>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</si>
  <si>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</si>
  <si>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</si>
  <si>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</si>
  <si>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</si>
  <si>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</si>
  <si>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</si>
  <si>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</si>
  <si>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</si>
  <si>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</si>
  <si>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</si>
  <si>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</si>
  <si>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</si>
  <si>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</si>
  <si>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</si>
  <si>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</si>
  <si>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</si>
  <si>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</si>
  <si>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</si>
  <si>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</si>
  <si>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</si>
  <si>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</si>
  <si>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</si>
  <si>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</si>
  <si>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</si>
  <si>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</si>
  <si>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</si>
  <si>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</si>
  <si>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</si>
  <si>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</si>
  <si>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</si>
  <si>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</si>
  <si>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</si>
  <si>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</si>
  <si>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</si>
  <si>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</si>
  <si>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</si>
  <si>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</si>
  <si>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</si>
  <si>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</si>
  <si>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</si>
  <si>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</si>
  <si>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</si>
  <si>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</si>
  <si>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</si>
  <si>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</si>
  <si>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</si>
  <si>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</si>
  <si>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</si>
  <si>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</si>
  <si>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</si>
  <si>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</si>
  <si>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</si>
  <si>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</si>
  <si>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</si>
  <si>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</si>
  <si>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</si>
  <si>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</si>
  <si>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</si>
  <si>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</si>
  <si>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</si>
  <si>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</si>
  <si>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</si>
  <si>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</si>
  <si>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</si>
  <si>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</si>
  <si>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</si>
  <si>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</si>
  <si>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</si>
  <si>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</si>
  <si>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</si>
  <si>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</si>
  <si>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</si>
  <si>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</si>
  <si>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</si>
  <si>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</si>
  <si>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</si>
  <si>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</si>
  <si>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</si>
  <si>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</si>
  <si>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</si>
  <si>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</si>
  <si>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</si>
  <si>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</si>
  <si>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</si>
  <si>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</si>
  <si>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</si>
  <si>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</si>
  <si>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</si>
  <si>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</si>
  <si>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</si>
  <si>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</si>
  <si>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</si>
  <si>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</si>
  <si>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</si>
  <si>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</si>
  <si>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</si>
  <si>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</si>
  <si>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</si>
  <si>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</si>
  <si>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</si>
  <si>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</si>
  <si>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</si>
  <si>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</si>
  <si>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</si>
  <si>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</si>
  <si>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</si>
  <si>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</si>
  <si>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</si>
  <si>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</si>
  <si>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</si>
  <si>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</si>
  <si>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</si>
  <si>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</si>
  <si>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</si>
  <si>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</si>
  <si>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</si>
  <si>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</si>
  <si>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</si>
  <si>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</si>
  <si>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</si>
  <si>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</si>
  <si>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</si>
  <si>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</si>
  <si>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</si>
  <si>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</si>
  <si>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</si>
  <si>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</si>
  <si>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</si>
  <si>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</si>
  <si>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</si>
  <si>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</si>
  <si>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</si>
  <si>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</si>
  <si>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</si>
  <si>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</si>
  <si>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</si>
  <si>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</si>
  <si>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</si>
  <si>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</si>
  <si>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</si>
  <si>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</si>
  <si>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</si>
  <si>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</si>
  <si>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</si>
  <si>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</si>
  <si>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</si>
  <si>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</si>
  <si>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</si>
  <si>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</si>
  <si>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</si>
  <si>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</si>
  <si>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</si>
  <si>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</si>
  <si>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</si>
  <si>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</si>
  <si>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</si>
  <si>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</si>
  <si>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</si>
  <si>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</si>
  <si>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</si>
  <si>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</si>
  <si>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</si>
  <si>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</si>
  <si>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</si>
  <si>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</si>
  <si>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</si>
  <si>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</si>
  <si>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</si>
  <si>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</si>
  <si>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</si>
  <si>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</si>
  <si>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</si>
  <si>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</si>
  <si>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</si>
  <si>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</si>
  <si>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</si>
  <si>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</si>
  <si>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</si>
  <si>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</si>
  <si>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</si>
  <si>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</si>
  <si>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</si>
  <si>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</si>
  <si>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</si>
  <si>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</si>
  <si>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</si>
  <si>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</si>
  <si>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</si>
  <si>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</si>
  <si>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</si>
  <si>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</si>
  <si>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</si>
  <si>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</si>
  <si>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</si>
  <si>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</si>
  <si>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</si>
  <si>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</si>
  <si>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</si>
  <si>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</si>
  <si>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</si>
  <si>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</si>
  <si>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</si>
  <si>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</si>
  <si>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</si>
  <si>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</si>
  <si>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</si>
  <si>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</si>
  <si>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</si>
  <si>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</si>
  <si>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</si>
  <si>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</si>
  <si>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</si>
  <si>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</si>
  <si>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</si>
  <si>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</si>
  <si>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</si>
  <si>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</si>
  <si>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</si>
  <si>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</si>
  <si>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</si>
  <si>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</si>
  <si>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</si>
  <si>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</si>
  <si>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</si>
  <si>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</si>
  <si>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</si>
  <si>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</si>
  <si>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</si>
  <si>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</si>
  <si>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</si>
  <si>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</si>
  <si>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</si>
  <si>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</si>
  <si>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</si>
  <si>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</si>
  <si>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</si>
  <si>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</si>
  <si>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</si>
  <si>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</si>
  <si>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</si>
  <si>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</si>
  <si>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</si>
  <si>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</si>
  <si>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</si>
  <si>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</si>
  <si>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</si>
  <si>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</si>
  <si>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</si>
  <si>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</si>
  <si>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</si>
  <si>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</si>
  <si>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</si>
  <si>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</si>
  <si>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</si>
  <si>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</si>
  <si>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</si>
  <si>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</si>
  <si>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</si>
  <si>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</si>
  <si>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</si>
  <si>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</si>
  <si>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</si>
  <si>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</si>
  <si>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</si>
  <si>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</si>
  <si>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</si>
  <si>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</si>
  <si>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</si>
  <si>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</si>
  <si>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</si>
  <si>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</si>
  <si>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</si>
  <si>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</si>
  <si>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</si>
  <si>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</si>
  <si>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</si>
  <si>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</si>
  <si>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</si>
  <si>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</si>
  <si>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</si>
  <si>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</si>
  <si>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</si>
  <si>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</si>
  <si>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</si>
  <si>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</si>
  <si>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</si>
  <si>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</si>
  <si>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</si>
  <si>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</si>
  <si>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</si>
  <si>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</si>
  <si>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</si>
  <si>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</si>
  <si>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</si>
  <si>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</si>
  <si>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</si>
  <si>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</si>
  <si>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</si>
  <si>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</si>
  <si>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</si>
  <si>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</si>
  <si>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</si>
  <si>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</si>
  <si>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</si>
  <si>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</si>
  <si>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</si>
  <si>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</si>
  <si>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</si>
  <si>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</si>
  <si>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</si>
  <si>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</si>
  <si>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</si>
  <si>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</si>
  <si>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</si>
  <si>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</si>
  <si>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</si>
  <si>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</si>
  <si>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</si>
  <si>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</si>
  <si>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</si>
  <si>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</si>
  <si>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</si>
  <si>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</si>
  <si>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</si>
  <si>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</si>
  <si>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</si>
  <si>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</si>
  <si>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</si>
  <si>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</si>
  <si>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</si>
  <si>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</si>
  <si>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</si>
  <si>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</si>
  <si>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</si>
  <si>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</si>
  <si>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</si>
  <si>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</si>
  <si>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</si>
  <si>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</si>
  <si>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</si>
  <si>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</si>
  <si>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</si>
  <si>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</si>
  <si>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</si>
  <si>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</si>
  <si>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</si>
  <si>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</si>
  <si>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</si>
  <si>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</si>
  <si>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</si>
  <si>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</si>
  <si>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</si>
  <si>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</si>
  <si>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</si>
  <si>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</si>
  <si>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</si>
  <si>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</si>
  <si>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</si>
  <si>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</si>
  <si>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</si>
  <si>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</si>
  <si>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</si>
  <si>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</si>
  <si>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</si>
  <si>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</si>
  <si>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</si>
  <si>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</si>
  <si>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</si>
  <si>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</si>
  <si>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</si>
  <si>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</si>
  <si>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</si>
  <si>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</si>
  <si>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</si>
  <si>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</si>
  <si>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</si>
  <si>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</si>
  <si>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</si>
  <si>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</si>
  <si>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</si>
  <si>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</si>
  <si>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</si>
  <si>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</si>
  <si>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</si>
  <si>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</si>
  <si>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</si>
  <si>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</si>
  <si>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</si>
  <si>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</si>
  <si>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</si>
  <si>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</si>
  <si>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</si>
  <si>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</si>
  <si>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</si>
  <si>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</si>
  <si>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</si>
  <si>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</si>
  <si>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</si>
  <si>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</si>
  <si>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</si>
  <si>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</si>
  <si>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</si>
  <si>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</si>
  <si>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</si>
  <si>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</si>
  <si>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</si>
  <si>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</si>
  <si>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</si>
  <si>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</si>
  <si>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</si>
  <si>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</si>
  <si>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</si>
  <si>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</si>
  <si>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</si>
  <si>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</si>
  <si>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</si>
  <si>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</si>
  <si>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</si>
  <si>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</si>
  <si>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</si>
  <si>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</si>
  <si>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</si>
  <si>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</si>
  <si>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</si>
  <si>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</si>
  <si>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</si>
  <si>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</si>
  <si>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</si>
  <si>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</si>
  <si>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</si>
  <si>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</si>
  <si>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</si>
  <si>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</si>
  <si>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</si>
  <si>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</si>
  <si>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</si>
  <si>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</si>
  <si>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</si>
  <si>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</si>
  <si>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</si>
  <si>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</si>
  <si>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</si>
  <si>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</si>
  <si>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</si>
  <si>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</si>
  <si>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</si>
  <si>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</si>
  <si>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</si>
  <si>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</si>
  <si>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</si>
  <si>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</si>
  <si>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</si>
  <si>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</si>
  <si>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</si>
  <si>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</si>
  <si>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</si>
  <si>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</si>
  <si>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</si>
  <si>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</si>
  <si>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</si>
  <si>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</si>
  <si>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</si>
  <si>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</si>
  <si>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</si>
  <si>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</si>
  <si>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</si>
  <si>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</si>
  <si>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</si>
  <si>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</si>
  <si>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</si>
  <si>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</si>
  <si>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</si>
  <si>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</si>
  <si>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</si>
  <si>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</si>
  <si>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</si>
  <si>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</si>
  <si>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</si>
  <si>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</si>
  <si>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</si>
  <si>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</si>
  <si>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</si>
  <si>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</si>
  <si>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</si>
  <si>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</si>
  <si>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</si>
  <si>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</si>
  <si>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</si>
  <si>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</si>
  <si>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</si>
  <si>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</si>
  <si>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</si>
  <si>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</si>
  <si>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</si>
  <si>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</si>
  <si>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</si>
  <si>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</si>
  <si>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</si>
  <si>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</si>
  <si>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</si>
  <si>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</si>
  <si>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</si>
  <si>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</si>
  <si>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</si>
  <si>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</si>
  <si>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</si>
  <si>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</si>
  <si>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</si>
  <si>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</si>
  <si>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</si>
  <si>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</si>
  <si>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</si>
  <si>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</si>
  <si>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</si>
  <si>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</si>
  <si>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</si>
  <si>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</si>
  <si>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</si>
  <si>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</si>
  <si>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</si>
  <si>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</si>
  <si>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</si>
  <si>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</si>
  <si>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</si>
  <si>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</si>
  <si>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</si>
  <si>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</si>
  <si>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</si>
  <si>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</si>
  <si>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</si>
  <si>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</si>
  <si>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</si>
  <si>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</si>
  <si>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</si>
  <si>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</si>
  <si>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</si>
  <si>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</si>
  <si>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</si>
  <si>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</si>
  <si>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</si>
  <si>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</si>
  <si>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</si>
  <si>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</si>
  <si>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</si>
  <si>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</si>
  <si>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</si>
  <si>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</si>
  <si>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</si>
  <si>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</si>
  <si>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</si>
  <si>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</si>
  <si>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</si>
  <si>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</si>
  <si>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</si>
  <si>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</si>
  <si>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</si>
  <si>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</si>
  <si>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</si>
  <si>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</si>
  <si>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</si>
  <si>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</si>
  <si>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 Updated column BV on Calculations tab for slight error when calculating c distance which did not impact results.
● Corrected default E value for certain custom reinforcements.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</si>
</sst>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font>
    <font>
      <sz val="12"/>
      <name val="Aharoni"/>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7">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60" fillId="0" borderId="3" xfId="0" applyFont="1" applyBorder="1" applyAlignment="1">
      <alignment horizontal="center"/>
    </xf>
    <xf numFmtId="167" fontId="60" fillId="0" borderId="3" xfId="0" applyNumberFormat="1" applyFont="1" applyBorder="1" applyAlignment="1">
      <alignment horizontal="center"/>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15" xfId="0" applyFont="1" applyBorder="1" applyAlignment="1">
      <alignment horizontal="center"/>
    </xf>
    <xf numFmtId="0" fontId="60" fillId="0" borderId="2" xfId="0" applyFont="1" applyBorder="1" applyAlignment="1">
      <alignment horizontal="center"/>
    </xf>
    <xf numFmtId="167" fontId="60" fillId="0" borderId="2" xfId="0" applyNumberFormat="1" applyFont="1" applyBorder="1" applyAlignment="1">
      <alignment horizont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72" fillId="7" borderId="6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2" xfId="0" applyFont="1" applyFill="1" applyBorder="1" applyAlignment="1">
      <alignment horizontal="center" vertical="center" wrapText="1"/>
    </xf>
    <xf numFmtId="0" fontId="72" fillId="7" borderId="1" xfId="0" applyFont="1" applyFill="1" applyBorder="1" applyAlignment="1">
      <alignment horizontal="center" vertical="center"/>
    </xf>
    <xf numFmtId="166" fontId="60" fillId="0" borderId="1" xfId="0" applyNumberFormat="1" applyFont="1" applyBorder="1" applyAlignment="1">
      <alignment horizontal="center"/>
    </xf>
    <xf numFmtId="0" fontId="60" fillId="0" borderId="1" xfId="0" applyFont="1" applyBorder="1" applyAlignment="1">
      <alignment horizontal="center"/>
    </xf>
    <xf numFmtId="167" fontId="60" fillId="0" borderId="1" xfId="0" applyNumberFormat="1" applyFont="1" applyBorder="1" applyAlignment="1">
      <alignment horizontal="center"/>
    </xf>
    <xf numFmtId="167" fontId="71"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5" xfId="0" applyFont="1" applyBorder="1" applyAlignment="1">
      <alignment horizontal="center"/>
    </xf>
    <xf numFmtId="0" fontId="60" fillId="0" borderId="1" xfId="0" applyFont="1" applyFill="1" applyBorder="1" applyAlignment="1" applyProtection="1">
      <alignment horizontal="center"/>
      <protection locked="0"/>
    </xf>
    <xf numFmtId="0" fontId="72" fillId="0" borderId="1" xfId="0" applyFont="1" applyBorder="1" applyAlignment="1" applyProtection="1">
      <alignment horizontal="center"/>
      <protection locked="0"/>
    </xf>
    <xf numFmtId="0" fontId="60" fillId="0" borderId="1" xfId="0" applyFont="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60" fillId="7" borderId="1" xfId="0" applyFont="1" applyFill="1" applyBorder="1" applyAlignment="1">
      <alignment horizontal="center" wrapText="1"/>
    </xf>
    <xf numFmtId="0" fontId="69" fillId="0" borderId="1" xfId="0" applyFont="1" applyFill="1" applyBorder="1" applyAlignment="1">
      <alignment horizontal="center"/>
    </xf>
    <xf numFmtId="0" fontId="6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167" fontId="60" fillId="8" borderId="16" xfId="0" applyNumberFormat="1" applyFont="1" applyFill="1" applyBorder="1" applyAlignment="1">
      <alignment horizontal="center"/>
    </xf>
    <xf numFmtId="167" fontId="60" fillId="8" borderId="1" xfId="0" applyNumberFormat="1" applyFont="1" applyFill="1" applyBorder="1" applyAlignment="1">
      <alignment horizontal="center"/>
    </xf>
    <xf numFmtId="0" fontId="60" fillId="8" borderId="1" xfId="0" applyFont="1" applyFill="1" applyBorder="1" applyAlignment="1">
      <alignment horizontal="center"/>
    </xf>
    <xf numFmtId="0" fontId="60" fillId="8" borderId="5" xfId="0"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2" fontId="58" fillId="7" borderId="24"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3" fillId="0" borderId="52" xfId="0" applyFont="1" applyBorder="1" applyAlignment="1" applyProtection="1">
      <alignment horizontal="center" vertical="center"/>
      <protection locked="0"/>
    </xf>
    <xf numFmtId="0" fontId="64" fillId="0" borderId="0" xfId="0" applyFont="1" applyAlignment="1">
      <alignment horizontal="center" vertical="top"/>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61" fillId="7" borderId="1" xfId="0" applyFont="1" applyFill="1" applyBorder="1" applyAlignment="1">
      <alignment horizontal="center" wrapText="1"/>
    </xf>
    <xf numFmtId="167" fontId="60" fillId="8" borderId="75" xfId="0" applyNumberFormat="1" applyFont="1" applyFill="1" applyBorder="1" applyAlignment="1">
      <alignment horizontal="center"/>
    </xf>
    <xf numFmtId="167" fontId="60" fillId="8" borderId="32" xfId="0" applyNumberFormat="1" applyFont="1" applyFill="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44" fillId="0" borderId="2" xfId="0" applyFont="1" applyBorder="1" applyAlignment="1">
      <alignment horizontal="center"/>
    </xf>
    <xf numFmtId="0" fontId="60" fillId="8" borderId="32" xfId="0"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23" xfId="6" applyFill="1" applyBorder="1" applyAlignment="1">
      <alignment horizontal="center" wrapText="1"/>
    </xf>
    <xf numFmtId="1" fontId="58" fillId="7" borderId="53"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0" fontId="44" fillId="0" borderId="0" xfId="0" applyFont="1" applyAlignment="1">
      <alignment horizontal="center" wrapText="1"/>
    </xf>
    <xf numFmtId="0" fontId="0" fillId="0" borderId="1" xfId="0" applyBorder="1" applyAlignment="1">
      <alignment horizontal="left" wrapText="1"/>
    </xf>
    <xf numFmtId="0" fontId="45" fillId="0" borderId="1" xfId="0" applyFont="1" applyBorder="1" applyAlignment="1">
      <alignment horizontal="center"/>
    </xf>
    <xf numFmtId="0" fontId="45" fillId="0" borderId="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Border="1" applyAlignment="1">
      <alignment horizontal="center" wrapText="1"/>
    </xf>
    <xf numFmtId="0" fontId="68" fillId="0" borderId="1" xfId="0" applyFont="1" applyBorder="1" applyAlignment="1">
      <alignment horizontal="center"/>
    </xf>
    <xf numFmtId="0" fontId="68" fillId="0" borderId="1" xfId="0" applyFont="1" applyBorder="1" applyAlignment="1">
      <alignment horizontal="center" wrapText="1"/>
    </xf>
    <xf numFmtId="0" fontId="45" fillId="0" borderId="1"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32"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32" xfId="0" applyFont="1" applyFill="1" applyBorder="1" applyAlignment="1">
      <alignment horizontal="center" wrapText="1"/>
    </xf>
    <xf numFmtId="0" fontId="45" fillId="0" borderId="34" xfId="0" applyFont="1" applyFill="1" applyBorder="1" applyAlignment="1">
      <alignment horizontal="center" wrapText="1"/>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0" fontId="95" fillId="0" borderId="71" xfId="0" applyFont="1" applyBorder="1" applyAlignment="1">
      <alignment horizontal="center"/>
    </xf>
    <xf numFmtId="0" fontId="95" fillId="0" borderId="7" xfId="0" applyFont="1" applyBorder="1" applyAlignment="1">
      <alignment horizontal="center"/>
    </xf>
    <xf numFmtId="0" fontId="95" fillId="0" borderId="24" xfId="0" applyFont="1" applyBorder="1" applyAlignment="1">
      <alignment horizontal="center"/>
    </xf>
    <xf numFmtId="0" fontId="95" fillId="0" borderId="5" xfId="0" applyFont="1" applyFill="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30" xfId="0" applyFont="1" applyBorder="1" applyAlignment="1">
      <alignment horizontal="left"/>
    </xf>
    <xf numFmtId="0" fontId="45" fillId="0" borderId="31" xfId="0" applyFont="1" applyBorder="1" applyAlignment="1">
      <alignment horizontal="left"/>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68" fillId="0" borderId="26" xfId="0" applyFont="1" applyBorder="1" applyAlignment="1">
      <alignment horizontal="left"/>
    </xf>
    <xf numFmtId="0" fontId="0" fillId="0" borderId="26" xfId="0" applyFont="1" applyBorder="1" applyAlignment="1">
      <alignment horizontal="left"/>
    </xf>
    <xf numFmtId="0" fontId="95" fillId="0" borderId="17" xfId="0" applyFont="1" applyBorder="1" applyAlignment="1">
      <alignment horizontal="center"/>
    </xf>
    <xf numFmtId="0" fontId="95" fillId="0" borderId="1" xfId="0" applyFont="1" applyBorder="1" applyAlignment="1">
      <alignment horizontal="center"/>
    </xf>
    <xf numFmtId="0" fontId="95" fillId="0" borderId="18"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45" fillId="0" borderId="26" xfId="0" applyFont="1" applyBorder="1" applyAlignment="1">
      <alignment horizontal="left"/>
    </xf>
    <xf numFmtId="0" fontId="131" fillId="0" borderId="80" xfId="0" applyFont="1" applyBorder="1" applyAlignment="1">
      <alignment horizontal="center" vertical="center"/>
    </xf>
    <xf numFmtId="0" fontId="131" fillId="0" borderId="81" xfId="0" applyFont="1" applyBorder="1" applyAlignment="1">
      <alignment horizontal="center" vertical="center"/>
    </xf>
    <xf numFmtId="0" fontId="131" fillId="0" borderId="83" xfId="0" applyFont="1" applyBorder="1" applyAlignment="1">
      <alignment horizontal="center" vertical="center"/>
    </xf>
    <xf numFmtId="0" fontId="131" fillId="0" borderId="0" xfId="0" applyFont="1" applyBorder="1" applyAlignment="1">
      <alignment horizontal="center" vertical="center"/>
    </xf>
    <xf numFmtId="0" fontId="131" fillId="0" borderId="82" xfId="0" applyFont="1" applyBorder="1" applyAlignment="1">
      <alignment horizontal="center" vertical="center"/>
    </xf>
    <xf numFmtId="0" fontId="131" fillId="0" borderId="84" xfId="0" applyFont="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68" fillId="0" borderId="32" xfId="0" applyFont="1" applyFill="1" applyBorder="1" applyAlignment="1">
      <alignment horizontal="center" wrapText="1"/>
    </xf>
    <xf numFmtId="0" fontId="45" fillId="0" borderId="55" xfId="0" applyFont="1" applyBorder="1" applyAlignment="1">
      <alignment horizontal="center"/>
    </xf>
    <xf numFmtId="0" fontId="95" fillId="0" borderId="5"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0" fillId="11" borderId="1" xfId="0" applyFont="1" applyFill="1" applyBorder="1" applyAlignment="1">
      <alignment horizontal="center" vertical="center"/>
    </xf>
    <xf numFmtId="0" fontId="70" fillId="0" borderId="0" xfId="0" applyFont="1" applyBorder="1" applyAlignment="1">
      <alignment horizontal="center"/>
    </xf>
    <xf numFmtId="0" fontId="0" fillId="0" borderId="1" xfId="0" applyFont="1" applyBorder="1" applyAlignment="1">
      <alignment horizontal="center" vertical="center"/>
    </xf>
    <xf numFmtId="0" fontId="95" fillId="0" borderId="24" xfId="0" applyFont="1" applyFill="1" applyBorder="1" applyAlignment="1">
      <alignment horizontal="center"/>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68" fillId="0" borderId="32" xfId="0" applyFont="1" applyBorder="1" applyAlignment="1">
      <alignment horizontal="center"/>
    </xf>
    <xf numFmtId="0" fontId="45" fillId="0" borderId="34"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43" fillId="0" borderId="0" xfId="0" applyFont="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6"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893146"/>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2" connectionId="4" xr16:uid="{FD3BFA0D-83F5-4B89-944A-E6C70147E10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1" connectionId="3" xr16:uid="{DF7065FC-0674-49C0-B5D5-055296DFD0ED}"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3" dataDxfId="422">
  <autoFilter ref="B2:F30" xr:uid="{00000000-0009-0000-0100-000001000000}"/>
  <sortState xmlns:xlrd2="http://schemas.microsoft.com/office/spreadsheetml/2017/richdata2" ref="B3:D20">
    <sortCondition ref="B2:B20"/>
  </sortState>
  <tableColumns count="5">
    <tableColumn id="1" xr3:uid="{00000000-0010-0000-0000-000001000000}" name="Material" dataDxfId="421"/>
    <tableColumn id="2" xr3:uid="{00000000-0010-0000-0000-000002000000}" name="Fy (ksi)" dataDxfId="420"/>
    <tableColumn id="3" xr3:uid="{00000000-0010-0000-0000-000003000000}" name="Fu (ksi)" dataDxfId="419"/>
    <tableColumn id="4" xr3:uid="{8E90EC66-FCB5-4556-AE02-215FB9DDA816}" name="Matl ID" dataDxfId="418"/>
    <tableColumn id="5" xr3:uid="{FF98B522-FB82-4169-85EE-1FC8C2740B7A}" name="Default?" dataDxfId="417">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1" dataDxfId="32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9"/>
    <tableColumn id="2" xr3:uid="{00000000-0010-0000-0100-000002000000}" name="Type" dataDxfId="318"/>
    <tableColumn id="3" xr3:uid="{00000000-0010-0000-0100-000003000000}" name="B (in)" dataDxfId="317">
      <calculatedColumnFormula>IF(Reinforcements[[#This Row],[Type]]="",""," ")</calculatedColumnFormula>
    </tableColumn>
    <tableColumn id="4" xr3:uid="{00000000-0010-0000-0100-000004000000}" name="H (in)" dataDxfId="316">
      <calculatedColumnFormula>IF(Reinforcements[[#This Row],[Type]]="",""," ")</calculatedColumnFormula>
    </tableColumn>
    <tableColumn id="17" xr3:uid="{00000000-0010-0000-0100-000011000000}" name="Diameter (in)" dataDxfId="315">
      <calculatedColumnFormula>IF(Reinforcements[[#This Row],[Type]]="","",IF(Reinforcements[[#This Row],[Type]]="solid round","","n/a"))</calculatedColumnFormula>
    </tableColumn>
    <tableColumn id="16" xr3:uid="{00000000-0010-0000-0100-000010000000}" name="[Channel]Web Thickness (in)" dataDxfId="314">
      <calculatedColumnFormula>IF(Reinforcements[[#This Row],[Type]]="","",IF(Reinforcements[[#This Row],[Type]]&lt;&gt;"channel","n/a",""))</calculatedColumnFormula>
    </tableColumn>
    <tableColumn id="200" xr3:uid="{00000000-0010-0000-0100-0000C8000000}" name="[Channel] Flange Thickness (in)" dataDxfId="313">
      <calculatedColumnFormula>IF(Reinforcements[[#This Row],[Type]]="","",IF(Reinforcements[[#This Row],[Type]]&lt;&gt;"channel","n/a",""))</calculatedColumnFormula>
    </tableColumn>
    <tableColumn id="207" xr3:uid="{00000000-0010-0000-0100-0000CF000000}" name="[Channel] e0 (in)" dataDxfId="312">
      <calculatedColumnFormula>IF(Reinforcements[[#This Row],[Type]]="","",IF(Reinforcements[[#This Row],[Type]]&lt;&gt;"channel","n/a",Reinforcements[[#This Row],[eo]]))</calculatedColumnFormula>
    </tableColumn>
    <tableColumn id="206" xr3:uid="{00000000-0010-0000-0100-0000CE000000}" name="[Channel] J (in4)" dataDxfId="311">
      <calculatedColumnFormula>IF(Reinforcements[[#This Row],[Type]]="","",IF(Reinforcements[[#This Row],[Type]]&lt;&gt;"channel","n/a",Reinforcements[[#This Row],[J]]))</calculatedColumnFormula>
    </tableColumn>
    <tableColumn id="201" xr3:uid="{00000000-0010-0000-0100-0000C9000000}" name="[Channel] CW (in6)" dataDxfId="310">
      <calculatedColumnFormula>IF(Reinforcements[[#This Row],[Type]]="","",IF(Reinforcements[[#This Row],[Type]]&lt;&gt;"channel","n/a",Reinforcements[[#This Row],[Cw]]))</calculatedColumnFormula>
    </tableColumn>
    <tableColumn id="5" xr3:uid="{00000000-0010-0000-0100-000005000000}" name="Gross Area (in2)" dataDxfId="30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8">
      <calculatedColumnFormula>IFERROR(IF(Reinforcements[[#This Row],[Type]]="","",IF(Reinforcements[[#This Row],[Type]]="plate",Reinforcements[[#This Row],[H (in)]]/2,"")),"")</calculatedColumnFormula>
    </tableColumn>
    <tableColumn id="21" xr3:uid="{00000000-0010-0000-0100-000015000000}" name="Tension Only?" dataDxfId="307"/>
    <tableColumn id="13" xr3:uid="{00000000-0010-0000-0100-00000D000000}" name="Material" dataDxfId="306"/>
    <tableColumn id="7" xr3:uid="{00000000-0010-0000-0100-000007000000}" name="Ix" dataDxfId="30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4">
      <calculatedColumnFormula>IF(Reinforcements[[#This Row],[Reinforcement]]="","",SQRT(Reinforcements[[#This Row],[Ix]]/Reinforcements[[#This Row],[Gross Area (in2)]]))</calculatedColumnFormula>
    </tableColumn>
    <tableColumn id="8" xr3:uid="{00000000-0010-0000-0100-000008000000}" name="Iy" dataDxfId="30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2">
      <calculatedColumnFormula>IF(Reinforcements[[#This Row],[Reinforcement]]="","",SQRT(Reinforcements[[#This Row],[Iy]]/Reinforcements[[#This Row],[Gross Area (in2)]]))</calculatedColumnFormula>
    </tableColumn>
    <tableColumn id="12" xr3:uid="{00000000-0010-0000-0100-00000C000000}" name="Lu (in)" dataDxfId="301">
      <calculatedColumnFormula>IF(Reinforcements[[#This Row],[Type]]="",""," ")</calculatedColumnFormula>
    </tableColumn>
    <tableColumn id="25" xr3:uid="{00000000-0010-0000-0100-000019000000}" name="Effective Length Factor Kx" dataDxfId="300"/>
    <tableColumn id="37" xr3:uid="{00000000-0010-0000-0100-000025000000}" name="Effective Length Factor Ky" dataDxfId="299"/>
    <tableColumn id="10" xr3:uid="{00000000-0010-0000-0100-00000A000000}" name="Bolt Hole Size (in)" dataDxfId="298">
      <calculatedColumnFormula>IF(Reinforcements[[#This Row],[Type]]="",""," ")</calculatedColumnFormula>
    </tableColumn>
    <tableColumn id="15" xr3:uid="{00000000-0010-0000-0100-00000F000000}" name="Bolt Hole Size (mm)" dataDxfId="297">
      <calculatedColumnFormula>IF(Reinforcements[[#This Row],[Bolt Hole Size (in)]]="","",IF(Reinforcements[[#This Row],[Bolt Hole Size (in)]]="n/a","n/a",Reinforcements[[#This Row],[Bolt Hole Size (in)]]*25.4))</calculatedColumnFormula>
    </tableColumn>
    <tableColumn id="11" xr3:uid="{00000000-0010-0000-0100-00000B000000}" name="Net Area (in2)" dataDxfId="29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4"/>
    <tableColumn id="97" xr3:uid="{00000000-0010-0000-0100-000061000000}" name="Rev. F Bottom Connection Capacity (kips)" dataDxfId="293">
      <calculatedColumnFormula>IF(Reinforcements[[#This Row],[Reinforcement]]="","",IF(Reinforcements[[#This Row],[Bottom End Connection Type]]&lt;&gt;"Capacity Input","-",""))</calculatedColumnFormula>
    </tableColumn>
    <tableColumn id="96" xr3:uid="{00000000-0010-0000-0100-000060000000}" name="Rev. G Bottom Connection Capacity (kips)" dataDxfId="292">
      <calculatedColumnFormula>IF(Reinforcements[[#This Row],[Reinforcement]]="","",IF(Reinforcements[[#This Row],[Bottom End Connection Type]]&lt;&gt;"Capacity Input","-",""))</calculatedColumnFormula>
    </tableColumn>
    <tableColumn id="143" xr3:uid="{00000000-0010-0000-0100-00008F000000}" name="Rev. H Bottom Connection Capacity (kips)" dataDxfId="291">
      <calculatedColumnFormula>IF(Reinforcements[[#This Row],[Reinforcement]]="","",IF(Reinforcements[[#This Row],[Bottom End Connection Type]]&lt;&gt;"Capacity Input","-",""))</calculatedColumnFormula>
    </tableColumn>
    <tableColumn id="49" xr3:uid="{00000000-0010-0000-0100-000031000000}" name="Bottom End Connection Bolt Type" dataDxfId="290"/>
    <tableColumn id="56" xr3:uid="{00000000-0010-0000-0100-000038000000}" name="Threads Included (N) or Excluded (X) (Bottom)" dataDxfId="289">
      <calculatedColumnFormula>IF(Reinforcements[[#This Row],[Bottom End Connection Type]]="Welded","-","")</calculatedColumnFormula>
    </tableColumn>
    <tableColumn id="50" xr3:uid="{00000000-0010-0000-0100-000032000000}" name="# of End Connection Bolts          (Bottom)" dataDxfId="288">
      <calculatedColumnFormula>IF(Reinforcements[[#This Row],[Bottom End Connection Type]]="Welded","-","")</calculatedColumnFormula>
    </tableColumn>
    <tableColumn id="51" xr3:uid="{00000000-0010-0000-0100-000033000000}" name="End Connection Bolt Spacing (in) (B)" dataDxfId="287">
      <calculatedColumnFormula>IF(Reinforcements[[#This Row],[Bottom End Connection Type]]="Welded","-","")</calculatedColumnFormula>
    </tableColumn>
    <tableColumn id="47" xr3:uid="{00000000-0010-0000-0100-00002F000000}" name="End Connection Edge Distance (in) (B)" dataDxfId="286">
      <calculatedColumnFormula>IF(Reinforcements[[#This Row],[Bottom End Connection Type]]="Welded","-","")</calculatedColumnFormula>
    </tableColumn>
    <tableColumn id="59" xr3:uid="{00000000-0010-0000-0100-00003B000000}" name="Bottom Lc,e" dataDxfId="285">
      <calculatedColumnFormula>Reinforcements[[#This Row],[End Connection Edge Distance (in) (B)]]-(Reinforcements[[#This Row],[Bolt Hole Size (in)]]+1/16)/2</calculatedColumnFormula>
    </tableColumn>
    <tableColumn id="58" xr3:uid="{00000000-0010-0000-0100-00003A000000}" name="Bottom Lc,i" dataDxfId="284">
      <calculatedColumnFormula>Reinforcements[[#This Row],[End Connection Bolt Spacing (in) (B)]]-(Reinforcements[[#This Row],[Bolt Hole Size (in)]]+1/16)</calculatedColumnFormula>
    </tableColumn>
    <tableColumn id="61" xr3:uid="{00000000-0010-0000-0100-00003D000000}" name="Bottom Le (Rev. F)" dataDxfId="283">
      <calculatedColumnFormula>Reinforcements[[#This Row],[End Connection Edge Distance (in) (B)]]</calculatedColumnFormula>
    </tableColumn>
    <tableColumn id="70" xr3:uid="{00000000-0010-0000-0100-000046000000}" name="Bottom Li (Rev. F)" dataDxfId="282">
      <calculatedColumnFormula>Reinforcements[[#This Row],[End Connection Bolt Spacing (in) (B)]]</calculatedColumnFormula>
    </tableColumn>
    <tableColumn id="88" xr3:uid="{00000000-0010-0000-0100-000058000000}" name="Bottom Connected to Flange/Base Plate?" dataDxfId="28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8"/>
    <tableColumn id="103" xr3:uid="{00000000-0010-0000-0100-000067000000}" name="Bottom Transverse Weld Groove Depth (in)"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5"/>
    <tableColumn id="131" xr3:uid="{00000000-0010-0000-0100-000083000000}" name="Bottom Transverse Weld Effective Throat" dataDxfId="27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9"/>
    <tableColumn id="66" xr3:uid="{00000000-0010-0000-0100-000042000000}" name="Top End Connection Type" dataDxfId="268">
      <calculatedColumnFormula>IF(Reinforcements[[#This Row],[Top End Connection Same?]]="Yes",Reinforcements[[#This Row],[Bottom End Connection Type]],"")</calculatedColumnFormula>
    </tableColumn>
    <tableColumn id="100" xr3:uid="{00000000-0010-0000-0100-000064000000}" name="Rev. F Top Connection Capacity (kips)" dataDxfId="26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9">
      <calculatedColumnFormula>Reinforcements[[#This Row],[End Connection Edge Distance (in) (T)]]-(Reinforcements[[#This Row],[Bolt Hole Size (in)]]+1/16)/2</calculatedColumnFormula>
    </tableColumn>
    <tableColumn id="72" xr3:uid="{00000000-0010-0000-0100-000048000000}" name="Top Lc,i" dataDxfId="258">
      <calculatedColumnFormula>Reinforcements[[#This Row],[End Connection Bolt Spacing (in) (T)]]-(Reinforcements[[#This Row],[Bolt Hole Size (in)]]+1/16)</calculatedColumnFormula>
    </tableColumn>
    <tableColumn id="46" xr3:uid="{00000000-0010-0000-0100-00002E000000}" name="Top Le (Rev. F)" dataDxfId="257">
      <calculatedColumnFormula>Reinforcements[[#This Row],[End Connection Edge Distance (in) (T)]]</calculatedColumnFormula>
    </tableColumn>
    <tableColumn id="52" xr3:uid="{00000000-0010-0000-0100-000034000000}" name="Top Li (Rev. F)" dataDxfId="256">
      <calculatedColumnFormula>Reinforcements[[#This Row],[End Connection Bolt Spacing (in) (T)]]</calculatedColumnFormula>
    </tableColumn>
    <tableColumn id="109" xr3:uid="{00000000-0010-0000-0100-00006D000000}" name="Top Connected to Flange/Base Plate?" dataDxfId="25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3">
      <calculatedColumnFormula>IF(Reinforcements[[#This Row],[Type]]="","",IF(Reinforcements[[#This Row],[Type]]="channel","","n/a"))</calculatedColumnFormula>
    </tableColumn>
    <tableColumn id="18" xr3:uid="{00000000-0010-0000-0100-000012000000}" name="Bottom Connection Length + Edge Dist (in)" dataDxfId="24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8">
      <calculatedColumnFormula>IFERROR(IF(Reinforcements[[#This Row],[Type]]="","",Reinforcements[[#This Row],[Effective B (in)]]*Reinforcements[[#This Row],[Effective H (in)]]^3/12),"")</calculatedColumnFormula>
    </tableColumn>
    <tableColumn id="44" xr3:uid="{00000000-0010-0000-0100-00002C000000}" name="Equivalent Rectangle Iy (in4)" dataDxfId="237">
      <calculatedColumnFormula>IFERROR(IF(Reinforcements[[#This Row],[Type]]="","",Reinforcements[[#This Row],[Effective B (in)]]^3*Reinforcements[[#This Row],[Effective H (in)]]/12),"")</calculatedColumnFormula>
    </tableColumn>
    <tableColumn id="34" xr3:uid="{00000000-0010-0000-0100-000022000000}" name="Cc" dataDxfId="236">
      <calculatedColumnFormula>SQRT(2*PI()^2*29000/VLOOKUP(Reinforcements[[#This Row],[Material]],Materials[],2,FALSE))</calculatedColumnFormula>
    </tableColumn>
    <tableColumn id="33" xr3:uid="{00000000-0010-0000-0100-000021000000}" name="Fax" dataDxfId="23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1">
      <calculatedColumnFormula>IF(Reinforcements[[#This Row],[λcx]]&lt;=1.5,0.658^(Reinforcements[[#This Row],[λcx]]^2)*Reinforcements[[#This Row],[F''y]],0.877/(Reinforcements[[#This Row],[λcx]]^2)*Reinforcements[[#This Row],[F''y]])</calculatedColumnFormula>
    </tableColumn>
    <tableColumn id="42" xr3:uid="{00000000-0010-0000-0100-00002A000000}" name="Fcr,y" dataDxfId="230">
      <calculatedColumnFormula>IF(Reinforcements[[#This Row],[λcy]]&lt;=1.5,0.658^(Reinforcements[[#This Row],[λcy]]^2)*Reinforcements[[#This Row],[F''y]],0.877/(Reinforcements[[#This Row],[λcy]]^2)*Reinforcements[[#This Row],[F''y]])</calculatedColumnFormula>
    </tableColumn>
    <tableColumn id="29" xr3:uid="{00000000-0010-0000-0100-00001D000000}" name="F'y" dataDxfId="229">
      <calculatedColumnFormula>VLOOKUP(Reinforcements[[#This Row],[Material]],Materials[],2,FALSE)</calculatedColumnFormula>
    </tableColumn>
    <tableColumn id="22" xr3:uid="{00000000-0010-0000-0100-000016000000}" name="Rev. F Compression Capacity x-x (kips)" dataDxfId="228">
      <calculatedColumnFormula>IF(Reinforcements[[#This Row],[Reinforcement]]="","",Reinforcements[[#This Row],[Fax]]*Reinforcements[[#This Row],[Gross Area (in2)]])</calculatedColumnFormula>
    </tableColumn>
    <tableColumn id="35" xr3:uid="{00000000-0010-0000-0100-000023000000}" name="Rev. F Compression Capacity y-y (kips)" dataDxfId="227">
      <calculatedColumnFormula>IF(Reinforcements[[#This Row],[Reinforcement]]="","",Reinforcements[[#This Row],[Fay]]*Reinforcements[[#This Row],[Gross Area (in2)]])</calculatedColumnFormula>
    </tableColumn>
    <tableColumn id="23" xr3:uid="{00000000-0010-0000-0100-000017000000}" name="Rev. F Tension Yield Capacity (kips)" dataDxfId="22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9">
      <calculatedColumnFormula>IF(Reinforcements[[#This Row],[Reinforcement]]="","",φ_c*Reinforcements[[#This Row],[Fcr,x]]*Reinforcements[[#This Row],[Gross Area (in2)]])</calculatedColumnFormula>
    </tableColumn>
    <tableColumn id="36" xr3:uid="{00000000-0010-0000-0100-000024000000}" name="Rev. G Compression Capacity y-y (kips)" dataDxfId="208">
      <calculatedColumnFormula>IF(Reinforcements[[#This Row],[Reinforcement]]="","",φ_c*Reinforcements[[#This Row],[Fcr,y]]*Reinforcements[[#This Row],[Gross Area (in2)]])</calculatedColumnFormula>
    </tableColumn>
    <tableColumn id="27" xr3:uid="{00000000-0010-0000-0100-00001B000000}" name="Rev. G Tension Yield Capacity (kips)" dataDxfId="20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5">
      <calculatedColumnFormula>IF(Reinforcements[[#This Row],[Reinforcement]]="","",φ_v*0.5*Reinforcements[[#This Row],[F''y]]*Reinforcements[[#This Row],[Gross Area (in2)]])</calculatedColumnFormula>
    </tableColumn>
    <tableColumn id="57" xr3:uid="{00000000-0010-0000-0100-000039000000}" name="Rev. G Bolt Shear Capacity (Bottom) (kips)" dataDxfId="20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0">
      <calculatedColumnFormula>IF(OR(Reinforcements[[#This Row],[Type]]="plate",Reinforcements[[#This Row],[Type]]="solid round"),"N/A",Reinforcements[[#This Row],[B (in)]])</calculatedColumnFormula>
    </tableColumn>
    <tableColumn id="191" xr3:uid="{00000000-0010-0000-0100-0000BF000000}" name="Channel Flange Width, b" dataDxfId="189">
      <calculatedColumnFormula>IF(OR(Reinforcements[[#This Row],[Type]]="plate",Reinforcements[[#This Row],[Type]]="solid round"),"N/A",Reinforcements[[#This Row],[H (in)]])</calculatedColumnFormula>
    </tableColumn>
    <tableColumn id="192" xr3:uid="{00000000-0010-0000-0100-0000C0000000}" name="Channel inside depth, T" dataDxfId="18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7">
      <calculatedColumnFormula>IF(OR(Reinforcements[[#This Row],[Type]]="plate",Reinforcements[[#This Row],[Type]]="solid round"),"N/A",Reinforcements[[#This Row],['[Channel']Web Thickness (in)]])</calculatedColumnFormula>
    </tableColumn>
    <tableColumn id="194" xr3:uid="{00000000-0010-0000-0100-0000C2000000}" name="Channel flange thickness, tf" dataDxfId="186">
      <calculatedColumnFormula>IF(OR(Reinforcements[[#This Row],[Type]]="plate",Reinforcements[[#This Row],[Type]]="solid round"),"N/A",Reinforcements[[#This Row],['[Channel'] Flange Thickness (in)]])</calculatedColumnFormula>
    </tableColumn>
    <tableColumn id="197" xr3:uid="{00000000-0010-0000-0100-0000C5000000}" name="λf" dataDxfId="185">
      <calculatedColumnFormula>IF(Reinforcements[[#This Row],[Type]]="channel",Reinforcements[[#This Row],[Channel Flange Width, b]]/Reinforcements[[#This Row],[Channel flange thickness, tf]],"N/A")</calculatedColumnFormula>
    </tableColumn>
    <tableColumn id="198" xr3:uid="{00000000-0010-0000-0100-0000C6000000}" name="λw" dataDxfId="184">
      <calculatedColumnFormula>IF(Reinforcements[[#This Row],[Type]]="channel",Reinforcements[[#This Row],[Channel inside depth, T]]/Reinforcements[[#This Row],[Channel web thickness, tw]],"N/A")</calculatedColumnFormula>
    </tableColumn>
    <tableColumn id="199" xr3:uid="{00000000-0010-0000-0100-0000C7000000}" name="E, (ksi)" dataDxfId="183"/>
    <tableColumn id="195" xr3:uid="{00000000-0010-0000-0100-0000C3000000}" name="λrf" dataDxfId="182">
      <calculatedColumnFormula>IF(Reinforcements[[#This Row],[Type]]="channel",0.56*SQRT(Reinforcements[[#This Row],[E, (ksi)]]/Reinforcements[[#This Row],[Fy, (ksi)]]),"N/A")</calculatedColumnFormula>
    </tableColumn>
    <tableColumn id="196" xr3:uid="{00000000-0010-0000-0100-0000C4000000}" name="λrw" dataDxfId="181">
      <calculatedColumnFormula>IF(Reinforcements[[#This Row],[Type]]="channel",1.49*SQRT(Reinforcements[[#This Row],[E, (ksi)]]/Reinforcements[[#This Row],[Fy, (ksi)]]),"N/A")</calculatedColumnFormula>
    </tableColumn>
    <tableColumn id="144" xr3:uid="{00000000-0010-0000-0100-000090000000}" name="Fy, (ksi)" dataDxfId="180">
      <calculatedColumnFormula>VLOOKUP(Reinforcements[[#This Row],[Material]],Materials!$B$2:$C$30,2,FALSE)</calculatedColumnFormula>
    </tableColumn>
    <tableColumn id="145" xr3:uid="{00000000-0010-0000-0100-000091000000}" name="Lcx (in)" dataDxfId="179">
      <calculatedColumnFormula>Reinforcements[[#This Row],[Lu (in)]]*Reinforcements[[#This Row],[Effective Length Factor Kx]]</calculatedColumnFormula>
    </tableColumn>
    <tableColumn id="146" xr3:uid="{00000000-0010-0000-0100-000092000000}" name="Lcy (in)" dataDxfId="178">
      <calculatedColumnFormula>Reinforcements[[#This Row],[Lu (in)]]*Reinforcements[[#This Row],[Effective Length Factor Ky]]</calculatedColumnFormula>
    </tableColumn>
    <tableColumn id="147" xr3:uid="{00000000-0010-0000-0100-000093000000}" name="rx (in)" dataDxfId="177">
      <calculatedColumnFormula>Reinforcements[[#This Row],[rx]]</calculatedColumnFormula>
    </tableColumn>
    <tableColumn id="148" xr3:uid="{00000000-0010-0000-0100-000094000000}" name="ry (in)" dataDxfId="176">
      <calculatedColumnFormula>Reinforcements[[#This Row],[ry]]</calculatedColumnFormula>
    </tableColumn>
    <tableColumn id="171" xr3:uid="{00000000-0010-0000-0100-0000AB000000}" name="Lcx/rx" dataDxfId="175">
      <calculatedColumnFormula>Reinforcements[[#This Row],[Lcx (in)]]/Reinforcements[[#This Row],[rx (in)]]</calculatedColumnFormula>
    </tableColumn>
    <tableColumn id="172" xr3:uid="{00000000-0010-0000-0100-0000AC000000}" name="Lcy/ry" dataDxfId="174">
      <calculatedColumnFormula>Reinforcements[[#This Row],[Lcy (in)]]/Reinforcements[[#This Row],[ry (in)]]</calculatedColumnFormula>
    </tableColumn>
    <tableColumn id="149" xr3:uid="{00000000-0010-0000-0100-000095000000}" name="Fex, FB (ksi)" dataDxfId="173">
      <calculatedColumnFormula>((PI()^2)*Reinforcements[[#This Row],[E, (ksi)]])/(Reinforcements[[#This Row],[Lcx/rx]]^2)</calculatedColumnFormula>
    </tableColumn>
    <tableColumn id="150" xr3:uid="{00000000-0010-0000-0100-000096000000}" name="Fey, FB (ksi)" dataDxfId="172">
      <calculatedColumnFormula>((PI()^2)*Reinforcements[[#This Row],[E, (ksi)]])/(Reinforcements[[#This Row],[Lcy/ry]]^2)</calculatedColumnFormula>
    </tableColumn>
    <tableColumn id="161" xr3:uid="{00000000-0010-0000-0100-0000A1000000}" name="Fcr Limit" dataDxfId="171">
      <calculatedColumnFormula>4.71*(SQRT(Reinforcements[[#This Row],[E, (ksi)]]/Reinforcements[[#This Row],[Fy, (ksi)]]))</calculatedColumnFormula>
    </tableColumn>
    <tableColumn id="162" xr3:uid="{00000000-0010-0000-0100-0000A2000000}" name="Fcrx (ksi)" dataDxfId="17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8">
      <calculatedColumnFormula>Reinforcements[[#This Row],[Fcrx (ksi)]]*Reinforcements[[#This Row],[Gross Area (in2)]]</calculatedColumnFormula>
    </tableColumn>
    <tableColumn id="165" xr3:uid="{00000000-0010-0000-0100-0000A5000000}" name="Pny, FB (kip)" dataDxfId="167">
      <calculatedColumnFormula>Reinforcements[[#This Row],[Fcry (ksi)]]*Reinforcements[[#This Row],[Gross Area (in2)]]</calculatedColumnFormula>
    </tableColumn>
    <tableColumn id="166" xr3:uid="{00000000-0010-0000-0100-0000A6000000}" name="yo" dataDxfId="166">
      <calculatedColumnFormula>IF(Reinforcements[[#This Row],[Type]]="channel",0,"N/A")</calculatedColumnFormula>
    </tableColumn>
    <tableColumn id="187" xr3:uid="{00000000-0010-0000-0100-0000BB000000}" name="b" dataDxfId="165">
      <calculatedColumnFormula>IF(Reinforcements[[#This Row],[Type]]="channel",Reinforcements[[#This Row],[Channel Flange Width, b]]-(0.5*Reinforcements[[#This Row],[Channel web thickness, tw]]),"N/A")</calculatedColumnFormula>
    </tableColumn>
    <tableColumn id="188" xr3:uid="{00000000-0010-0000-0100-0000BC000000}" name="h" dataDxfId="164">
      <calculatedColumnFormula>IF(Reinforcements[[#This Row],[Type]]="channel",Reinforcements[[#This Row],[Channel Height, h]]-Reinforcements[[#This Row],[Channel flange thickness, tf]],"N/A")</calculatedColumnFormula>
    </tableColumn>
    <tableColumn id="189" xr3:uid="{00000000-0010-0000-0100-0000BD000000}" name="t" dataDxfId="163">
      <calculatedColumnFormula>IF(Reinforcements[[#This Row],[Type]]="channel",Reinforcements[[#This Row],[Channel web thickness, tw]],"N/A")</calculatedColumnFormula>
    </tableColumn>
    <tableColumn id="167" xr3:uid="{00000000-0010-0000-0100-0000A7000000}" name="eo" dataDxfId="162">
      <calculatedColumnFormula>IF(Reinforcements[[#This Row],[Type]]="channel",((3*Reinforcements[[#This Row],[b]]^2)/(Reinforcements[[#This Row],[h]]+(6*Reinforcements[[#This Row],[b]])))-Reinforcements[[#This Row],[t]]/2,"N/A")</calculatedColumnFormula>
    </tableColumn>
    <tableColumn id="168" xr3:uid="{00000000-0010-0000-0100-0000A8000000}" name="x(bar)" dataDxfId="161">
      <calculatedColumnFormula>Reinforcements[[#This Row],[Pole Face to Centroid (in)]]</calculatedColumnFormula>
    </tableColumn>
    <tableColumn id="169" xr3:uid="{00000000-0010-0000-0100-0000A9000000}" name="xo" dataDxfId="160">
      <calculatedColumnFormula>IF(Reinforcements[[#This Row],[Type]]="channel",Reinforcements[[#This Row],[x(bar)]]+Reinforcements[[#This Row],['[Channel'] e0 (in)]],"N/A")</calculatedColumnFormula>
    </tableColumn>
    <tableColumn id="170" xr3:uid="{00000000-0010-0000-0100-0000AA000000}" name="Ix (FTB)" dataDxfId="159">
      <calculatedColumnFormula>IF(Reinforcements[[#This Row],[Type]]="channel",Reinforcements[[#This Row],[Ix]],"N/A")</calculatedColumnFormula>
    </tableColumn>
    <tableColumn id="156" xr3:uid="{00000000-0010-0000-0100-00009C000000}" name="Iy (FTB)" dataDxfId="158">
      <calculatedColumnFormula>IF(Reinforcements[[#This Row],[Type]]="channel",Reinforcements[[#This Row],[Iy]],"N/A")</calculatedColumnFormula>
    </tableColumn>
    <tableColumn id="157" xr3:uid="{00000000-0010-0000-0100-00009D000000}" name="Ag" dataDxfId="157">
      <calculatedColumnFormula>IF(Reinforcements[[#This Row],[Type]]="channel",Reinforcements[[#This Row],[Gross Area (in2)]],"N/A")</calculatedColumnFormula>
    </tableColumn>
    <tableColumn id="158" xr3:uid="{00000000-0010-0000-0100-00009E000000}" name="ro^2(bar)" dataDxfId="156">
      <calculatedColumnFormula>IF(Reinforcements[[#This Row],[Type]]="channel",(Reinforcements[[#This Row],[xo]]^2)+((Reinforcements[[#This Row],[Ix (FTB)]]+Reinforcements[[#This Row],[Iy (FTB)]])/Reinforcements[[#This Row],[Ag]]),"N/A")</calculatedColumnFormula>
    </tableColumn>
    <tableColumn id="159" xr3:uid="{00000000-0010-0000-0100-00009F000000}" name="Lz" dataDxfId="155">
      <calculatedColumnFormula>IF(Reinforcements[[#This Row],[Type]]="channel",Reinforcements[[#This Row],[Lu (in)]],"N/A")</calculatedColumnFormula>
    </tableColumn>
    <tableColumn id="160" xr3:uid="{00000000-0010-0000-0100-0000A0000000}" name="Kz" dataDxfId="154">
      <calculatedColumnFormula>IF(Reinforcements[[#This Row],[Type]]="channel",Reinforcements[[#This Row],[Effective Length Factor Kx]],"N/A")</calculatedColumnFormula>
    </tableColumn>
    <tableColumn id="151" xr3:uid="{00000000-0010-0000-0100-000097000000}" name="Lcz" dataDxfId="153">
      <calculatedColumnFormula>IF(Reinforcements[[#This Row],[Type]]="channel",Reinforcements[[#This Row],[Kz]]*Reinforcements[[#This Row],[Lz]],"N/A")</calculatedColumnFormula>
    </tableColumn>
    <tableColumn id="153" xr3:uid="{00000000-0010-0000-0100-000099000000}" name="J" dataDxfId="152">
      <calculatedColumnFormula>IF(Reinforcements[[#This Row],[Type]]="channel",(((Reinforcements[[#This Row],[t]]^3)/3)*(Reinforcements[[#This Row],[h]]+(2*Reinforcements[[#This Row],[b]]))),"N/A")</calculatedColumnFormula>
    </tableColumn>
    <tableColumn id="154" xr3:uid="{00000000-0010-0000-0100-00009A000000}" name="H2" dataDxfId="151">
      <calculatedColumnFormula>IF(Reinforcements[[#This Row],[Type]]="channel",(1-(((Reinforcements[[#This Row],[xo]]^2)+(Reinforcements[[#This Row],[yo]]^2))/Reinforcements[[#This Row],[ro^2(bar)]])),"N/A")</calculatedColumnFormula>
    </tableColumn>
    <tableColumn id="155" xr3:uid="{00000000-0010-0000-0100-00009B000000}" name="G" dataDxfId="150"/>
    <tableColumn id="173" xr3:uid="{00000000-0010-0000-0100-0000AD000000}" name="Cw" dataDxfId="14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7">
      <calculatedColumnFormula>IF(Reinforcements[[#This Row],[Type]]="channel",((PI()^2)*Reinforcements[[#This Row],[E, (ksi)]])/(Reinforcements[[#This Row],[Lcy/ry]]^2),"N/A")</calculatedColumnFormula>
    </tableColumn>
    <tableColumn id="176" xr3:uid="{00000000-0010-0000-0100-0000B0000000}" name="Fe (FTB)" dataDxfId="14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4">
      <calculatedColumnFormula>IF(Reinforcements[[#This Row],[Type]]="channel",MIN(Reinforcements[[#This Row],[Fcr(FTB)]],Reinforcements[[#This Row],[Fcry (ksi)]]),"N/A")</calculatedColumnFormula>
    </tableColumn>
    <tableColumn id="179" xr3:uid="{00000000-0010-0000-0100-0000B3000000}" name="c1" dataDxfId="143"/>
    <tableColumn id="180" xr3:uid="{00000000-0010-0000-0100-0000B4000000}" name="c2" dataDxfId="142"/>
    <tableColumn id="181" xr3:uid="{00000000-0010-0000-0100-0000B5000000}" name="Fel(f)" dataDxfId="141">
      <calculatedColumnFormula>IF(Reinforcements[[#This Row],[Type]]="channel",((Reinforcements[[#This Row],[c2]]*(Reinforcements[[#This Row],[λrf]]/Reinforcements[[#This Row],[λf]]))^2)*Reinforcements[[#This Row],[Fy, (ksi)]],"N/A")</calculatedColumnFormula>
    </tableColumn>
    <tableColumn id="182" xr3:uid="{00000000-0010-0000-0100-0000B6000000}" name="Fel(w)" dataDxfId="140">
      <calculatedColumnFormula>IF(Reinforcements[[#This Row],[Type]]="channel",((Reinforcements[[#This Row],[c2]]*(Reinforcements[[#This Row],[λrw]]/Reinforcements[[#This Row],[λw]]))^2)*Reinforcements[[#This Row],[Fy, (ksi)]],"N/A")</calculatedColumnFormula>
    </tableColumn>
    <tableColumn id="183" xr3:uid="{00000000-0010-0000-0100-0000B7000000}" name="be" dataDxfId="13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6">
      <calculatedColumnFormula>IF(Reinforcements[[#This Row],[Type]]="channel",Reinforcements[[#This Row],[Fcr]]*Reinforcements[[#This Row],[Ae]],"N/A")</calculatedColumnFormula>
    </tableColumn>
    <tableColumn id="90" xr3:uid="{00000000-0010-0000-0100-00005A000000}" name="Rev. H Compression Capacity x-x (kips)" dataDxfId="135">
      <calculatedColumnFormula>IF(Reinforcements[[#This Row],[Reinforcement]]="","",φ_c*Reinforcements[[#This Row],[Pnx, FB (kip)]])</calculatedColumnFormula>
    </tableColumn>
    <tableColumn id="101" xr3:uid="{00000000-0010-0000-0100-000065000000}" name="Rev. H Compression Capacity y-y (kips)" dataDxfId="13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3">
      <calculatedColumnFormula>Reinforcements[[#This Row],[Rev. G Tension Yield Capacity (kips)]]</calculatedColumnFormula>
    </tableColumn>
    <tableColumn id="104" xr3:uid="{00000000-0010-0000-0100-000068000000}" name="Rev. H Tension Rupture Capacity (kips)" dataDxfId="132">
      <calculatedColumnFormula>Reinforcements[[#This Row],[Rev. G Tension Rupture Capacity (kips)]]</calculatedColumnFormula>
    </tableColumn>
    <tableColumn id="105" xr3:uid="{00000000-0010-0000-0100-000069000000}" name="Rev. H Shear Capacity (kips)" dataDxfId="131">
      <calculatedColumnFormula>Reinforcements[[#This Row],[Rev. G Shear Capacity (kips)]]</calculatedColumnFormula>
    </tableColumn>
    <tableColumn id="202" xr3:uid="{00000000-0010-0000-0100-0000CA000000}" name="Lb(bottom)" dataDxfId="130">
      <calculatedColumnFormula>IFERROR((Reinforcements[[#This Row],['# of End Connection Bolts          (Bottom)]]-1)*Reinforcements[[#This Row],[End Connection Bolt Spacing (in) (B)]],"-")</calculatedColumnFormula>
    </tableColumn>
    <tableColumn id="203" xr3:uid="{00000000-0010-0000-0100-0000CB000000}" name="Rb(bottom)" dataDxfId="12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6">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4">
      <calculatedColumnFormula>Reinforcements[[#This Row],[Rev. G Bolt-Shaft Bearing Capacity (Bottom)                No Deformation          (*t*Fu kips)]]</calculatedColumnFormula>
    </tableColumn>
    <tableColumn id="122" xr3:uid="{00000000-0010-0000-0100-00007A000000}" name="Rev. H Bolt-Shaft Bearing Capacity (Bottom) Deformation (*t*Fu kips)" dataDxfId="123">
      <calculatedColumnFormula>Reinforcements[[#This Row],[Rev. G Bolt-Shaft Bearing Capacity (Bottom)                   Deformation          (*t*Fu kips)]]</calculatedColumnFormula>
    </tableColumn>
    <tableColumn id="123" xr3:uid="{00000000-0010-0000-0100-00007B000000}" name="Rev. H Bolt-Shaft Bearing Capacity (Top) No Deformation (*t*Fu kips)" dataDxfId="122">
      <calculatedColumnFormula>Reinforcements[[#This Row],[Rev. G Bolt-Shaft Bearing Capacity (Top)                    No Deformation          (*t*Fu kips)]]</calculatedColumnFormula>
    </tableColumn>
    <tableColumn id="124" xr3:uid="{00000000-0010-0000-0100-00007C000000}" name="Rev. H Bolt-Shaft Bearing Capacity (Top) Deformation (*t*Fu kips)" dataDxfId="121">
      <calculatedColumnFormula>Reinforcements[[#This Row],[Rev. G Bolt-Shaft Bearing Capacity (Top)                        Deformation          (*t*Fu kips)]]</calculatedColumnFormula>
    </tableColumn>
    <tableColumn id="129" xr3:uid="{00000000-0010-0000-0100-000081000000}" name="Rev. H Bolt-Reinf. Bearing Capacity (Bottom) No Deformation (kips)" dataDxfId="120">
      <calculatedColumnFormula>Reinforcements[[#This Row],[Rev. G Bolt-Reinf. Bearing Capacity (Bottom)            No Deformation (kips)]]</calculatedColumnFormula>
    </tableColumn>
    <tableColumn id="130" xr3:uid="{00000000-0010-0000-0100-000082000000}" name="Rev. H Bolt-Reinf. Bearing Capacity (Bottom) Deformation (kips)" dataDxfId="119">
      <calculatedColumnFormula>Reinforcements[[#This Row],[Rev. G Bolt-Reinf. Bearing Capacity (Bottom)               Deformation (kips)]]</calculatedColumnFormula>
    </tableColumn>
    <tableColumn id="133" xr3:uid="{00000000-0010-0000-0100-000085000000}" name="Rev. H Bolt-Reinf. Bearing Capacity (Top) No Deformation (kips)" dataDxfId="118">
      <calculatedColumnFormula>Reinforcements[[#This Row],[Rev. G Bolt-Reinf. Bearing Capacity (Top)                  No Deformation (kips)]]</calculatedColumnFormula>
    </tableColumn>
    <tableColumn id="134" xr3:uid="{00000000-0010-0000-0100-000086000000}" name="Rev. H Bolt-Reinf. Bearing Capacity (Top) Deformation (kips)" dataDxfId="117">
      <calculatedColumnFormula>Reinforcements[[#This Row],[Rev. G Bolt-Reinf. Bearing Capacity (Top)               Deformation (kips)]]</calculatedColumnFormula>
    </tableColumn>
    <tableColumn id="136" xr3:uid="{00000000-0010-0000-0100-000088000000}" name="Rev. H Bottom Transverse Weld Strangth" dataDxfId="116">
      <calculatedColumnFormula>Reinforcements[[#This Row],[Rev. G Bottom Transverse Weld Strength]]</calculatedColumnFormula>
    </tableColumn>
    <tableColumn id="137" xr3:uid="{00000000-0010-0000-0100-000089000000}" name="Rev. H Bottom Longitudinal Weld Strength" dataDxfId="115">
      <calculatedColumnFormula>Reinforcements[[#This Row],[Rev. G Bottom Longitudinal Weld Strength]]</calculatedColumnFormula>
    </tableColumn>
    <tableColumn id="141" xr3:uid="{00000000-0010-0000-0100-00008D000000}" name="Rev. H Top Transverse Weld Strength" dataDxfId="114">
      <calculatedColumnFormula>Reinforcements[[#This Row],[Rev. G Top Transverse Weld Strength]]</calculatedColumnFormula>
    </tableColumn>
    <tableColumn id="142" xr3:uid="{00000000-0010-0000-0100-00008E000000}" name="Rev. H Top Longitudinal Weld Strength" dataDxfId="113">
      <calculatedColumnFormula>Reinforcements[[#This Row],[Rev. G Top Longitudinal Weld Strength]]</calculatedColumnFormula>
    </tableColumn>
    <tableColumn id="208" xr3:uid="{87932862-D00C-4FB3-B41E-3F9882CC57F5}" name="Reinf ID" dataDxfId="112"/>
    <tableColumn id="209" xr3:uid="{B056EEB5-675C-45C7-9BAA-30913E2FA2BA}" name="Default?" dataDxfId="11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0" dataDxfId="109">
  <autoFilter ref="B3:AO24" xr:uid="{00000000-0009-0000-0100-000002000000}"/>
  <tableColumns count="40">
    <tableColumn id="1" xr3:uid="{00000000-0010-0000-0200-000001000000}" name="Bolt Name" dataDxfId="108"/>
    <tableColumn id="2" xr3:uid="{00000000-0010-0000-0200-000002000000}" name="Description" dataDxfId="107"/>
    <tableColumn id="3" xr3:uid="{00000000-0010-0000-0200-000003000000}" name="Bolt Diameter (in)" dataDxfId="106">
      <calculatedColumnFormula>20/25.4</calculatedColumnFormula>
    </tableColumn>
    <tableColumn id="26" xr3:uid="{00000000-0010-0000-0200-00001A000000}" name="Bolt Diameter (mm)" dataDxfId="105">
      <calculatedColumnFormula>IF(Bolts[[#This Row],[Bolt Name]]="","",Bolts[[#This Row],[Bolt Diameter (in)]]*25.4)</calculatedColumnFormula>
    </tableColumn>
    <tableColumn id="4" xr3:uid="{00000000-0010-0000-0200-000004000000}" name="Area of Bolt (in2)" dataDxfId="104">
      <calculatedColumnFormula>IF(Bolts[[#This Row],[Bolt Name]]="","",PI()/4*Bolts[[#This Row],[Bolt Diameter (in)]]^2)</calculatedColumnFormula>
    </tableColumn>
    <tableColumn id="5" xr3:uid="{00000000-0010-0000-0200-000005000000}" name="Bolt Fu (ksi)" dataDxfId="103"/>
    <tableColumn id="6" xr3:uid="{00000000-0010-0000-0200-000006000000}" name="Sleeve Outer Diameter (in)" dataDxfId="102">
      <calculatedColumnFormula>29/25.4</calculatedColumnFormula>
    </tableColumn>
    <tableColumn id="7" xr3:uid="{00000000-0010-0000-0200-000007000000}" name="Sleeve Inner Diameter (in)" dataDxfId="101">
      <calculatedColumnFormula>20.295/25.4</calculatedColumnFormula>
    </tableColumn>
    <tableColumn id="8" xr3:uid="{00000000-0010-0000-0200-000008000000}" name="Sleeve Area (in2)" dataDxfId="100">
      <calculatedColumnFormula>PI()/4*(Bolts[[#This Row],[Sleeve Outer Diameter (in)]]^2-Bolts[[#This Row],[Sleeve Inner Diameter (in)]]^2)</calculatedColumnFormula>
    </tableColumn>
    <tableColumn id="9" xr3:uid="{00000000-0010-0000-0200-000009000000}" name="Sleeve Fu (ksi)" dataDxfId="99"/>
    <tableColumn id="10" xr3:uid="{00000000-0010-0000-0200-00000A000000}" name="Rev. F FVN" dataDxfId="98">
      <calculatedColumnFormula>IF(Bolts[[#This Row],[Bolt Fu (ksi)]]=120,21,IF(Bolts[[#This Row],[Bolt Fu (ksi)]]=150,28,"Error"))</calculatedColumnFormula>
    </tableColumn>
    <tableColumn id="11" xr3:uid="{00000000-0010-0000-0200-00000B000000}" name="Rev. F FVX" dataDxfId="97">
      <calculatedColumnFormula>IF(Bolts[[#This Row],[Bolt Fu (ksi)]]=120,30,IF(Bolts[[#This Row],[Bolt Fu (ksi)]]=150,40,"Error"))</calculatedColumnFormula>
    </tableColumn>
    <tableColumn id="12" xr3:uid="{00000000-0010-0000-0200-00000C000000}" name="Rev. F RN" dataDxfId="96">
      <calculatedColumnFormula>Bolts[[#This Row],[Rev. F FVN]]*Bolts[[#This Row],[Area of Bolt (in2)]]</calculatedColumnFormula>
    </tableColumn>
    <tableColumn id="13" xr3:uid="{00000000-0010-0000-0200-00000D000000}" name="Rev. F RX" dataDxfId="95">
      <calculatedColumnFormula>Bolts[[#This Row],[Rev. F FVX]]*Bolts[[#This Row],[Area of Bolt (in2)]]</calculatedColumnFormula>
    </tableColumn>
    <tableColumn id="14" xr3:uid="{00000000-0010-0000-0200-00000E000000}" name="Rev. F Sleeve FVX" dataDxfId="94">
      <calculatedColumnFormula>M4*(K4/G4)</calculatedColumnFormula>
    </tableColumn>
    <tableColumn id="15" xr3:uid="{00000000-0010-0000-0200-00000F000000}" name="Rev. F Sleeve RN" dataDxfId="93">
      <calculatedColumnFormula>Bolts[[#This Row],[Rev. F Sleeve FVX]]*Bolts[[#This Row],[Sleeve Area (in2)]]</calculatedColumnFormula>
    </tableColumn>
    <tableColumn id="16" xr3:uid="{00000000-0010-0000-0200-000010000000}" name="Rev. G FNVN" dataDxfId="92">
      <calculatedColumnFormula>0.45*G4</calculatedColumnFormula>
    </tableColumn>
    <tableColumn id="17" xr3:uid="{00000000-0010-0000-0200-000011000000}" name="Rev. G FNVX" dataDxfId="91">
      <calculatedColumnFormula>0.55*G4</calculatedColumnFormula>
    </tableColumn>
    <tableColumn id="18" xr3:uid="{00000000-0010-0000-0200-000012000000}" name="Rev. G ΦRNN" dataDxfId="90">
      <calculatedColumnFormula>φ_bolt_shear*Bolts[[#This Row],[Rev. G FNVN]]*Bolts[[#This Row],[Area of Bolt (in2)]]</calculatedColumnFormula>
    </tableColumn>
    <tableColumn id="19" xr3:uid="{00000000-0010-0000-0200-000013000000}" name="Rev. G ΦRNX" dataDxfId="89">
      <calculatedColumnFormula>φ_bolt_shear*Bolts[[#This Row],[Rev. G FNVX]]*Bolts[[#This Row],[Area of Bolt (in2)]]</calculatedColumnFormula>
    </tableColumn>
    <tableColumn id="20" xr3:uid="{00000000-0010-0000-0200-000014000000}" name="Rev. G Sleeve FNVX" dataDxfId="88">
      <calculatedColumnFormula>0.55*K4</calculatedColumnFormula>
    </tableColumn>
    <tableColumn id="21" xr3:uid="{00000000-0010-0000-0200-000015000000}" name="Rev. G Sleeve ΦRNX" dataDxfId="87">
      <calculatedColumnFormula>φ_bolt_shear*Bolts[[#This Row],[Rev. G Sleeve FNVX]]*Bolts[[#This Row],[Sleeve Area (in2)]]</calculatedColumnFormula>
    </tableColumn>
    <tableColumn id="32" xr3:uid="{00000000-0010-0000-0200-000020000000}" name="Rev. H FNVN" dataDxfId="86">
      <calculatedColumnFormula>IF(Bolts[[#This Row],[Bolt Name]]="","",0.625*0.8*Bolts[[#This Row],[Bolt Fu (ksi)]])</calculatedColumnFormula>
    </tableColumn>
    <tableColumn id="31" xr3:uid="{00000000-0010-0000-0200-00001F000000}" name="Rev. H FNVX" dataDxfId="85">
      <calculatedColumnFormula>IF(Bolts[[#This Row],[Bolt Name]]="","",0.625*Bolts[[#This Row],[Bolt Fu (ksi)]])</calculatedColumnFormula>
    </tableColumn>
    <tableColumn id="30" xr3:uid="{00000000-0010-0000-0200-00001E000000}" name="Rev. H ΦRNN" dataDxfId="84">
      <calculatedColumnFormula>φ_bolt_shear*Bolts[[#This Row],[Rev. H FNVN]]*Bolts[[#This Row],[Area of Bolt (in2)]]</calculatedColumnFormula>
    </tableColumn>
    <tableColumn id="29" xr3:uid="{00000000-0010-0000-0200-00001D000000}" name="Rev. H ΦRNX" dataDxfId="83">
      <calculatedColumnFormula>φ_bolt_shear*Bolts[[#This Row],[Rev. H FNVX]]*Bolts[[#This Row],[Area of Bolt (in2)]]</calculatedColumnFormula>
    </tableColumn>
    <tableColumn id="28" xr3:uid="{00000000-0010-0000-0200-00001C000000}" name="Rev. H Sleeve FNVX" dataDxfId="82">
      <calculatedColumnFormula>IF(Bolts[[#This Row],[Bolt Name]]="","",0.625*Bolts[[#This Row],[Sleeve Fu (ksi)]])</calculatedColumnFormula>
    </tableColumn>
    <tableColumn id="27" xr3:uid="{00000000-0010-0000-0200-00001B000000}" name="Rev. H Sleeve ΦRNX" dataDxfId="81">
      <calculatedColumnFormula>φ_bolt_shear*Bolts[[#This Row],[Rev. H Sleeve FNVX]]*Bolts[[#This Row],[Sleeve Area (in2)]]</calculatedColumnFormula>
    </tableColumn>
    <tableColumn id="22" xr3:uid="{00000000-0010-0000-0200-000016000000}" name="Rev. F Bolt (N) + Sleeve Shear Capacity" dataDxfId="80">
      <calculatedColumnFormula>IF(Bolts[[#This Row],[Bolt Name]]="","",(Bolts[[#This Row],[Rev. F RN]]+Bolts[[#This Row],[Rev. F Sleeve RN]]))</calculatedColumnFormula>
    </tableColumn>
    <tableColumn id="23" xr3:uid="{00000000-0010-0000-0200-000017000000}" name="Rev. F Bolt (X) + Sleeve Shear Capacity" dataDxfId="79">
      <calculatedColumnFormula>IF(Bolts[[#This Row],[Bolt Name]]="","",(Bolts[[#This Row],[Rev. F RX]]+Bolts[[#This Row],[Rev. F Sleeve RN]]))</calculatedColumnFormula>
    </tableColumn>
    <tableColumn id="24" xr3:uid="{00000000-0010-0000-0200-000018000000}" name="Rev. G Bolt (N) + Sleeve Shear Capacity" dataDxfId="78">
      <calculatedColumnFormula>IF(Bolts[[#This Row],[Bolt Name]]="","",Bolts[[#This Row],[Rev. G ΦRNN]]+Bolts[[#This Row],[Rev. G Sleeve ΦRNX]])</calculatedColumnFormula>
    </tableColumn>
    <tableColumn id="25" xr3:uid="{00000000-0010-0000-0200-000019000000}" name="Rev. G Bolt (X) + Sleeve Shear Capacity" dataDxfId="77">
      <calculatedColumnFormula>IF(Bolts[[#This Row],[Bolt Name]]="","",Bolts[[#This Row],[Rev. G ΦRNX]]+Bolts[[#This Row],[Rev. G Sleeve ΦRNX]])</calculatedColumnFormula>
    </tableColumn>
    <tableColumn id="33" xr3:uid="{00000000-0010-0000-0200-000021000000}" name="Rev. H Bolt (N) Capacity" dataDxfId="76">
      <calculatedColumnFormula>IF(Bolts[[#This Row],[Bolt Name]]="","",Bolts[[#This Row],[Rev. H ΦRNN]])</calculatedColumnFormula>
    </tableColumn>
    <tableColumn id="34" xr3:uid="{00000000-0010-0000-0200-000022000000}" name="Rev. H Bolt (X) Capacity" dataDxfId="75">
      <calculatedColumnFormula>IF(Bolts[[#This Row],[Bolt Name]]="","",Bolts[[#This Row],[Rev. H ΦRNX]])</calculatedColumnFormula>
    </tableColumn>
    <tableColumn id="35" xr3:uid="{00000000-0010-0000-0200-000023000000}" name="Rev. H Shear Sleeve Capacity" dataDxfId="74">
      <calculatedColumnFormula>IF(Bolts[[#This Row],[Bolt Name]]="","",Bolts[[#This Row],[Rev. H Sleeve ΦRNX]])</calculatedColumnFormula>
    </tableColumn>
    <tableColumn id="36" xr3:uid="{0AC280F5-4642-4976-91FF-583768425F60}" name="Rev. H Bolt (N) + Sleeve Shear Capacity" dataDxfId="73">
      <calculatedColumnFormula>IF(Bolts[[#This Row],[Bolt Name]]="","",Bolts[[#This Row],[Rev. H Bolt (N) Capacity]]+Bolts[[#This Row],[Rev. H Shear Sleeve Capacity]])</calculatedColumnFormula>
    </tableColumn>
    <tableColumn id="37" xr3:uid="{5D605C0A-551D-465F-BBA4-A4E88AC64D0A}" name="Rev. H Bolt (X) + Sleeve Shear Capacity" dataDxfId="72">
      <calculatedColumnFormula>IF(Bolts[[#This Row],[Bolt Name]]="","",Bolts[[#This Row],[Rev. H Bolt (X) Capacity]]+Bolts[[#This Row],[Rev. H Shear Sleeve Capacity]])</calculatedColumnFormula>
    </tableColumn>
    <tableColumn id="38" xr3:uid="{56FC14A9-D2B9-4A2B-86A5-C65C17E7F5E1}" name="Rev. H Apply Connection Length Reduction Factor (Rb)?" dataDxfId="71">
      <calculatedColumnFormula>IF(Bolts[[#This Row],[Bolt Name]]="","","Yes")</calculatedColumnFormula>
    </tableColumn>
    <tableColumn id="39" xr3:uid="{D7D3E454-7D1B-4E5A-B190-1EEBC3EDDE96}" name="Bolt ID" dataDxfId="70"/>
    <tableColumn id="40" xr3:uid="{8B9277B2-65CB-4D36-858D-E480E2C5F6BB}" name="Default?" dataDxfId="69">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U31" totalsRowShown="0">
  <autoFilter ref="B2:U31" xr:uid="{6E8247F2-B3FA-4D50-87B7-9DD934702331}"/>
  <tableColumns count="20">
    <tableColumn id="1" xr3:uid="{FD1681DC-25CE-4100-AEED-92518F239D30}" name="Default Sheet Name"/>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700"/>
      <c r="N1" s="701"/>
      <c r="O1" s="701"/>
      <c r="P1" s="701"/>
      <c r="Q1" s="701"/>
      <c r="R1" s="701"/>
      <c r="S1" s="701"/>
      <c r="T1" s="701"/>
      <c r="U1" s="701"/>
      <c r="V1" s="701"/>
      <c r="W1" s="701"/>
      <c r="X1" s="701"/>
      <c r="Y1" s="701"/>
      <c r="Z1" s="701"/>
    </row>
    <row r="2" spans="2:59" ht="21" customHeight="1" x14ac:dyDescent="0.2">
      <c r="M2" s="701"/>
      <c r="N2" s="701"/>
      <c r="O2" s="701"/>
      <c r="P2" s="701"/>
      <c r="Q2" s="701"/>
      <c r="R2" s="701"/>
      <c r="S2" s="701"/>
      <c r="T2" s="701"/>
      <c r="U2" s="701"/>
      <c r="V2" s="701"/>
      <c r="W2" s="701"/>
      <c r="X2" s="701"/>
      <c r="Y2" s="701"/>
      <c r="Z2" s="701"/>
    </row>
    <row r="3" spans="2:59" ht="25.9" customHeight="1" x14ac:dyDescent="0.45">
      <c r="R3" s="63"/>
      <c r="S3" s="63"/>
      <c r="T3" s="63"/>
      <c r="U3" s="458" t="s">
        <v>1009</v>
      </c>
      <c r="V3" s="26"/>
      <c r="W3" s="26"/>
      <c r="X3" s="26"/>
      <c r="AP3" s="64"/>
    </row>
    <row r="4" spans="2:59" ht="22.9" customHeight="1" x14ac:dyDescent="0.25">
      <c r="Q4" s="7" t="s">
        <v>114</v>
      </c>
      <c r="R4" s="695"/>
      <c r="S4" s="696"/>
      <c r="T4" s="696"/>
      <c r="U4" s="696"/>
      <c r="V4" s="696"/>
      <c r="W4" s="696"/>
      <c r="AT4"/>
      <c r="BG4" s="66" t="s">
        <v>973</v>
      </c>
    </row>
    <row r="5" spans="2:59" ht="17.25" customHeight="1" x14ac:dyDescent="0.2">
      <c r="I5" s="21"/>
      <c r="N5" s="21"/>
      <c r="Q5" s="7" t="s">
        <v>107</v>
      </c>
      <c r="R5" s="697"/>
      <c r="S5" s="698"/>
      <c r="T5" s="698"/>
      <c r="U5" s="698"/>
      <c r="V5" s="698"/>
      <c r="W5" s="698"/>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85" t="s">
        <v>0</v>
      </c>
      <c r="D7" s="685"/>
      <c r="E7" s="685"/>
      <c r="F7" s="685"/>
      <c r="G7" s="685" t="s">
        <v>1002</v>
      </c>
      <c r="H7" s="685"/>
      <c r="I7" s="685"/>
      <c r="J7" s="685"/>
      <c r="K7" s="685" t="s">
        <v>11</v>
      </c>
      <c r="L7" s="685"/>
      <c r="M7" s="685"/>
      <c r="N7" s="685"/>
      <c r="O7" s="685" t="s">
        <v>2</v>
      </c>
      <c r="P7" s="685"/>
      <c r="Q7" s="685"/>
      <c r="R7" s="685"/>
      <c r="S7" s="685" t="s">
        <v>1003</v>
      </c>
      <c r="T7" s="685"/>
      <c r="U7" s="685"/>
      <c r="V7" s="685"/>
      <c r="W7" s="685" t="s">
        <v>4</v>
      </c>
      <c r="X7" s="685"/>
      <c r="Y7" s="685"/>
      <c r="Z7" s="685"/>
      <c r="AA7" s="655" t="s">
        <v>5</v>
      </c>
      <c r="AB7" s="657"/>
      <c r="AC7" s="657"/>
      <c r="AD7" s="656"/>
      <c r="AE7" s="655" t="s">
        <v>1004</v>
      </c>
      <c r="AF7" s="657"/>
      <c r="AG7" s="657"/>
      <c r="AH7" s="656"/>
      <c r="AI7" s="685" t="s">
        <v>206</v>
      </c>
      <c r="AJ7" s="685"/>
      <c r="AK7" s="685"/>
      <c r="AL7" s="685"/>
      <c r="AR7" s="1" t="s">
        <v>476</v>
      </c>
    </row>
    <row r="8" spans="2:59" ht="15" x14ac:dyDescent="0.25">
      <c r="B8" s="4" t="str">
        <f>IF(G8="","",1)</f>
        <v/>
      </c>
      <c r="C8" s="680" t="str">
        <f>IF(G8="","",IF(C9="",0,C9)+G8-K8)</f>
        <v/>
      </c>
      <c r="D8" s="680"/>
      <c r="E8" s="680"/>
      <c r="F8" s="680"/>
      <c r="G8" s="673"/>
      <c r="H8" s="673"/>
      <c r="I8" s="673"/>
      <c r="J8" s="673"/>
      <c r="K8" s="673"/>
      <c r="L8" s="673"/>
      <c r="M8" s="673"/>
      <c r="N8" s="673"/>
      <c r="O8" s="673"/>
      <c r="P8" s="673"/>
      <c r="Q8" s="673"/>
      <c r="R8" s="673"/>
      <c r="S8" s="689"/>
      <c r="T8" s="690"/>
      <c r="U8" s="690"/>
      <c r="V8" s="691"/>
      <c r="W8" s="673"/>
      <c r="X8" s="673"/>
      <c r="Y8" s="673"/>
      <c r="Z8" s="673"/>
      <c r="AA8" s="673"/>
      <c r="AB8" s="673"/>
      <c r="AC8" s="673"/>
      <c r="AD8" s="673"/>
      <c r="AE8" s="692" t="str">
        <f>IF(O8&lt;&gt;0,"Auto","")</f>
        <v/>
      </c>
      <c r="AF8" s="693"/>
      <c r="AG8" s="693"/>
      <c r="AH8" s="694"/>
      <c r="AI8" s="673"/>
      <c r="AJ8" s="673"/>
      <c r="AK8" s="673"/>
      <c r="AL8" s="673"/>
      <c r="AM8" s="12"/>
      <c r="AO8" s="219" t="s">
        <v>652</v>
      </c>
      <c r="AR8" s="706"/>
      <c r="AS8" s="707"/>
      <c r="AT8" s="220" t="s">
        <v>653</v>
      </c>
      <c r="AV8" s="220" t="s">
        <v>655</v>
      </c>
      <c r="AW8" s="65"/>
      <c r="AX8" s="65"/>
      <c r="AY8" s="65"/>
      <c r="AZ8" s="627"/>
      <c r="BA8" s="628"/>
      <c r="BB8" s="565" t="s">
        <v>1008</v>
      </c>
      <c r="BC8" s="65"/>
    </row>
    <row r="9" spans="2:59" hidden="1" x14ac:dyDescent="0.2">
      <c r="B9" s="4" t="str">
        <f>IF(G9="","",B8+1)</f>
        <v/>
      </c>
      <c r="C9" s="680" t="str">
        <f>IF(G9="","",IF(C10="",0,C10)+G9-K9)</f>
        <v/>
      </c>
      <c r="D9" s="680"/>
      <c r="E9" s="680"/>
      <c r="F9" s="680"/>
      <c r="G9" s="673"/>
      <c r="H9" s="673"/>
      <c r="I9" s="673"/>
      <c r="J9" s="673"/>
      <c r="K9" s="673"/>
      <c r="L9" s="673"/>
      <c r="M9" s="673"/>
      <c r="N9" s="673"/>
      <c r="O9" s="673"/>
      <c r="P9" s="673"/>
      <c r="Q9" s="673"/>
      <c r="R9" s="673"/>
      <c r="S9" s="686" t="str">
        <f>IF(G9="","",IF(O9=0,W9,W8-K8*12*VLOOKUP(C8,'Geometry 2'!$C$5:$AJ$14,34,FALSE)-IF(OR(K8="",K8=0),0,2)*AA8))</f>
        <v/>
      </c>
      <c r="T9" s="687"/>
      <c r="U9" s="687"/>
      <c r="V9" s="688"/>
      <c r="W9" s="673"/>
      <c r="X9" s="673"/>
      <c r="Y9" s="673"/>
      <c r="Z9" s="673"/>
      <c r="AA9" s="673"/>
      <c r="AB9" s="673"/>
      <c r="AC9" s="673"/>
      <c r="AD9" s="673"/>
      <c r="AE9" s="692" t="str">
        <f t="shared" ref="AE9:AE17" si="0">IF(O9&lt;&gt;0,"Auto","")</f>
        <v/>
      </c>
      <c r="AF9" s="693"/>
      <c r="AG9" s="693"/>
      <c r="AH9" s="694"/>
      <c r="AI9" s="673"/>
      <c r="AJ9" s="673"/>
      <c r="AK9" s="673"/>
      <c r="AL9" s="673"/>
      <c r="AM9" s="12"/>
    </row>
    <row r="10" spans="2:59" hidden="1" x14ac:dyDescent="0.2">
      <c r="B10" s="4" t="str">
        <f t="shared" ref="B10:B17" si="1">IF(G10="","",B9+1)</f>
        <v/>
      </c>
      <c r="C10" s="680" t="str">
        <f>IF(G10="","",IF(C11="",0,C11)+G10-K10)</f>
        <v/>
      </c>
      <c r="D10" s="680"/>
      <c r="E10" s="680"/>
      <c r="F10" s="680"/>
      <c r="G10" s="673"/>
      <c r="H10" s="673"/>
      <c r="I10" s="673"/>
      <c r="J10" s="673"/>
      <c r="K10" s="673"/>
      <c r="L10" s="673"/>
      <c r="M10" s="673"/>
      <c r="N10" s="673"/>
      <c r="O10" s="673"/>
      <c r="P10" s="673"/>
      <c r="Q10" s="673"/>
      <c r="R10" s="673"/>
      <c r="S10" s="686" t="str">
        <f>IF(G10="","",IF(O10=0,W10,W9-K9*12*VLOOKUP(C9,'Geometry 2'!$C$5:$AJ$14,34,FALSE)-IF(OR(K9="",K9=0),0,2)*AA9))</f>
        <v/>
      </c>
      <c r="T10" s="687"/>
      <c r="U10" s="687"/>
      <c r="V10" s="688"/>
      <c r="W10" s="673"/>
      <c r="X10" s="673"/>
      <c r="Y10" s="673"/>
      <c r="Z10" s="673"/>
      <c r="AA10" s="673"/>
      <c r="AB10" s="673"/>
      <c r="AC10" s="673"/>
      <c r="AD10" s="673"/>
      <c r="AE10" s="692" t="str">
        <f t="shared" si="0"/>
        <v/>
      </c>
      <c r="AF10" s="693"/>
      <c r="AG10" s="693"/>
      <c r="AH10" s="694"/>
      <c r="AI10" s="673"/>
      <c r="AJ10" s="673"/>
      <c r="AK10" s="673"/>
      <c r="AL10" s="673"/>
      <c r="AM10" s="12"/>
      <c r="AP10" s="24"/>
    </row>
    <row r="11" spans="2:59" hidden="1" x14ac:dyDescent="0.2">
      <c r="B11" s="4" t="str">
        <f t="shared" si="1"/>
        <v/>
      </c>
      <c r="C11" s="680" t="str">
        <f t="shared" ref="C11:C16" si="2">IF(G11="","",IF(C12="",0,C12)+G11-K11)</f>
        <v/>
      </c>
      <c r="D11" s="680"/>
      <c r="E11" s="680"/>
      <c r="F11" s="680"/>
      <c r="G11" s="673"/>
      <c r="H11" s="673"/>
      <c r="I11" s="673"/>
      <c r="J11" s="673"/>
      <c r="K11" s="673"/>
      <c r="L11" s="673"/>
      <c r="M11" s="673"/>
      <c r="N11" s="673"/>
      <c r="O11" s="673"/>
      <c r="P11" s="673"/>
      <c r="Q11" s="673"/>
      <c r="R11" s="673"/>
      <c r="S11" s="686" t="str">
        <f>IF(G11="","",IF(O11=0,W11,W10-K10*12*VLOOKUP(C10,'Geometry 2'!$C$5:$AJ$14,34,FALSE)-IF(OR(K10="",K10=0),0,2)*AA10))</f>
        <v/>
      </c>
      <c r="T11" s="687"/>
      <c r="U11" s="687"/>
      <c r="V11" s="688"/>
      <c r="W11" s="673"/>
      <c r="X11" s="673"/>
      <c r="Y11" s="673"/>
      <c r="Z11" s="673"/>
      <c r="AA11" s="673"/>
      <c r="AB11" s="673"/>
      <c r="AC11" s="673"/>
      <c r="AD11" s="673"/>
      <c r="AE11" s="692" t="str">
        <f t="shared" si="0"/>
        <v/>
      </c>
      <c r="AF11" s="693"/>
      <c r="AG11" s="693"/>
      <c r="AH11" s="694"/>
      <c r="AI11" s="673"/>
      <c r="AJ11" s="673"/>
      <c r="AK11" s="673"/>
      <c r="AL11" s="673"/>
      <c r="AM11" s="12"/>
      <c r="AP11"/>
    </row>
    <row r="12" spans="2:59" ht="15" hidden="1" customHeight="1" x14ac:dyDescent="0.2">
      <c r="B12" s="4" t="str">
        <f t="shared" si="1"/>
        <v/>
      </c>
      <c r="C12" s="680" t="str">
        <f t="shared" si="2"/>
        <v/>
      </c>
      <c r="D12" s="680"/>
      <c r="E12" s="680"/>
      <c r="F12" s="680"/>
      <c r="G12" s="673"/>
      <c r="H12" s="673"/>
      <c r="I12" s="673"/>
      <c r="J12" s="673"/>
      <c r="K12" s="673"/>
      <c r="L12" s="673"/>
      <c r="M12" s="673"/>
      <c r="N12" s="673"/>
      <c r="O12" s="673"/>
      <c r="P12" s="673"/>
      <c r="Q12" s="673"/>
      <c r="R12" s="673"/>
      <c r="S12" s="686" t="str">
        <f>IF(G12="","",IF(O12=0,W12,W11-K11*12*VLOOKUP(C11,'Geometry 2'!$C$5:$AJ$14,34,FALSE)-IF(OR(K11="",K11=0),0,2)*AA11))</f>
        <v/>
      </c>
      <c r="T12" s="687"/>
      <c r="U12" s="687"/>
      <c r="V12" s="688"/>
      <c r="W12" s="673"/>
      <c r="X12" s="673"/>
      <c r="Y12" s="673"/>
      <c r="Z12" s="673"/>
      <c r="AA12" s="673"/>
      <c r="AB12" s="673"/>
      <c r="AC12" s="673"/>
      <c r="AD12" s="673"/>
      <c r="AE12" s="692" t="str">
        <f t="shared" si="0"/>
        <v/>
      </c>
      <c r="AF12" s="693"/>
      <c r="AG12" s="693"/>
      <c r="AH12" s="694"/>
      <c r="AI12" s="673"/>
      <c r="AJ12" s="673"/>
      <c r="AK12" s="673"/>
      <c r="AL12" s="673"/>
      <c r="AM12" s="12"/>
      <c r="AP12"/>
    </row>
    <row r="13" spans="2:59" ht="15" hidden="1" customHeight="1" x14ac:dyDescent="0.2">
      <c r="B13" s="4" t="str">
        <f t="shared" si="1"/>
        <v/>
      </c>
      <c r="C13" s="680" t="str">
        <f t="shared" si="2"/>
        <v/>
      </c>
      <c r="D13" s="680"/>
      <c r="E13" s="680"/>
      <c r="F13" s="680"/>
      <c r="G13" s="673"/>
      <c r="H13" s="673"/>
      <c r="I13" s="673"/>
      <c r="J13" s="673"/>
      <c r="K13" s="673"/>
      <c r="L13" s="673"/>
      <c r="M13" s="673"/>
      <c r="N13" s="673"/>
      <c r="O13" s="673"/>
      <c r="P13" s="673"/>
      <c r="Q13" s="673"/>
      <c r="R13" s="673"/>
      <c r="S13" s="686" t="str">
        <f>IF(G13="","",IF(O13=0,W13,W12-K12*12*VLOOKUP(C12,'Geometry 2'!$C$5:$AJ$14,34,FALSE)-IF(OR(K12="",K12=0),0,2)*AA12))</f>
        <v/>
      </c>
      <c r="T13" s="687"/>
      <c r="U13" s="687"/>
      <c r="V13" s="688"/>
      <c r="W13" s="673"/>
      <c r="X13" s="673"/>
      <c r="Y13" s="673"/>
      <c r="Z13" s="673"/>
      <c r="AA13" s="673"/>
      <c r="AB13" s="673"/>
      <c r="AC13" s="673"/>
      <c r="AD13" s="673"/>
      <c r="AE13" s="692" t="str">
        <f t="shared" si="0"/>
        <v/>
      </c>
      <c r="AF13" s="693"/>
      <c r="AG13" s="693"/>
      <c r="AH13" s="694"/>
      <c r="AI13" s="673"/>
      <c r="AJ13" s="673"/>
      <c r="AK13" s="673"/>
      <c r="AL13" s="673"/>
      <c r="AM13" s="12"/>
      <c r="AP13"/>
    </row>
    <row r="14" spans="2:59" ht="15" hidden="1" customHeight="1" x14ac:dyDescent="0.2">
      <c r="B14" s="4" t="str">
        <f t="shared" si="1"/>
        <v/>
      </c>
      <c r="C14" s="680" t="str">
        <f t="shared" si="2"/>
        <v/>
      </c>
      <c r="D14" s="680"/>
      <c r="E14" s="680"/>
      <c r="F14" s="680"/>
      <c r="G14" s="673"/>
      <c r="H14" s="673"/>
      <c r="I14" s="673"/>
      <c r="J14" s="673"/>
      <c r="K14" s="673"/>
      <c r="L14" s="673"/>
      <c r="M14" s="673"/>
      <c r="N14" s="673"/>
      <c r="O14" s="673"/>
      <c r="P14" s="673"/>
      <c r="Q14" s="673"/>
      <c r="R14" s="673"/>
      <c r="S14" s="686" t="str">
        <f>IF(G14="","",IF(O14=0,W14,W13-K13*12*VLOOKUP(C13,'Geometry 2'!$C$5:$AJ$14,34,FALSE)-IF(OR(K13="",K13=0),0,2)*AA13))</f>
        <v/>
      </c>
      <c r="T14" s="687"/>
      <c r="U14" s="687"/>
      <c r="V14" s="688"/>
      <c r="W14" s="673"/>
      <c r="X14" s="673"/>
      <c r="Y14" s="673"/>
      <c r="Z14" s="673"/>
      <c r="AA14" s="673"/>
      <c r="AB14" s="673"/>
      <c r="AC14" s="673"/>
      <c r="AD14" s="673"/>
      <c r="AE14" s="692" t="str">
        <f t="shared" si="0"/>
        <v/>
      </c>
      <c r="AF14" s="693"/>
      <c r="AG14" s="693"/>
      <c r="AH14" s="694"/>
      <c r="AI14" s="673"/>
      <c r="AJ14" s="673"/>
      <c r="AK14" s="673"/>
      <c r="AL14" s="673"/>
      <c r="AM14" s="12"/>
      <c r="AP14"/>
    </row>
    <row r="15" spans="2:59" ht="15" hidden="1" customHeight="1" x14ac:dyDescent="0.2">
      <c r="B15" s="4" t="str">
        <f t="shared" si="1"/>
        <v/>
      </c>
      <c r="C15" s="680" t="str">
        <f t="shared" si="2"/>
        <v/>
      </c>
      <c r="D15" s="680"/>
      <c r="E15" s="680"/>
      <c r="F15" s="680"/>
      <c r="G15" s="673"/>
      <c r="H15" s="673"/>
      <c r="I15" s="673"/>
      <c r="J15" s="673"/>
      <c r="K15" s="673"/>
      <c r="L15" s="673"/>
      <c r="M15" s="673"/>
      <c r="N15" s="673"/>
      <c r="O15" s="673"/>
      <c r="P15" s="673"/>
      <c r="Q15" s="673"/>
      <c r="R15" s="673"/>
      <c r="S15" s="686" t="str">
        <f>IF(G15="","",IF(O15=0,W15,W14-K14*12*VLOOKUP(C14,'Geometry 2'!$C$5:$AJ$14,34,FALSE)-IF(OR(K14="",K14=0),0,2)*AA14))</f>
        <v/>
      </c>
      <c r="T15" s="687"/>
      <c r="U15" s="687"/>
      <c r="V15" s="688"/>
      <c r="W15" s="673"/>
      <c r="X15" s="673"/>
      <c r="Y15" s="673"/>
      <c r="Z15" s="673"/>
      <c r="AA15" s="673"/>
      <c r="AB15" s="673"/>
      <c r="AC15" s="673"/>
      <c r="AD15" s="673"/>
      <c r="AE15" s="692" t="str">
        <f t="shared" si="0"/>
        <v/>
      </c>
      <c r="AF15" s="693"/>
      <c r="AG15" s="693"/>
      <c r="AH15" s="694"/>
      <c r="AI15" s="673"/>
      <c r="AJ15" s="673"/>
      <c r="AK15" s="673"/>
      <c r="AL15" s="673"/>
      <c r="AM15" s="12"/>
      <c r="AP15"/>
    </row>
    <row r="16" spans="2:59" ht="15" hidden="1" customHeight="1" x14ac:dyDescent="0.2">
      <c r="B16" s="4" t="str">
        <f t="shared" si="1"/>
        <v/>
      </c>
      <c r="C16" s="680" t="str">
        <f t="shared" si="2"/>
        <v/>
      </c>
      <c r="D16" s="680"/>
      <c r="E16" s="680"/>
      <c r="F16" s="680"/>
      <c r="G16" s="673"/>
      <c r="H16" s="673"/>
      <c r="I16" s="673"/>
      <c r="J16" s="673"/>
      <c r="K16" s="673"/>
      <c r="L16" s="673"/>
      <c r="M16" s="673"/>
      <c r="N16" s="673"/>
      <c r="O16" s="673"/>
      <c r="P16" s="673"/>
      <c r="Q16" s="673"/>
      <c r="R16" s="673"/>
      <c r="S16" s="686" t="str">
        <f>IF(G16="","",IF(O16=0,W16,W15-K15*12*VLOOKUP(C15,'Geometry 2'!$C$5:$AJ$14,34,FALSE)-IF(OR(K15="",K15=0),0,2)*AA15))</f>
        <v/>
      </c>
      <c r="T16" s="687"/>
      <c r="U16" s="687"/>
      <c r="V16" s="688"/>
      <c r="W16" s="673"/>
      <c r="X16" s="673"/>
      <c r="Y16" s="673"/>
      <c r="Z16" s="673"/>
      <c r="AA16" s="673"/>
      <c r="AB16" s="673"/>
      <c r="AC16" s="673"/>
      <c r="AD16" s="673"/>
      <c r="AE16" s="692" t="str">
        <f t="shared" si="0"/>
        <v/>
      </c>
      <c r="AF16" s="693"/>
      <c r="AG16" s="693"/>
      <c r="AH16" s="694"/>
      <c r="AI16" s="673"/>
      <c r="AJ16" s="673"/>
      <c r="AK16" s="673"/>
      <c r="AL16" s="673"/>
      <c r="AM16" s="12"/>
      <c r="AP16"/>
    </row>
    <row r="17" spans="2:51" hidden="1" x14ac:dyDescent="0.2">
      <c r="B17" s="4" t="str">
        <f t="shared" si="1"/>
        <v/>
      </c>
      <c r="C17" s="680" t="str">
        <f>IF(G17="","",G17-K17)</f>
        <v/>
      </c>
      <c r="D17" s="680"/>
      <c r="E17" s="680"/>
      <c r="F17" s="680"/>
      <c r="G17" s="673"/>
      <c r="H17" s="673"/>
      <c r="I17" s="673"/>
      <c r="J17" s="673"/>
      <c r="K17" s="673"/>
      <c r="L17" s="673"/>
      <c r="M17" s="673"/>
      <c r="N17" s="673"/>
      <c r="O17" s="673"/>
      <c r="P17" s="673"/>
      <c r="Q17" s="673"/>
      <c r="R17" s="673"/>
      <c r="S17" s="686" t="str">
        <f>IF(G17="","",IF(O17=0,W17,W16-K16*12*VLOOKUP(C16,'Geometry 2'!$C$5:$AJ$14,34,FALSE)-IF(OR(K16="",K16=0),0,2)*AA16))</f>
        <v/>
      </c>
      <c r="T17" s="687"/>
      <c r="U17" s="687"/>
      <c r="V17" s="688"/>
      <c r="W17" s="673"/>
      <c r="X17" s="673"/>
      <c r="Y17" s="673"/>
      <c r="Z17" s="673"/>
      <c r="AA17" s="673"/>
      <c r="AB17" s="673"/>
      <c r="AC17" s="673"/>
      <c r="AD17" s="673"/>
      <c r="AE17" s="692" t="str">
        <f t="shared" si="0"/>
        <v/>
      </c>
      <c r="AF17" s="693"/>
      <c r="AG17" s="693"/>
      <c r="AH17" s="694"/>
      <c r="AI17" s="673"/>
      <c r="AJ17" s="673"/>
      <c r="AK17" s="673"/>
      <c r="AL17" s="673"/>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79" t="s">
        <v>272</v>
      </c>
      <c r="D20" s="679"/>
      <c r="E20" s="679"/>
      <c r="F20" s="679"/>
      <c r="G20" s="679" t="s">
        <v>273</v>
      </c>
      <c r="H20" s="679"/>
      <c r="I20" s="679"/>
      <c r="J20" s="679"/>
      <c r="K20" s="679" t="s">
        <v>50</v>
      </c>
      <c r="L20" s="679"/>
      <c r="M20" s="679"/>
      <c r="N20" s="679" t="s">
        <v>211</v>
      </c>
      <c r="O20" s="679"/>
      <c r="P20" s="679"/>
      <c r="Q20" s="679"/>
      <c r="R20" s="699" t="s">
        <v>656</v>
      </c>
      <c r="S20" s="699"/>
      <c r="T20" s="699"/>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75"/>
      <c r="D21" s="675"/>
      <c r="E21" s="675"/>
      <c r="F21" s="675"/>
      <c r="G21" s="675"/>
      <c r="H21" s="675"/>
      <c r="I21" s="675"/>
      <c r="J21" s="675"/>
      <c r="K21" s="652" t="str">
        <f>IF(N21="","",VLOOKUP($N21,Reinforcements[],2,FALSE))</f>
        <v/>
      </c>
      <c r="L21" s="652"/>
      <c r="M21" s="652"/>
      <c r="N21" s="674"/>
      <c r="O21" s="674"/>
      <c r="P21" s="674"/>
      <c r="Q21" s="674"/>
      <c r="R21" s="652"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52"/>
      <c r="T21" s="672"/>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75"/>
      <c r="D22" s="675"/>
      <c r="E22" s="675"/>
      <c r="F22" s="675"/>
      <c r="G22" s="675"/>
      <c r="H22" s="675"/>
      <c r="I22" s="675"/>
      <c r="J22" s="675"/>
      <c r="K22" s="652" t="str">
        <f>IF(N22="","",VLOOKUP($N22,Reinforcements[],2,FALSE))</f>
        <v/>
      </c>
      <c r="L22" s="652"/>
      <c r="M22" s="652"/>
      <c r="N22" s="674"/>
      <c r="O22" s="674"/>
      <c r="P22" s="674"/>
      <c r="Q22" s="674"/>
      <c r="R22" s="652"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52"/>
      <c r="T22" s="672"/>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75"/>
      <c r="D23" s="675"/>
      <c r="E23" s="675"/>
      <c r="F23" s="675"/>
      <c r="G23" s="675"/>
      <c r="H23" s="675"/>
      <c r="I23" s="675"/>
      <c r="J23" s="675"/>
      <c r="K23" s="652" t="str">
        <f>IF(N23="","",VLOOKUP($N23,Reinforcements[],2,FALSE))</f>
        <v/>
      </c>
      <c r="L23" s="652"/>
      <c r="M23" s="652"/>
      <c r="N23" s="674"/>
      <c r="O23" s="674"/>
      <c r="P23" s="674"/>
      <c r="Q23" s="674"/>
      <c r="R23" s="652"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52"/>
      <c r="T23" s="672"/>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75"/>
      <c r="D24" s="675"/>
      <c r="E24" s="675"/>
      <c r="F24" s="675"/>
      <c r="G24" s="675"/>
      <c r="H24" s="675"/>
      <c r="I24" s="675"/>
      <c r="J24" s="675"/>
      <c r="K24" s="652" t="str">
        <f>IF(N24="","",VLOOKUP($N24,Reinforcements[],2,FALSE))</f>
        <v/>
      </c>
      <c r="L24" s="652"/>
      <c r="M24" s="652"/>
      <c r="N24" s="674"/>
      <c r="O24" s="674"/>
      <c r="P24" s="674"/>
      <c r="Q24" s="674"/>
      <c r="R24" s="652"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52"/>
      <c r="T24" s="672"/>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75"/>
      <c r="D25" s="675"/>
      <c r="E25" s="675"/>
      <c r="F25" s="675"/>
      <c r="G25" s="675"/>
      <c r="H25" s="675"/>
      <c r="I25" s="675"/>
      <c r="J25" s="675"/>
      <c r="K25" s="652" t="str">
        <f>IF(N25="","",VLOOKUP($N25,Reinforcements[],2,FALSE))</f>
        <v/>
      </c>
      <c r="L25" s="652"/>
      <c r="M25" s="652"/>
      <c r="N25" s="674"/>
      <c r="O25" s="674"/>
      <c r="P25" s="674"/>
      <c r="Q25" s="674"/>
      <c r="R25" s="652"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52"/>
      <c r="T25" s="672"/>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75"/>
      <c r="D26" s="675"/>
      <c r="E26" s="675"/>
      <c r="F26" s="675"/>
      <c r="G26" s="675"/>
      <c r="H26" s="675"/>
      <c r="I26" s="675"/>
      <c r="J26" s="675"/>
      <c r="K26" s="652" t="str">
        <f>IF(N26="","",VLOOKUP($N26,Reinforcements[],2,FALSE))</f>
        <v/>
      </c>
      <c r="L26" s="652"/>
      <c r="M26" s="652"/>
      <c r="N26" s="674"/>
      <c r="O26" s="674"/>
      <c r="P26" s="674"/>
      <c r="Q26" s="674"/>
      <c r="R26" s="652"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52"/>
      <c r="T26" s="672"/>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75"/>
      <c r="D27" s="675"/>
      <c r="E27" s="675"/>
      <c r="F27" s="675"/>
      <c r="G27" s="675"/>
      <c r="H27" s="675"/>
      <c r="I27" s="675"/>
      <c r="J27" s="675"/>
      <c r="K27" s="652" t="str">
        <f>IF(N27="","",VLOOKUP($N27,Reinforcements[],2,FALSE))</f>
        <v/>
      </c>
      <c r="L27" s="652"/>
      <c r="M27" s="652"/>
      <c r="N27" s="674"/>
      <c r="O27" s="674"/>
      <c r="P27" s="674"/>
      <c r="Q27" s="674"/>
      <c r="R27" s="652"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52"/>
      <c r="T27" s="672"/>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75"/>
      <c r="D28" s="675"/>
      <c r="E28" s="675"/>
      <c r="F28" s="675"/>
      <c r="G28" s="675"/>
      <c r="H28" s="675"/>
      <c r="I28" s="675"/>
      <c r="J28" s="675"/>
      <c r="K28" s="652" t="str">
        <f>IF(N28="","",VLOOKUP($N28,Reinforcements[],2,FALSE))</f>
        <v/>
      </c>
      <c r="L28" s="652"/>
      <c r="M28" s="652"/>
      <c r="N28" s="674"/>
      <c r="O28" s="674"/>
      <c r="P28" s="674"/>
      <c r="Q28" s="674"/>
      <c r="R28" s="652"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52"/>
      <c r="T28" s="672"/>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75"/>
      <c r="D29" s="675"/>
      <c r="E29" s="675"/>
      <c r="F29" s="675"/>
      <c r="G29" s="675"/>
      <c r="H29" s="675"/>
      <c r="I29" s="675"/>
      <c r="J29" s="675"/>
      <c r="K29" s="652" t="str">
        <f>IF(N29="","",VLOOKUP($N29,Reinforcements[],2,FALSE))</f>
        <v/>
      </c>
      <c r="L29" s="652"/>
      <c r="M29" s="652"/>
      <c r="N29" s="674"/>
      <c r="O29" s="674"/>
      <c r="P29" s="674"/>
      <c r="Q29" s="674"/>
      <c r="R29" s="652"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52"/>
      <c r="T29" s="672"/>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75"/>
      <c r="D30" s="675"/>
      <c r="E30" s="675"/>
      <c r="F30" s="675"/>
      <c r="G30" s="675"/>
      <c r="H30" s="675"/>
      <c r="I30" s="675"/>
      <c r="J30" s="675"/>
      <c r="K30" s="652" t="str">
        <f>IF(N30="","",VLOOKUP($N30,Reinforcements[],2,FALSE))</f>
        <v/>
      </c>
      <c r="L30" s="652"/>
      <c r="M30" s="652"/>
      <c r="N30" s="674"/>
      <c r="O30" s="674"/>
      <c r="P30" s="674"/>
      <c r="Q30" s="674"/>
      <c r="R30" s="652"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52"/>
      <c r="T30" s="672"/>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75"/>
      <c r="D31" s="675"/>
      <c r="E31" s="675"/>
      <c r="F31" s="675"/>
      <c r="G31" s="675"/>
      <c r="H31" s="675"/>
      <c r="I31" s="675"/>
      <c r="J31" s="675"/>
      <c r="K31" s="652" t="str">
        <f>IF(N31="","",VLOOKUP($N31,Reinforcements[],2,FALSE))</f>
        <v/>
      </c>
      <c r="L31" s="652"/>
      <c r="M31" s="652"/>
      <c r="N31" s="674"/>
      <c r="O31" s="674"/>
      <c r="P31" s="674"/>
      <c r="Q31" s="674"/>
      <c r="R31" s="652"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52"/>
      <c r="T31" s="672"/>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75"/>
      <c r="D32" s="675"/>
      <c r="E32" s="675"/>
      <c r="F32" s="675"/>
      <c r="G32" s="675"/>
      <c r="H32" s="675"/>
      <c r="I32" s="675"/>
      <c r="J32" s="675"/>
      <c r="K32" s="652" t="str">
        <f>IF(N32="","",VLOOKUP($N32,Reinforcements[],2,FALSE))</f>
        <v/>
      </c>
      <c r="L32" s="652"/>
      <c r="M32" s="652"/>
      <c r="N32" s="674"/>
      <c r="O32" s="674"/>
      <c r="P32" s="674"/>
      <c r="Q32" s="674"/>
      <c r="R32" s="652"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52"/>
      <c r="T32" s="672"/>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705"/>
      <c r="AW32" s="705"/>
      <c r="AX32" s="705"/>
      <c r="AY32" s="705"/>
    </row>
    <row r="33" spans="2:39" ht="14.25" hidden="1" customHeight="1" x14ac:dyDescent="0.2">
      <c r="B33" s="3">
        <v>13</v>
      </c>
      <c r="C33" s="675"/>
      <c r="D33" s="675"/>
      <c r="E33" s="675"/>
      <c r="F33" s="675"/>
      <c r="G33" s="675"/>
      <c r="H33" s="675"/>
      <c r="I33" s="675"/>
      <c r="J33" s="675"/>
      <c r="K33" s="652" t="str">
        <f>IF(N33="","",VLOOKUP($N33,Reinforcements[],2,FALSE))</f>
        <v/>
      </c>
      <c r="L33" s="652"/>
      <c r="M33" s="652"/>
      <c r="N33" s="674"/>
      <c r="O33" s="674"/>
      <c r="P33" s="674"/>
      <c r="Q33" s="674"/>
      <c r="R33" s="652"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52"/>
      <c r="T33" s="672"/>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75"/>
      <c r="D34" s="675"/>
      <c r="E34" s="675"/>
      <c r="F34" s="675"/>
      <c r="G34" s="675"/>
      <c r="H34" s="675"/>
      <c r="I34" s="675"/>
      <c r="J34" s="675"/>
      <c r="K34" s="652" t="str">
        <f>IF(N34="","",VLOOKUP($N34,Reinforcements[],2,FALSE))</f>
        <v/>
      </c>
      <c r="L34" s="652"/>
      <c r="M34" s="652"/>
      <c r="N34" s="674"/>
      <c r="O34" s="674"/>
      <c r="P34" s="674"/>
      <c r="Q34" s="674"/>
      <c r="R34" s="652"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52"/>
      <c r="T34" s="672"/>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75"/>
      <c r="D35" s="675"/>
      <c r="E35" s="675"/>
      <c r="F35" s="675"/>
      <c r="G35" s="675"/>
      <c r="H35" s="675"/>
      <c r="I35" s="675"/>
      <c r="J35" s="675"/>
      <c r="K35" s="652" t="str">
        <f>IF(N35="","",VLOOKUP($N35,Reinforcements[],2,FALSE))</f>
        <v/>
      </c>
      <c r="L35" s="652"/>
      <c r="M35" s="652"/>
      <c r="N35" s="674"/>
      <c r="O35" s="674"/>
      <c r="P35" s="674"/>
      <c r="Q35" s="674"/>
      <c r="R35" s="652"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52"/>
      <c r="T35" s="672"/>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75"/>
      <c r="D36" s="675"/>
      <c r="E36" s="675"/>
      <c r="F36" s="675"/>
      <c r="G36" s="675"/>
      <c r="H36" s="675"/>
      <c r="I36" s="675"/>
      <c r="J36" s="675"/>
      <c r="K36" s="652" t="str">
        <f>IF(N36="","",VLOOKUP($N36,Reinforcements[],2,FALSE))</f>
        <v/>
      </c>
      <c r="L36" s="652"/>
      <c r="M36" s="652"/>
      <c r="N36" s="674"/>
      <c r="O36" s="674"/>
      <c r="P36" s="674"/>
      <c r="Q36" s="674"/>
      <c r="R36" s="652"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52"/>
      <c r="T36" s="672"/>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75"/>
      <c r="D37" s="675"/>
      <c r="E37" s="675"/>
      <c r="F37" s="675"/>
      <c r="G37" s="675"/>
      <c r="H37" s="675"/>
      <c r="I37" s="675"/>
      <c r="J37" s="675"/>
      <c r="K37" s="652" t="str">
        <f>IF(N37="","",VLOOKUP($N37,Reinforcements[],2,FALSE))</f>
        <v/>
      </c>
      <c r="L37" s="652"/>
      <c r="M37" s="652"/>
      <c r="N37" s="674"/>
      <c r="O37" s="674"/>
      <c r="P37" s="674"/>
      <c r="Q37" s="674"/>
      <c r="R37" s="652"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52"/>
      <c r="T37" s="672"/>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75"/>
      <c r="D38" s="675"/>
      <c r="E38" s="675"/>
      <c r="F38" s="675"/>
      <c r="G38" s="675"/>
      <c r="H38" s="675"/>
      <c r="I38" s="675"/>
      <c r="J38" s="675"/>
      <c r="K38" s="652" t="str">
        <f>IF(N38="","",VLOOKUP($N38,Reinforcements[],2,FALSE))</f>
        <v/>
      </c>
      <c r="L38" s="652"/>
      <c r="M38" s="652"/>
      <c r="N38" s="674"/>
      <c r="O38" s="674"/>
      <c r="P38" s="674"/>
      <c r="Q38" s="674"/>
      <c r="R38" s="652"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52"/>
      <c r="T38" s="672"/>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75"/>
      <c r="D39" s="675"/>
      <c r="E39" s="675"/>
      <c r="F39" s="675"/>
      <c r="G39" s="675"/>
      <c r="H39" s="675"/>
      <c r="I39" s="675"/>
      <c r="J39" s="675"/>
      <c r="K39" s="652" t="str">
        <f>IF(N39="","",VLOOKUP($N39,Reinforcements[],2,FALSE))</f>
        <v/>
      </c>
      <c r="L39" s="652"/>
      <c r="M39" s="652"/>
      <c r="N39" s="674"/>
      <c r="O39" s="674"/>
      <c r="P39" s="674"/>
      <c r="Q39" s="674"/>
      <c r="R39" s="652"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52"/>
      <c r="T39" s="672"/>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75"/>
      <c r="D40" s="675"/>
      <c r="E40" s="675"/>
      <c r="F40" s="675"/>
      <c r="G40" s="675"/>
      <c r="H40" s="675"/>
      <c r="I40" s="675"/>
      <c r="J40" s="675"/>
      <c r="K40" s="652" t="str">
        <f>IF(N40="","",VLOOKUP($N40,Reinforcements[],2,FALSE))</f>
        <v/>
      </c>
      <c r="L40" s="652"/>
      <c r="M40" s="652"/>
      <c r="N40" s="674"/>
      <c r="O40" s="674"/>
      <c r="P40" s="674"/>
      <c r="Q40" s="674"/>
      <c r="R40" s="652"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52"/>
      <c r="T40" s="672"/>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75"/>
      <c r="D41" s="675"/>
      <c r="E41" s="675"/>
      <c r="F41" s="675"/>
      <c r="G41" s="675"/>
      <c r="H41" s="675"/>
      <c r="I41" s="675"/>
      <c r="J41" s="675"/>
      <c r="K41" s="652" t="str">
        <f>IF(N41="","",VLOOKUP($N41,Reinforcements[],2,FALSE))</f>
        <v/>
      </c>
      <c r="L41" s="652"/>
      <c r="M41" s="652"/>
      <c r="N41" s="674"/>
      <c r="O41" s="674"/>
      <c r="P41" s="674"/>
      <c r="Q41" s="674"/>
      <c r="R41" s="652"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52"/>
      <c r="T41" s="672"/>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75"/>
      <c r="D42" s="675"/>
      <c r="E42" s="675"/>
      <c r="F42" s="675"/>
      <c r="G42" s="675"/>
      <c r="H42" s="675"/>
      <c r="I42" s="675"/>
      <c r="J42" s="675"/>
      <c r="K42" s="652" t="str">
        <f>IF(N42="","",VLOOKUP($N42,Reinforcements[],2,FALSE))</f>
        <v/>
      </c>
      <c r="L42" s="652"/>
      <c r="M42" s="652"/>
      <c r="N42" s="674"/>
      <c r="O42" s="674"/>
      <c r="P42" s="674"/>
      <c r="Q42" s="674"/>
      <c r="R42" s="652"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52"/>
      <c r="T42" s="672"/>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75"/>
      <c r="D43" s="675"/>
      <c r="E43" s="675"/>
      <c r="F43" s="675"/>
      <c r="G43" s="675"/>
      <c r="H43" s="675"/>
      <c r="I43" s="675"/>
      <c r="J43" s="675"/>
      <c r="K43" s="652" t="str">
        <f>IF(N43="","",VLOOKUP($N43,Reinforcements[],2,FALSE))</f>
        <v/>
      </c>
      <c r="L43" s="652"/>
      <c r="M43" s="652"/>
      <c r="N43" s="674"/>
      <c r="O43" s="674"/>
      <c r="P43" s="674"/>
      <c r="Q43" s="674"/>
      <c r="R43" s="652"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52"/>
      <c r="T43" s="672"/>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75"/>
      <c r="D44" s="675"/>
      <c r="E44" s="675"/>
      <c r="F44" s="675"/>
      <c r="G44" s="675"/>
      <c r="H44" s="675"/>
      <c r="I44" s="675"/>
      <c r="J44" s="675"/>
      <c r="K44" s="652" t="str">
        <f>IF(N44="","",VLOOKUP($N44,Reinforcements[],2,FALSE))</f>
        <v/>
      </c>
      <c r="L44" s="652"/>
      <c r="M44" s="652"/>
      <c r="N44" s="674"/>
      <c r="O44" s="674"/>
      <c r="P44" s="674"/>
      <c r="Q44" s="674"/>
      <c r="R44" s="652"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52"/>
      <c r="T44" s="672"/>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75"/>
      <c r="D45" s="675"/>
      <c r="E45" s="675"/>
      <c r="F45" s="675"/>
      <c r="G45" s="675"/>
      <c r="H45" s="675"/>
      <c r="I45" s="675"/>
      <c r="J45" s="675"/>
      <c r="K45" s="652" t="str">
        <f>IF(N45="","",VLOOKUP($N45,Reinforcements[],2,FALSE))</f>
        <v/>
      </c>
      <c r="L45" s="652"/>
      <c r="M45" s="652"/>
      <c r="N45" s="674"/>
      <c r="O45" s="674"/>
      <c r="P45" s="674"/>
      <c r="Q45" s="674"/>
      <c r="R45" s="652"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52"/>
      <c r="T45" s="672"/>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75"/>
      <c r="D46" s="675"/>
      <c r="E46" s="675"/>
      <c r="F46" s="675"/>
      <c r="G46" s="675"/>
      <c r="H46" s="675"/>
      <c r="I46" s="675"/>
      <c r="J46" s="675"/>
      <c r="K46" s="652" t="str">
        <f>IF(N46="","",VLOOKUP($N46,Reinforcements[],2,FALSE))</f>
        <v/>
      </c>
      <c r="L46" s="652"/>
      <c r="M46" s="652"/>
      <c r="N46" s="674"/>
      <c r="O46" s="674"/>
      <c r="P46" s="674"/>
      <c r="Q46" s="674"/>
      <c r="R46" s="652"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52"/>
      <c r="T46" s="672"/>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75"/>
      <c r="D47" s="675"/>
      <c r="E47" s="675"/>
      <c r="F47" s="675"/>
      <c r="G47" s="675"/>
      <c r="H47" s="675"/>
      <c r="I47" s="675"/>
      <c r="J47" s="675"/>
      <c r="K47" s="652" t="str">
        <f>IF(N47="","",VLOOKUP($N47,Reinforcements[],2,FALSE))</f>
        <v/>
      </c>
      <c r="L47" s="652"/>
      <c r="M47" s="652"/>
      <c r="N47" s="674"/>
      <c r="O47" s="674"/>
      <c r="P47" s="674"/>
      <c r="Q47" s="674"/>
      <c r="R47" s="652"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52"/>
      <c r="T47" s="672"/>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75"/>
      <c r="D48" s="675"/>
      <c r="E48" s="675"/>
      <c r="F48" s="675"/>
      <c r="G48" s="675"/>
      <c r="H48" s="675"/>
      <c r="I48" s="675"/>
      <c r="J48" s="675"/>
      <c r="K48" s="652" t="str">
        <f>IF(N48="","",VLOOKUP($N48,Reinforcements[],2,FALSE))</f>
        <v/>
      </c>
      <c r="L48" s="652"/>
      <c r="M48" s="652"/>
      <c r="N48" s="674"/>
      <c r="O48" s="674"/>
      <c r="P48" s="674"/>
      <c r="Q48" s="674"/>
      <c r="R48" s="652"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52"/>
      <c r="T48" s="672"/>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75"/>
      <c r="D49" s="675"/>
      <c r="E49" s="675"/>
      <c r="F49" s="675"/>
      <c r="G49" s="675"/>
      <c r="H49" s="675"/>
      <c r="I49" s="675"/>
      <c r="J49" s="675"/>
      <c r="K49" s="652" t="str">
        <f>IF(N49="","",VLOOKUP($N49,Reinforcements[],2,FALSE))</f>
        <v/>
      </c>
      <c r="L49" s="652"/>
      <c r="M49" s="652"/>
      <c r="N49" s="674"/>
      <c r="O49" s="674"/>
      <c r="P49" s="674"/>
      <c r="Q49" s="674"/>
      <c r="R49" s="652"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52"/>
      <c r="T49" s="672"/>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75"/>
      <c r="D50" s="675"/>
      <c r="E50" s="675"/>
      <c r="F50" s="675"/>
      <c r="G50" s="675"/>
      <c r="H50" s="675"/>
      <c r="I50" s="675"/>
      <c r="J50" s="675"/>
      <c r="K50" s="652" t="str">
        <f>IF(N50="","",VLOOKUP($N50,Reinforcements[],2,FALSE))</f>
        <v/>
      </c>
      <c r="L50" s="652"/>
      <c r="M50" s="652"/>
      <c r="N50" s="674"/>
      <c r="O50" s="674"/>
      <c r="P50" s="674"/>
      <c r="Q50" s="674"/>
      <c r="R50" s="652"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52"/>
      <c r="T50" s="672"/>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708" t="s">
        <v>423</v>
      </c>
      <c r="D51" s="709"/>
      <c r="E51" s="709"/>
      <c r="F51" s="710"/>
      <c r="G51" s="708" t="s">
        <v>424</v>
      </c>
      <c r="H51" s="709"/>
      <c r="I51" s="709"/>
      <c r="J51" s="710"/>
      <c r="K51" s="663" t="s">
        <v>415</v>
      </c>
      <c r="L51" s="664"/>
      <c r="M51" s="664"/>
      <c r="N51" s="665"/>
      <c r="O51" s="660" t="s">
        <v>488</v>
      </c>
      <c r="P51" s="661"/>
      <c r="Q51" s="662"/>
      <c r="R51" s="663" t="s">
        <v>513</v>
      </c>
      <c r="S51" s="664"/>
      <c r="T51" s="665"/>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75"/>
      <c r="D52" s="675"/>
      <c r="E52" s="675"/>
      <c r="F52" s="675"/>
      <c r="G52" s="675"/>
      <c r="H52" s="675"/>
      <c r="I52" s="675"/>
      <c r="J52" s="675"/>
      <c r="K52" s="666"/>
      <c r="L52" s="667"/>
      <c r="M52" s="667"/>
      <c r="N52" s="668"/>
      <c r="O52" s="669"/>
      <c r="P52" s="670"/>
      <c r="Q52" s="671"/>
      <c r="R52" s="652"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52"/>
      <c r="T52" s="652"/>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75"/>
      <c r="D53" s="675"/>
      <c r="E53" s="675"/>
      <c r="F53" s="675"/>
      <c r="G53" s="675"/>
      <c r="H53" s="675"/>
      <c r="I53" s="675"/>
      <c r="J53" s="675"/>
      <c r="K53" s="666"/>
      <c r="L53" s="667"/>
      <c r="M53" s="667"/>
      <c r="N53" s="668"/>
      <c r="O53" s="669"/>
      <c r="P53" s="670"/>
      <c r="Q53" s="671"/>
      <c r="R53" s="652"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52"/>
      <c r="T53" s="652"/>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75"/>
      <c r="D54" s="675"/>
      <c r="E54" s="675"/>
      <c r="F54" s="675"/>
      <c r="G54" s="675"/>
      <c r="H54" s="675"/>
      <c r="I54" s="675"/>
      <c r="J54" s="675"/>
      <c r="K54" s="666"/>
      <c r="L54" s="667"/>
      <c r="M54" s="667"/>
      <c r="N54" s="668"/>
      <c r="O54" s="669"/>
      <c r="P54" s="670"/>
      <c r="Q54" s="671"/>
      <c r="R54" s="652"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52"/>
      <c r="T54" s="652"/>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75"/>
      <c r="D55" s="675"/>
      <c r="E55" s="675"/>
      <c r="F55" s="675"/>
      <c r="G55" s="675"/>
      <c r="H55" s="675"/>
      <c r="I55" s="675"/>
      <c r="J55" s="675"/>
      <c r="K55" s="666"/>
      <c r="L55" s="667"/>
      <c r="M55" s="667"/>
      <c r="N55" s="668"/>
      <c r="O55" s="669"/>
      <c r="P55" s="670"/>
      <c r="Q55" s="671"/>
      <c r="R55" s="652"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52"/>
      <c r="T55" s="652"/>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75"/>
      <c r="D56" s="675"/>
      <c r="E56" s="675"/>
      <c r="F56" s="675"/>
      <c r="G56" s="675"/>
      <c r="H56" s="675"/>
      <c r="I56" s="675"/>
      <c r="J56" s="675"/>
      <c r="K56" s="666"/>
      <c r="L56" s="667"/>
      <c r="M56" s="667"/>
      <c r="N56" s="668"/>
      <c r="O56" s="669"/>
      <c r="P56" s="670"/>
      <c r="Q56" s="671"/>
      <c r="R56" s="652"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52"/>
      <c r="T56" s="652"/>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75"/>
      <c r="D57" s="675"/>
      <c r="E57" s="675"/>
      <c r="F57" s="675"/>
      <c r="G57" s="675"/>
      <c r="H57" s="675"/>
      <c r="I57" s="675"/>
      <c r="J57" s="675"/>
      <c r="K57" s="666"/>
      <c r="L57" s="667"/>
      <c r="M57" s="667"/>
      <c r="N57" s="668"/>
      <c r="O57" s="669"/>
      <c r="P57" s="670"/>
      <c r="Q57" s="671"/>
      <c r="R57" s="652"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52"/>
      <c r="T57" s="652"/>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75"/>
      <c r="D58" s="675"/>
      <c r="E58" s="675"/>
      <c r="F58" s="675"/>
      <c r="G58" s="675"/>
      <c r="H58" s="675"/>
      <c r="I58" s="675"/>
      <c r="J58" s="675"/>
      <c r="K58" s="666"/>
      <c r="L58" s="667"/>
      <c r="M58" s="667"/>
      <c r="N58" s="668"/>
      <c r="O58" s="669"/>
      <c r="P58" s="670"/>
      <c r="Q58" s="671"/>
      <c r="R58" s="652"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52"/>
      <c r="T58" s="652"/>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75"/>
      <c r="D59" s="675"/>
      <c r="E59" s="675"/>
      <c r="F59" s="675"/>
      <c r="G59" s="675"/>
      <c r="H59" s="675"/>
      <c r="I59" s="675"/>
      <c r="J59" s="675"/>
      <c r="K59" s="666"/>
      <c r="L59" s="667"/>
      <c r="M59" s="667"/>
      <c r="N59" s="668"/>
      <c r="O59" s="669"/>
      <c r="P59" s="670"/>
      <c r="Q59" s="671"/>
      <c r="R59" s="652"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52"/>
      <c r="T59" s="652"/>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75"/>
      <c r="D60" s="675"/>
      <c r="E60" s="675"/>
      <c r="F60" s="675"/>
      <c r="G60" s="675"/>
      <c r="H60" s="675"/>
      <c r="I60" s="675"/>
      <c r="J60" s="675"/>
      <c r="K60" s="666"/>
      <c r="L60" s="667"/>
      <c r="M60" s="667"/>
      <c r="N60" s="668"/>
      <c r="O60" s="669"/>
      <c r="P60" s="670"/>
      <c r="Q60" s="671"/>
      <c r="R60" s="652"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52"/>
      <c r="T60" s="652"/>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75"/>
      <c r="D61" s="675"/>
      <c r="E61" s="675"/>
      <c r="F61" s="675"/>
      <c r="G61" s="675"/>
      <c r="H61" s="675"/>
      <c r="I61" s="675"/>
      <c r="J61" s="675"/>
      <c r="K61" s="666"/>
      <c r="L61" s="667"/>
      <c r="M61" s="667"/>
      <c r="N61" s="668"/>
      <c r="O61" s="669"/>
      <c r="P61" s="670"/>
      <c r="Q61" s="671"/>
      <c r="R61" s="652"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52"/>
      <c r="T61" s="652"/>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75"/>
      <c r="D62" s="675"/>
      <c r="E62" s="675"/>
      <c r="F62" s="675"/>
      <c r="G62" s="675"/>
      <c r="H62" s="675"/>
      <c r="I62" s="675"/>
      <c r="J62" s="675"/>
      <c r="K62" s="666"/>
      <c r="L62" s="667"/>
      <c r="M62" s="667"/>
      <c r="N62" s="668"/>
      <c r="O62" s="669"/>
      <c r="P62" s="670"/>
      <c r="Q62" s="671"/>
      <c r="R62" s="652"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52"/>
      <c r="T62" s="652"/>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75"/>
      <c r="D63" s="675"/>
      <c r="E63" s="675"/>
      <c r="F63" s="675"/>
      <c r="G63" s="675"/>
      <c r="H63" s="675"/>
      <c r="I63" s="675"/>
      <c r="J63" s="675"/>
      <c r="K63" s="666"/>
      <c r="L63" s="667"/>
      <c r="M63" s="667"/>
      <c r="N63" s="668"/>
      <c r="O63" s="669"/>
      <c r="P63" s="670"/>
      <c r="Q63" s="671"/>
      <c r="R63" s="652"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52"/>
      <c r="T63" s="652"/>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75"/>
      <c r="D64" s="675"/>
      <c r="E64" s="675"/>
      <c r="F64" s="675"/>
      <c r="G64" s="675"/>
      <c r="H64" s="675"/>
      <c r="I64" s="675"/>
      <c r="J64" s="675"/>
      <c r="K64" s="666"/>
      <c r="L64" s="667"/>
      <c r="M64" s="667"/>
      <c r="N64" s="668"/>
      <c r="O64" s="669"/>
      <c r="P64" s="670"/>
      <c r="Q64" s="671"/>
      <c r="R64" s="652"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52"/>
      <c r="T64" s="652"/>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75"/>
      <c r="D65" s="675"/>
      <c r="E65" s="675"/>
      <c r="F65" s="675"/>
      <c r="G65" s="675"/>
      <c r="H65" s="675"/>
      <c r="I65" s="675"/>
      <c r="J65" s="675"/>
      <c r="K65" s="666"/>
      <c r="L65" s="667"/>
      <c r="M65" s="667"/>
      <c r="N65" s="668"/>
      <c r="O65" s="669"/>
      <c r="P65" s="670"/>
      <c r="Q65" s="671"/>
      <c r="R65" s="652"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52"/>
      <c r="T65" s="652"/>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75"/>
      <c r="D66" s="675"/>
      <c r="E66" s="675"/>
      <c r="F66" s="675"/>
      <c r="G66" s="675"/>
      <c r="H66" s="675"/>
      <c r="I66" s="675"/>
      <c r="J66" s="675"/>
      <c r="K66" s="666"/>
      <c r="L66" s="667"/>
      <c r="M66" s="667"/>
      <c r="N66" s="668"/>
      <c r="O66" s="669"/>
      <c r="P66" s="670"/>
      <c r="Q66" s="671"/>
      <c r="R66" s="652"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52"/>
      <c r="T66" s="652"/>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75"/>
      <c r="D67" s="675"/>
      <c r="E67" s="675"/>
      <c r="F67" s="675"/>
      <c r="G67" s="675"/>
      <c r="H67" s="675"/>
      <c r="I67" s="675"/>
      <c r="J67" s="675"/>
      <c r="K67" s="666"/>
      <c r="L67" s="667"/>
      <c r="M67" s="667"/>
      <c r="N67" s="668"/>
      <c r="O67" s="669"/>
      <c r="P67" s="670"/>
      <c r="Q67" s="671"/>
      <c r="R67" s="652"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52"/>
      <c r="T67" s="652"/>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75"/>
      <c r="D68" s="675"/>
      <c r="E68" s="675"/>
      <c r="F68" s="675"/>
      <c r="G68" s="675"/>
      <c r="H68" s="675"/>
      <c r="I68" s="675"/>
      <c r="J68" s="675"/>
      <c r="K68" s="666"/>
      <c r="L68" s="667"/>
      <c r="M68" s="667"/>
      <c r="N68" s="668"/>
      <c r="O68" s="669"/>
      <c r="P68" s="670"/>
      <c r="Q68" s="671"/>
      <c r="R68" s="652"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52"/>
      <c r="T68" s="652"/>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75"/>
      <c r="D69" s="675"/>
      <c r="E69" s="675"/>
      <c r="F69" s="675"/>
      <c r="G69" s="675"/>
      <c r="H69" s="675"/>
      <c r="I69" s="675"/>
      <c r="J69" s="675"/>
      <c r="K69" s="666"/>
      <c r="L69" s="667"/>
      <c r="M69" s="667"/>
      <c r="N69" s="668"/>
      <c r="O69" s="669"/>
      <c r="P69" s="670"/>
      <c r="Q69" s="671"/>
      <c r="R69" s="652"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52"/>
      <c r="T69" s="652"/>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75"/>
      <c r="D70" s="675"/>
      <c r="E70" s="675"/>
      <c r="F70" s="675"/>
      <c r="G70" s="675"/>
      <c r="H70" s="675"/>
      <c r="I70" s="675"/>
      <c r="J70" s="675"/>
      <c r="K70" s="666"/>
      <c r="L70" s="667"/>
      <c r="M70" s="667"/>
      <c r="N70" s="668"/>
      <c r="O70" s="669"/>
      <c r="P70" s="670"/>
      <c r="Q70" s="671"/>
      <c r="R70" s="652"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52"/>
      <c r="T70" s="652"/>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75"/>
      <c r="D71" s="675"/>
      <c r="E71" s="675"/>
      <c r="F71" s="675"/>
      <c r="G71" s="675"/>
      <c r="H71" s="675"/>
      <c r="I71" s="675"/>
      <c r="J71" s="675"/>
      <c r="K71" s="666"/>
      <c r="L71" s="667"/>
      <c r="M71" s="667"/>
      <c r="N71" s="668"/>
      <c r="O71" s="669"/>
      <c r="P71" s="670"/>
      <c r="Q71" s="671"/>
      <c r="R71" s="652"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52"/>
      <c r="T71" s="652"/>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75"/>
      <c r="D72" s="675"/>
      <c r="E72" s="675"/>
      <c r="F72" s="675"/>
      <c r="G72" s="675"/>
      <c r="H72" s="675"/>
      <c r="I72" s="675"/>
      <c r="J72" s="675"/>
      <c r="K72" s="666"/>
      <c r="L72" s="667"/>
      <c r="M72" s="667"/>
      <c r="N72" s="668"/>
      <c r="O72" s="669"/>
      <c r="P72" s="670"/>
      <c r="Q72" s="671"/>
      <c r="R72" s="652"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52"/>
      <c r="T72" s="652"/>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75"/>
      <c r="D73" s="675"/>
      <c r="E73" s="675"/>
      <c r="F73" s="675"/>
      <c r="G73" s="675"/>
      <c r="H73" s="675"/>
      <c r="I73" s="675"/>
      <c r="J73" s="675"/>
      <c r="K73" s="666"/>
      <c r="L73" s="667"/>
      <c r="M73" s="667"/>
      <c r="N73" s="668"/>
      <c r="O73" s="669"/>
      <c r="P73" s="670"/>
      <c r="Q73" s="671"/>
      <c r="R73" s="652"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52"/>
      <c r="T73" s="652"/>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75"/>
      <c r="D74" s="675"/>
      <c r="E74" s="675"/>
      <c r="F74" s="675"/>
      <c r="G74" s="675"/>
      <c r="H74" s="675"/>
      <c r="I74" s="675"/>
      <c r="J74" s="675"/>
      <c r="K74" s="666"/>
      <c r="L74" s="667"/>
      <c r="M74" s="667"/>
      <c r="N74" s="668"/>
      <c r="O74" s="669"/>
      <c r="P74" s="670"/>
      <c r="Q74" s="671"/>
      <c r="R74" s="652"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52"/>
      <c r="T74" s="652"/>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75"/>
      <c r="D75" s="675"/>
      <c r="E75" s="675"/>
      <c r="F75" s="675"/>
      <c r="G75" s="675"/>
      <c r="H75" s="675"/>
      <c r="I75" s="675"/>
      <c r="J75" s="675"/>
      <c r="K75" s="666"/>
      <c r="L75" s="667"/>
      <c r="M75" s="667"/>
      <c r="N75" s="668"/>
      <c r="O75" s="669"/>
      <c r="P75" s="670"/>
      <c r="Q75" s="671"/>
      <c r="R75" s="652"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52"/>
      <c r="T75" s="652"/>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75"/>
      <c r="D76" s="675"/>
      <c r="E76" s="675"/>
      <c r="F76" s="675"/>
      <c r="G76" s="675"/>
      <c r="H76" s="675"/>
      <c r="I76" s="675"/>
      <c r="J76" s="675"/>
      <c r="K76" s="666"/>
      <c r="L76" s="667"/>
      <c r="M76" s="667"/>
      <c r="N76" s="668"/>
      <c r="O76" s="669"/>
      <c r="P76" s="670"/>
      <c r="Q76" s="671"/>
      <c r="R76" s="652"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52"/>
      <c r="T76" s="652"/>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75"/>
      <c r="D77" s="675"/>
      <c r="E77" s="675"/>
      <c r="F77" s="675"/>
      <c r="G77" s="675"/>
      <c r="H77" s="675"/>
      <c r="I77" s="675"/>
      <c r="J77" s="675"/>
      <c r="K77" s="666"/>
      <c r="L77" s="667"/>
      <c r="M77" s="667"/>
      <c r="N77" s="668"/>
      <c r="O77" s="669"/>
      <c r="P77" s="670"/>
      <c r="Q77" s="671"/>
      <c r="R77" s="652"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52"/>
      <c r="T77" s="652"/>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75"/>
      <c r="D78" s="675"/>
      <c r="E78" s="675"/>
      <c r="F78" s="675"/>
      <c r="G78" s="675"/>
      <c r="H78" s="675"/>
      <c r="I78" s="675"/>
      <c r="J78" s="675"/>
      <c r="K78" s="666"/>
      <c r="L78" s="667"/>
      <c r="M78" s="667"/>
      <c r="N78" s="668"/>
      <c r="O78" s="669"/>
      <c r="P78" s="670"/>
      <c r="Q78" s="671"/>
      <c r="R78" s="652"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52"/>
      <c r="T78" s="652"/>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75"/>
      <c r="D79" s="675"/>
      <c r="E79" s="675"/>
      <c r="F79" s="675"/>
      <c r="G79" s="675"/>
      <c r="H79" s="675"/>
      <c r="I79" s="675"/>
      <c r="J79" s="675"/>
      <c r="K79" s="666"/>
      <c r="L79" s="667"/>
      <c r="M79" s="667"/>
      <c r="N79" s="668"/>
      <c r="O79" s="669"/>
      <c r="P79" s="670"/>
      <c r="Q79" s="671"/>
      <c r="R79" s="652"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52"/>
      <c r="T79" s="652"/>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75"/>
      <c r="D80" s="675"/>
      <c r="E80" s="675"/>
      <c r="F80" s="675"/>
      <c r="G80" s="675"/>
      <c r="H80" s="675"/>
      <c r="I80" s="675"/>
      <c r="J80" s="675"/>
      <c r="K80" s="666"/>
      <c r="L80" s="667"/>
      <c r="M80" s="667"/>
      <c r="N80" s="668"/>
      <c r="O80" s="669"/>
      <c r="P80" s="670"/>
      <c r="Q80" s="671"/>
      <c r="R80" s="652"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52"/>
      <c r="T80" s="652"/>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75"/>
      <c r="D81" s="675"/>
      <c r="E81" s="675"/>
      <c r="F81" s="675"/>
      <c r="G81" s="675"/>
      <c r="H81" s="675"/>
      <c r="I81" s="675"/>
      <c r="J81" s="675"/>
      <c r="K81" s="666"/>
      <c r="L81" s="667"/>
      <c r="M81" s="667"/>
      <c r="N81" s="668"/>
      <c r="O81" s="669"/>
      <c r="P81" s="670"/>
      <c r="Q81" s="671"/>
      <c r="R81" s="652"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52"/>
      <c r="T81" s="652"/>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5" t="s">
        <v>142</v>
      </c>
      <c r="D84" s="656"/>
      <c r="E84" s="655" t="s">
        <v>143</v>
      </c>
      <c r="F84" s="656"/>
      <c r="G84" s="655" t="s">
        <v>981</v>
      </c>
      <c r="H84" s="656"/>
      <c r="I84" s="655" t="s">
        <v>38</v>
      </c>
      <c r="J84" s="657"/>
      <c r="K84" s="656"/>
      <c r="L84" s="655" t="s">
        <v>982</v>
      </c>
      <c r="M84" s="657"/>
      <c r="N84" s="657"/>
      <c r="O84" s="657"/>
      <c r="P84" s="656"/>
      <c r="Q84" s="655" t="s">
        <v>593</v>
      </c>
      <c r="R84" s="657"/>
      <c r="S84" s="656"/>
      <c r="T84" s="655" t="s">
        <v>983</v>
      </c>
      <c r="U84" s="657"/>
      <c r="V84" s="657"/>
      <c r="W84" s="657"/>
      <c r="X84" s="656"/>
      <c r="Y84" s="682" t="s">
        <v>594</v>
      </c>
      <c r="Z84" s="683"/>
      <c r="AA84" s="684"/>
      <c r="AB84" s="658" t="s">
        <v>985</v>
      </c>
      <c r="AC84" s="659"/>
      <c r="AD84" s="658" t="s">
        <v>984</v>
      </c>
      <c r="AE84" s="659"/>
      <c r="AF84" s="676" t="s">
        <v>113</v>
      </c>
      <c r="AG84" s="677"/>
      <c r="AH84" s="678"/>
      <c r="AI84" s="682" t="s">
        <v>56</v>
      </c>
      <c r="AJ84" s="683"/>
      <c r="AK84" s="683"/>
      <c r="AL84" s="684"/>
      <c r="AM84" s="30"/>
      <c r="AN84" s="30"/>
      <c r="AO84" s="30"/>
    </row>
    <row r="85" spans="2:41" ht="14.45" hidden="1" customHeight="1" x14ac:dyDescent="0.25">
      <c r="B85" s="13">
        <v>1</v>
      </c>
      <c r="C85" s="652" t="str">
        <f>IF($N21="","",VLOOKUP($N21,Reinforcements[],COLUMN(Reinforcements[[#Headers],[B (in)]])-1,FALSE))</f>
        <v/>
      </c>
      <c r="D85" s="652"/>
      <c r="E85" s="652" t="str">
        <f>IF($N21="","",VLOOKUP($N21,Reinforcements[],COLUMN(Reinforcements[[#Headers],[H (in)]])-1,FALSE))</f>
        <v/>
      </c>
      <c r="F85" s="652"/>
      <c r="G85" s="652" t="str">
        <f>IF($N21="","",VLOOKUP($N21,Reinforcements[],COLUMN(Reinforcements[[#Headers],[Gross Area (in2)]])-1,FALSE))</f>
        <v/>
      </c>
      <c r="H85" s="652"/>
      <c r="I85" s="652" t="str">
        <f>IF($N21="","",VLOOKUP($N21,Reinforcements[],COLUMN(Reinforcements[[#Headers],[Pole Face to Centroid (in)]])-1,FALSE))</f>
        <v/>
      </c>
      <c r="J85" s="652"/>
      <c r="K85" s="652"/>
      <c r="L85" s="652"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52"/>
      <c r="N85" s="652"/>
      <c r="O85" s="652"/>
      <c r="P85" s="652"/>
      <c r="Q85" s="652" t="str">
        <f>IF($N21="","",VLOOKUP($N21,Reinforcements[],COLUMN(Reinforcements[[#Headers],[Bottom Connection Length + Edge Dist (in)]])-1,FALSE))</f>
        <v/>
      </c>
      <c r="R85" s="652"/>
      <c r="S85" s="652"/>
      <c r="T85" s="653"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3"/>
      <c r="V85" s="653"/>
      <c r="W85" s="653"/>
      <c r="X85" s="653"/>
      <c r="Y85" s="653" t="str">
        <f>IF($N21="","",VLOOKUP($N21,Reinforcements[],COLUMN(Reinforcements[[#Headers],[Top Connection Length + Edge Dist (in)]])-1,FALSE))</f>
        <v/>
      </c>
      <c r="Z85" s="653"/>
      <c r="AA85" s="653"/>
      <c r="AB85" s="654" t="str">
        <f>IF($N21="","",VLOOKUP($N21,Reinforcements[],COLUMN(Reinforcements[[#Headers],[Lu (in)]])-1,FALSE))</f>
        <v/>
      </c>
      <c r="AC85" s="654"/>
      <c r="AD85" s="654" t="str">
        <f>IF($N21="","",VLOOKUP($N21,Reinforcements[],COLUMN(Reinforcements[[#Headers],[Net Area (in2)]])-1,FALSE))</f>
        <v/>
      </c>
      <c r="AE85" s="654"/>
      <c r="AF85" s="651" t="str">
        <f>IF($N21="","",VLOOKUP($N21,Reinforcements[],IF(RIGHT($AF$84,4)="(in)",COLUMN(Reinforcements[[#Headers],[Bolt Hole Size (in)]])-1,COLUMN(Reinforcements[[#Headers],[Bolt Hole Size (mm)]])-1),FALSE))</f>
        <v/>
      </c>
      <c r="AG85" s="651"/>
      <c r="AH85" s="651"/>
      <c r="AI85" s="681" t="str">
        <f>IF($N21="","",VLOOKUP($N21,Reinforcements[],COLUMN(Reinforcements[[#Headers],[Material]])-1,FALSE))</f>
        <v/>
      </c>
      <c r="AJ85" s="681"/>
      <c r="AK85" s="681"/>
      <c r="AL85" s="681"/>
      <c r="AM85" s="30"/>
      <c r="AN85" s="30"/>
      <c r="AO85" s="30"/>
    </row>
    <row r="86" spans="2:41" ht="14.45" hidden="1" customHeight="1" x14ac:dyDescent="0.25">
      <c r="B86" s="13">
        <v>2</v>
      </c>
      <c r="C86" s="652" t="str">
        <f>IF($N22="","",VLOOKUP($N22,Reinforcements[],COLUMN(Reinforcements[[#Headers],[B (in)]])-1,FALSE))</f>
        <v/>
      </c>
      <c r="D86" s="652"/>
      <c r="E86" s="652" t="str">
        <f>IF($N22="","",VLOOKUP($N22,Reinforcements[],COLUMN(Reinforcements[[#Headers],[H (in)]])-1,FALSE))</f>
        <v/>
      </c>
      <c r="F86" s="652"/>
      <c r="G86" s="652" t="str">
        <f>IF($N22="","",VLOOKUP($N22,Reinforcements[],COLUMN(Reinforcements[[#Headers],[Gross Area (in2)]])-1,FALSE))</f>
        <v/>
      </c>
      <c r="H86" s="652"/>
      <c r="I86" s="652" t="str">
        <f>IF($N22="","",VLOOKUP($N22,Reinforcements[],COLUMN(Reinforcements[[#Headers],[Pole Face to Centroid (in)]])-1,FALSE))</f>
        <v/>
      </c>
      <c r="J86" s="652"/>
      <c r="K86" s="652"/>
      <c r="L86" s="652"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52"/>
      <c r="N86" s="652"/>
      <c r="O86" s="652"/>
      <c r="P86" s="652"/>
      <c r="Q86" s="652" t="str">
        <f>IF($N22="","",VLOOKUP($N22,Reinforcements[],COLUMN(Reinforcements[[#Headers],[Bottom Connection Length + Edge Dist (in)]])-1,FALSE))</f>
        <v/>
      </c>
      <c r="R86" s="652"/>
      <c r="S86" s="652"/>
      <c r="T86" s="653"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3"/>
      <c r="V86" s="653"/>
      <c r="W86" s="653"/>
      <c r="X86" s="653"/>
      <c r="Y86" s="653" t="str">
        <f>IF($N22="","",VLOOKUP($N22,Reinforcements[],COLUMN(Reinforcements[[#Headers],[Top Connection Length + Edge Dist (in)]])-1,FALSE))</f>
        <v/>
      </c>
      <c r="Z86" s="653"/>
      <c r="AA86" s="653"/>
      <c r="AB86" s="654" t="str">
        <f>IF($N22="","",VLOOKUP($N22,Reinforcements[],COLUMN(Reinforcements[[#Headers],[Lu (in)]])-1,FALSE))</f>
        <v/>
      </c>
      <c r="AC86" s="654"/>
      <c r="AD86" s="654" t="str">
        <f>IF($N22="","",VLOOKUP($N22,Reinforcements[],COLUMN(Reinforcements[[#Headers],[Net Area (in2)]])-1,FALSE))</f>
        <v/>
      </c>
      <c r="AE86" s="654"/>
      <c r="AF86" s="651" t="str">
        <f>IF($N22="","",VLOOKUP($N22,Reinforcements[],IF(RIGHT($AF$84,4)="(in)",COLUMN(Reinforcements[[#Headers],[Bolt Hole Size (in)]])-1,COLUMN(Reinforcements[[#Headers],[Bolt Hole Size (mm)]])-1),FALSE))</f>
        <v/>
      </c>
      <c r="AG86" s="651"/>
      <c r="AH86" s="651"/>
      <c r="AI86" s="681" t="str">
        <f>IF($N22="","",VLOOKUP($N22,Reinforcements[],COLUMN(Reinforcements[[#Headers],[Material]])-1,FALSE))</f>
        <v/>
      </c>
      <c r="AJ86" s="681"/>
      <c r="AK86" s="681"/>
      <c r="AL86" s="681"/>
      <c r="AM86" s="30"/>
      <c r="AN86" s="30"/>
      <c r="AO86" s="30"/>
    </row>
    <row r="87" spans="2:41" ht="14.45" hidden="1" customHeight="1" x14ac:dyDescent="0.25">
      <c r="B87" s="13">
        <v>3</v>
      </c>
      <c r="C87" s="652" t="str">
        <f>IF($N23="","",VLOOKUP($N23,Reinforcements[],COLUMN(Reinforcements[[#Headers],[B (in)]])-1,FALSE))</f>
        <v/>
      </c>
      <c r="D87" s="652"/>
      <c r="E87" s="652" t="str">
        <f>IF($N23="","",VLOOKUP($N23,Reinforcements[],COLUMN(Reinforcements[[#Headers],[H (in)]])-1,FALSE))</f>
        <v/>
      </c>
      <c r="F87" s="652"/>
      <c r="G87" s="652" t="str">
        <f>IF($N23="","",VLOOKUP($N23,Reinforcements[],COLUMN(Reinforcements[[#Headers],[Gross Area (in2)]])-1,FALSE))</f>
        <v/>
      </c>
      <c r="H87" s="652"/>
      <c r="I87" s="652" t="str">
        <f>IF($N23="","",VLOOKUP($N23,Reinforcements[],COLUMN(Reinforcements[[#Headers],[Pole Face to Centroid (in)]])-1,FALSE))</f>
        <v/>
      </c>
      <c r="J87" s="652"/>
      <c r="K87" s="652"/>
      <c r="L87" s="652"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52"/>
      <c r="N87" s="652"/>
      <c r="O87" s="652"/>
      <c r="P87" s="652"/>
      <c r="Q87" s="652" t="str">
        <f>IF($N23="","",VLOOKUP($N23,Reinforcements[],COLUMN(Reinforcements[[#Headers],[Bottom Connection Length + Edge Dist (in)]])-1,FALSE))</f>
        <v/>
      </c>
      <c r="R87" s="652"/>
      <c r="S87" s="652"/>
      <c r="T87" s="653"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3"/>
      <c r="V87" s="653"/>
      <c r="W87" s="653"/>
      <c r="X87" s="653"/>
      <c r="Y87" s="653" t="str">
        <f>IF($N23="","",VLOOKUP($N23,Reinforcements[],COLUMN(Reinforcements[[#Headers],[Top Connection Length + Edge Dist (in)]])-1,FALSE))</f>
        <v/>
      </c>
      <c r="Z87" s="653"/>
      <c r="AA87" s="653"/>
      <c r="AB87" s="654" t="str">
        <f>IF($N23="","",VLOOKUP($N23,Reinforcements[],COLUMN(Reinforcements[[#Headers],[Lu (in)]])-1,FALSE))</f>
        <v/>
      </c>
      <c r="AC87" s="654"/>
      <c r="AD87" s="654" t="str">
        <f>IF($N23="","",VLOOKUP($N23,Reinforcements[],COLUMN(Reinforcements[[#Headers],[Net Area (in2)]])-1,FALSE))</f>
        <v/>
      </c>
      <c r="AE87" s="654"/>
      <c r="AF87" s="651" t="str">
        <f>IF($N23="","",VLOOKUP($N23,Reinforcements[],IF(RIGHT($AF$84,4)="(in)",COLUMN(Reinforcements[[#Headers],[Bolt Hole Size (in)]])-1,COLUMN(Reinforcements[[#Headers],[Bolt Hole Size (mm)]])-1),FALSE))</f>
        <v/>
      </c>
      <c r="AG87" s="651"/>
      <c r="AH87" s="651"/>
      <c r="AI87" s="681" t="str">
        <f>IF($N23="","",VLOOKUP($N23,Reinforcements[],COLUMN(Reinforcements[[#Headers],[Material]])-1,FALSE))</f>
        <v/>
      </c>
      <c r="AJ87" s="681"/>
      <c r="AK87" s="681"/>
      <c r="AL87" s="681"/>
      <c r="AM87" s="30"/>
      <c r="AN87" s="30"/>
      <c r="AO87" s="30"/>
    </row>
    <row r="88" spans="2:41" ht="14.45" hidden="1" customHeight="1" x14ac:dyDescent="0.25">
      <c r="B88" s="13">
        <v>4</v>
      </c>
      <c r="C88" s="652" t="str">
        <f>IF($N24="","",VLOOKUP($N24,Reinforcements[],COLUMN(Reinforcements[[#Headers],[B (in)]])-1,FALSE))</f>
        <v/>
      </c>
      <c r="D88" s="652"/>
      <c r="E88" s="652" t="str">
        <f>IF($N24="","",VLOOKUP($N24,Reinforcements[],COLUMN(Reinforcements[[#Headers],[H (in)]])-1,FALSE))</f>
        <v/>
      </c>
      <c r="F88" s="652"/>
      <c r="G88" s="652" t="str">
        <f>IF($N24="","",VLOOKUP($N24,Reinforcements[],COLUMN(Reinforcements[[#Headers],[Gross Area (in2)]])-1,FALSE))</f>
        <v/>
      </c>
      <c r="H88" s="652"/>
      <c r="I88" s="652" t="str">
        <f>IF($N24="","",VLOOKUP($N24,Reinforcements[],COLUMN(Reinforcements[[#Headers],[Pole Face to Centroid (in)]])-1,FALSE))</f>
        <v/>
      </c>
      <c r="J88" s="652"/>
      <c r="K88" s="652"/>
      <c r="L88" s="652"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52"/>
      <c r="N88" s="652"/>
      <c r="O88" s="652"/>
      <c r="P88" s="652"/>
      <c r="Q88" s="652" t="str">
        <f>IF($N24="","",VLOOKUP($N24,Reinforcements[],COLUMN(Reinforcements[[#Headers],[Bottom Connection Length + Edge Dist (in)]])-1,FALSE))</f>
        <v/>
      </c>
      <c r="R88" s="652"/>
      <c r="S88" s="652"/>
      <c r="T88" s="653"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3"/>
      <c r="V88" s="653"/>
      <c r="W88" s="653"/>
      <c r="X88" s="653"/>
      <c r="Y88" s="653" t="str">
        <f>IF($N24="","",VLOOKUP($N24,Reinforcements[],COLUMN(Reinforcements[[#Headers],[Top Connection Length + Edge Dist (in)]])-1,FALSE))</f>
        <v/>
      </c>
      <c r="Z88" s="653"/>
      <c r="AA88" s="653"/>
      <c r="AB88" s="654" t="str">
        <f>IF($N24="","",VLOOKUP($N24,Reinforcements[],COLUMN(Reinforcements[[#Headers],[Lu (in)]])-1,FALSE))</f>
        <v/>
      </c>
      <c r="AC88" s="654"/>
      <c r="AD88" s="654" t="str">
        <f>IF($N24="","",VLOOKUP($N24,Reinforcements[],COLUMN(Reinforcements[[#Headers],[Net Area (in2)]])-1,FALSE))</f>
        <v/>
      </c>
      <c r="AE88" s="654"/>
      <c r="AF88" s="651" t="str">
        <f>IF($N24="","",VLOOKUP($N24,Reinforcements[],IF(RIGHT($AF$84,4)="(in)",COLUMN(Reinforcements[[#Headers],[Bolt Hole Size (in)]])-1,COLUMN(Reinforcements[[#Headers],[Bolt Hole Size (mm)]])-1),FALSE))</f>
        <v/>
      </c>
      <c r="AG88" s="651"/>
      <c r="AH88" s="651"/>
      <c r="AI88" s="681" t="str">
        <f>IF($N24="","",VLOOKUP($N24,Reinforcements[],COLUMN(Reinforcements[[#Headers],[Material]])-1,FALSE))</f>
        <v/>
      </c>
      <c r="AJ88" s="681"/>
      <c r="AK88" s="681"/>
      <c r="AL88" s="681"/>
      <c r="AM88" s="30"/>
      <c r="AN88" s="30"/>
      <c r="AO88" s="30"/>
    </row>
    <row r="89" spans="2:41" ht="14.45" hidden="1" customHeight="1" x14ac:dyDescent="0.25">
      <c r="B89" s="13">
        <v>5</v>
      </c>
      <c r="C89" s="652" t="str">
        <f>IF($N25="","",VLOOKUP($N25,Reinforcements[],COLUMN(Reinforcements[[#Headers],[B (in)]])-1,FALSE))</f>
        <v/>
      </c>
      <c r="D89" s="652"/>
      <c r="E89" s="652" t="str">
        <f>IF($N25="","",VLOOKUP($N25,Reinforcements[],COLUMN(Reinforcements[[#Headers],[H (in)]])-1,FALSE))</f>
        <v/>
      </c>
      <c r="F89" s="652"/>
      <c r="G89" s="652" t="str">
        <f>IF($N25="","",VLOOKUP($N25,Reinforcements[],COLUMN(Reinforcements[[#Headers],[Gross Area (in2)]])-1,FALSE))</f>
        <v/>
      </c>
      <c r="H89" s="652"/>
      <c r="I89" s="652" t="str">
        <f>IF($N25="","",VLOOKUP($N25,Reinforcements[],COLUMN(Reinforcements[[#Headers],[Pole Face to Centroid (in)]])-1,FALSE))</f>
        <v/>
      </c>
      <c r="J89" s="652"/>
      <c r="K89" s="652"/>
      <c r="L89" s="652"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52"/>
      <c r="N89" s="652"/>
      <c r="O89" s="652"/>
      <c r="P89" s="652"/>
      <c r="Q89" s="652" t="str">
        <f>IF($N25="","",VLOOKUP($N25,Reinforcements[],COLUMN(Reinforcements[[#Headers],[Bottom Connection Length + Edge Dist (in)]])-1,FALSE))</f>
        <v/>
      </c>
      <c r="R89" s="652"/>
      <c r="S89" s="652"/>
      <c r="T89" s="653"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3"/>
      <c r="V89" s="653"/>
      <c r="W89" s="653"/>
      <c r="X89" s="653"/>
      <c r="Y89" s="653" t="str">
        <f>IF($N25="","",VLOOKUP($N25,Reinforcements[],COLUMN(Reinforcements[[#Headers],[Top Connection Length + Edge Dist (in)]])-1,FALSE))</f>
        <v/>
      </c>
      <c r="Z89" s="653"/>
      <c r="AA89" s="653"/>
      <c r="AB89" s="654" t="str">
        <f>IF($N25="","",VLOOKUP($N25,Reinforcements[],COLUMN(Reinforcements[[#Headers],[Lu (in)]])-1,FALSE))</f>
        <v/>
      </c>
      <c r="AC89" s="654"/>
      <c r="AD89" s="654" t="str">
        <f>IF($N25="","",VLOOKUP($N25,Reinforcements[],COLUMN(Reinforcements[[#Headers],[Net Area (in2)]])-1,FALSE))</f>
        <v/>
      </c>
      <c r="AE89" s="654"/>
      <c r="AF89" s="651" t="str">
        <f>IF($N25="","",VLOOKUP($N25,Reinforcements[],IF(RIGHT($AF$84,4)="(in)",COLUMN(Reinforcements[[#Headers],[Bolt Hole Size (in)]])-1,COLUMN(Reinforcements[[#Headers],[Bolt Hole Size (mm)]])-1),FALSE))</f>
        <v/>
      </c>
      <c r="AG89" s="651"/>
      <c r="AH89" s="651"/>
      <c r="AI89" s="681" t="str">
        <f>IF($N25="","",VLOOKUP($N25,Reinforcements[],COLUMN(Reinforcements[[#Headers],[Material]])-1,FALSE))</f>
        <v/>
      </c>
      <c r="AJ89" s="681"/>
      <c r="AK89" s="681"/>
      <c r="AL89" s="681"/>
      <c r="AM89" s="30"/>
      <c r="AN89" s="30"/>
      <c r="AO89" s="30"/>
    </row>
    <row r="90" spans="2:41" ht="14.45" hidden="1" customHeight="1" x14ac:dyDescent="0.25">
      <c r="B90" s="13">
        <v>6</v>
      </c>
      <c r="C90" s="652" t="str">
        <f>IF($N26="","",VLOOKUP($N26,Reinforcements[],COLUMN(Reinforcements[[#Headers],[B (in)]])-1,FALSE))</f>
        <v/>
      </c>
      <c r="D90" s="652"/>
      <c r="E90" s="652" t="str">
        <f>IF($N26="","",VLOOKUP($N26,Reinforcements[],COLUMN(Reinforcements[[#Headers],[H (in)]])-1,FALSE))</f>
        <v/>
      </c>
      <c r="F90" s="652"/>
      <c r="G90" s="652" t="str">
        <f>IF($N26="","",VLOOKUP($N26,Reinforcements[],COLUMN(Reinforcements[[#Headers],[Gross Area (in2)]])-1,FALSE))</f>
        <v/>
      </c>
      <c r="H90" s="652"/>
      <c r="I90" s="652" t="str">
        <f>IF($N26="","",VLOOKUP($N26,Reinforcements[],COLUMN(Reinforcements[[#Headers],[Pole Face to Centroid (in)]])-1,FALSE))</f>
        <v/>
      </c>
      <c r="J90" s="652"/>
      <c r="K90" s="652"/>
      <c r="L90" s="652"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52"/>
      <c r="N90" s="652"/>
      <c r="O90" s="652"/>
      <c r="P90" s="652"/>
      <c r="Q90" s="652" t="str">
        <f>IF($N26="","",VLOOKUP($N26,Reinforcements[],COLUMN(Reinforcements[[#Headers],[Bottom Connection Length + Edge Dist (in)]])-1,FALSE))</f>
        <v/>
      </c>
      <c r="R90" s="652"/>
      <c r="S90" s="652"/>
      <c r="T90" s="653"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3"/>
      <c r="V90" s="653"/>
      <c r="W90" s="653"/>
      <c r="X90" s="653"/>
      <c r="Y90" s="653" t="str">
        <f>IF($N26="","",VLOOKUP($N26,Reinforcements[],COLUMN(Reinforcements[[#Headers],[Top Connection Length + Edge Dist (in)]])-1,FALSE))</f>
        <v/>
      </c>
      <c r="Z90" s="653"/>
      <c r="AA90" s="653"/>
      <c r="AB90" s="654" t="str">
        <f>IF($N26="","",VLOOKUP($N26,Reinforcements[],COLUMN(Reinforcements[[#Headers],[Lu (in)]])-1,FALSE))</f>
        <v/>
      </c>
      <c r="AC90" s="654"/>
      <c r="AD90" s="654" t="str">
        <f>IF($N26="","",VLOOKUP($N26,Reinforcements[],COLUMN(Reinforcements[[#Headers],[Net Area (in2)]])-1,FALSE))</f>
        <v/>
      </c>
      <c r="AE90" s="654"/>
      <c r="AF90" s="651" t="str">
        <f>IF($N26="","",VLOOKUP($N26,Reinforcements[],IF(RIGHT($AF$84,4)="(in)",COLUMN(Reinforcements[[#Headers],[Bolt Hole Size (in)]])-1,COLUMN(Reinforcements[[#Headers],[Bolt Hole Size (mm)]])-1),FALSE))</f>
        <v/>
      </c>
      <c r="AG90" s="651"/>
      <c r="AH90" s="651"/>
      <c r="AI90" s="681" t="str">
        <f>IF($N26="","",VLOOKUP($N26,Reinforcements[],COLUMN(Reinforcements[[#Headers],[Material]])-1,FALSE))</f>
        <v/>
      </c>
      <c r="AJ90" s="681"/>
      <c r="AK90" s="681"/>
      <c r="AL90" s="681"/>
      <c r="AM90" s="30"/>
      <c r="AN90" s="30"/>
      <c r="AO90" s="30"/>
    </row>
    <row r="91" spans="2:41" ht="14.45" hidden="1" customHeight="1" x14ac:dyDescent="0.25">
      <c r="B91" s="13">
        <v>7</v>
      </c>
      <c r="C91" s="652" t="str">
        <f>IF($N27="","",VLOOKUP($N27,Reinforcements[],COLUMN(Reinforcements[[#Headers],[B (in)]])-1,FALSE))</f>
        <v/>
      </c>
      <c r="D91" s="652"/>
      <c r="E91" s="652" t="str">
        <f>IF($N27="","",VLOOKUP($N27,Reinforcements[],COLUMN(Reinforcements[[#Headers],[H (in)]])-1,FALSE))</f>
        <v/>
      </c>
      <c r="F91" s="652"/>
      <c r="G91" s="652" t="str">
        <f>IF($N27="","",VLOOKUP($N27,Reinforcements[],COLUMN(Reinforcements[[#Headers],[Gross Area (in2)]])-1,FALSE))</f>
        <v/>
      </c>
      <c r="H91" s="652"/>
      <c r="I91" s="652" t="str">
        <f>IF($N27="","",VLOOKUP($N27,Reinforcements[],COLUMN(Reinforcements[[#Headers],[Pole Face to Centroid (in)]])-1,FALSE))</f>
        <v/>
      </c>
      <c r="J91" s="652"/>
      <c r="K91" s="652"/>
      <c r="L91" s="652"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52"/>
      <c r="N91" s="652"/>
      <c r="O91" s="652"/>
      <c r="P91" s="652"/>
      <c r="Q91" s="652" t="str">
        <f>IF($N27="","",VLOOKUP($N27,Reinforcements[],COLUMN(Reinforcements[[#Headers],[Bottom Connection Length + Edge Dist (in)]])-1,FALSE))</f>
        <v/>
      </c>
      <c r="R91" s="652"/>
      <c r="S91" s="652"/>
      <c r="T91" s="653"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3"/>
      <c r="V91" s="653"/>
      <c r="W91" s="653"/>
      <c r="X91" s="653"/>
      <c r="Y91" s="653" t="str">
        <f>IF($N27="","",VLOOKUP($N27,Reinforcements[],COLUMN(Reinforcements[[#Headers],[Top Connection Length + Edge Dist (in)]])-1,FALSE))</f>
        <v/>
      </c>
      <c r="Z91" s="653"/>
      <c r="AA91" s="653"/>
      <c r="AB91" s="654" t="str">
        <f>IF($N27="","",VLOOKUP($N27,Reinforcements[],COLUMN(Reinforcements[[#Headers],[Lu (in)]])-1,FALSE))</f>
        <v/>
      </c>
      <c r="AC91" s="654"/>
      <c r="AD91" s="654" t="str">
        <f>IF($N27="","",VLOOKUP($N27,Reinforcements[],COLUMN(Reinforcements[[#Headers],[Net Area (in2)]])-1,FALSE))</f>
        <v/>
      </c>
      <c r="AE91" s="654"/>
      <c r="AF91" s="651" t="str">
        <f>IF($N27="","",VLOOKUP($N27,Reinforcements[],IF(RIGHT($AF$84,4)="(in)",COLUMN(Reinforcements[[#Headers],[Bolt Hole Size (in)]])-1,COLUMN(Reinforcements[[#Headers],[Bolt Hole Size (mm)]])-1),FALSE))</f>
        <v/>
      </c>
      <c r="AG91" s="651"/>
      <c r="AH91" s="651"/>
      <c r="AI91" s="681" t="str">
        <f>IF($N27="","",VLOOKUP($N27,Reinforcements[],COLUMN(Reinforcements[[#Headers],[Material]])-1,FALSE))</f>
        <v/>
      </c>
      <c r="AJ91" s="681"/>
      <c r="AK91" s="681"/>
      <c r="AL91" s="681"/>
      <c r="AM91" s="30"/>
      <c r="AN91" s="30"/>
      <c r="AO91" s="30"/>
    </row>
    <row r="92" spans="2:41" ht="14.45" hidden="1" customHeight="1" x14ac:dyDescent="0.25">
      <c r="B92" s="13">
        <v>8</v>
      </c>
      <c r="C92" s="652" t="str">
        <f>IF($N28="","",VLOOKUP($N28,Reinforcements[],COLUMN(Reinforcements[[#Headers],[B (in)]])-1,FALSE))</f>
        <v/>
      </c>
      <c r="D92" s="652"/>
      <c r="E92" s="652" t="str">
        <f>IF($N28="","",VLOOKUP($N28,Reinforcements[],COLUMN(Reinforcements[[#Headers],[H (in)]])-1,FALSE))</f>
        <v/>
      </c>
      <c r="F92" s="652"/>
      <c r="G92" s="652" t="str">
        <f>IF($N28="","",VLOOKUP($N28,Reinforcements[],COLUMN(Reinforcements[[#Headers],[Gross Area (in2)]])-1,FALSE))</f>
        <v/>
      </c>
      <c r="H92" s="652"/>
      <c r="I92" s="652" t="str">
        <f>IF($N28="","",VLOOKUP($N28,Reinforcements[],COLUMN(Reinforcements[[#Headers],[Pole Face to Centroid (in)]])-1,FALSE))</f>
        <v/>
      </c>
      <c r="J92" s="652"/>
      <c r="K92" s="652"/>
      <c r="L92" s="652"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52"/>
      <c r="N92" s="652"/>
      <c r="O92" s="652"/>
      <c r="P92" s="652"/>
      <c r="Q92" s="652" t="str">
        <f>IF($N28="","",VLOOKUP($N28,Reinforcements[],COLUMN(Reinforcements[[#Headers],[Bottom Connection Length + Edge Dist (in)]])-1,FALSE))</f>
        <v/>
      </c>
      <c r="R92" s="652"/>
      <c r="S92" s="652"/>
      <c r="T92" s="653"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3"/>
      <c r="V92" s="653"/>
      <c r="W92" s="653"/>
      <c r="X92" s="653"/>
      <c r="Y92" s="653" t="str">
        <f>IF($N28="","",VLOOKUP($N28,Reinforcements[],COLUMN(Reinforcements[[#Headers],[Top Connection Length + Edge Dist (in)]])-1,FALSE))</f>
        <v/>
      </c>
      <c r="Z92" s="653"/>
      <c r="AA92" s="653"/>
      <c r="AB92" s="654" t="str">
        <f>IF($N28="","",VLOOKUP($N28,Reinforcements[],COLUMN(Reinforcements[[#Headers],[Lu (in)]])-1,FALSE))</f>
        <v/>
      </c>
      <c r="AC92" s="654"/>
      <c r="AD92" s="654" t="str">
        <f>IF($N28="","",VLOOKUP($N28,Reinforcements[],COLUMN(Reinforcements[[#Headers],[Net Area (in2)]])-1,FALSE))</f>
        <v/>
      </c>
      <c r="AE92" s="654"/>
      <c r="AF92" s="651" t="str">
        <f>IF($N28="","",VLOOKUP($N28,Reinforcements[],IF(RIGHT($AF$84,4)="(in)",COLUMN(Reinforcements[[#Headers],[Bolt Hole Size (in)]])-1,COLUMN(Reinforcements[[#Headers],[Bolt Hole Size (mm)]])-1),FALSE))</f>
        <v/>
      </c>
      <c r="AG92" s="651"/>
      <c r="AH92" s="651"/>
      <c r="AI92" s="681" t="str">
        <f>IF($N28="","",VLOOKUP($N28,Reinforcements[],COLUMN(Reinforcements[[#Headers],[Material]])-1,FALSE))</f>
        <v/>
      </c>
      <c r="AJ92" s="681"/>
      <c r="AK92" s="681"/>
      <c r="AL92" s="681"/>
      <c r="AM92" s="30"/>
      <c r="AN92" s="30"/>
      <c r="AO92" s="30"/>
    </row>
    <row r="93" spans="2:41" ht="14.45" hidden="1" customHeight="1" x14ac:dyDescent="0.25">
      <c r="B93" s="13">
        <v>9</v>
      </c>
      <c r="C93" s="652" t="str">
        <f>IF($N29="","",VLOOKUP($N29,Reinforcements[],COLUMN(Reinforcements[[#Headers],[B (in)]])-1,FALSE))</f>
        <v/>
      </c>
      <c r="D93" s="652"/>
      <c r="E93" s="652" t="str">
        <f>IF($N29="","",VLOOKUP($N29,Reinforcements[],COLUMN(Reinforcements[[#Headers],[H (in)]])-1,FALSE))</f>
        <v/>
      </c>
      <c r="F93" s="652"/>
      <c r="G93" s="652" t="str">
        <f>IF($N29="","",VLOOKUP($N29,Reinforcements[],COLUMN(Reinforcements[[#Headers],[Gross Area (in2)]])-1,FALSE))</f>
        <v/>
      </c>
      <c r="H93" s="652"/>
      <c r="I93" s="652" t="str">
        <f>IF($N29="","",VLOOKUP($N29,Reinforcements[],COLUMN(Reinforcements[[#Headers],[Pole Face to Centroid (in)]])-1,FALSE))</f>
        <v/>
      </c>
      <c r="J93" s="652"/>
      <c r="K93" s="652"/>
      <c r="L93" s="652"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52"/>
      <c r="N93" s="652"/>
      <c r="O93" s="652"/>
      <c r="P93" s="652"/>
      <c r="Q93" s="652" t="str">
        <f>IF($N29="","",VLOOKUP($N29,Reinforcements[],COLUMN(Reinforcements[[#Headers],[Bottom Connection Length + Edge Dist (in)]])-1,FALSE))</f>
        <v/>
      </c>
      <c r="R93" s="652"/>
      <c r="S93" s="652"/>
      <c r="T93" s="653"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3"/>
      <c r="V93" s="653"/>
      <c r="W93" s="653"/>
      <c r="X93" s="653"/>
      <c r="Y93" s="653" t="str">
        <f>IF($N29="","",VLOOKUP($N29,Reinforcements[],COLUMN(Reinforcements[[#Headers],[Top Connection Length + Edge Dist (in)]])-1,FALSE))</f>
        <v/>
      </c>
      <c r="Z93" s="653"/>
      <c r="AA93" s="653"/>
      <c r="AB93" s="654" t="str">
        <f>IF($N29="","",VLOOKUP($N29,Reinforcements[],COLUMN(Reinforcements[[#Headers],[Lu (in)]])-1,FALSE))</f>
        <v/>
      </c>
      <c r="AC93" s="654"/>
      <c r="AD93" s="654" t="str">
        <f>IF($N29="","",VLOOKUP($N29,Reinforcements[],COLUMN(Reinforcements[[#Headers],[Net Area (in2)]])-1,FALSE))</f>
        <v/>
      </c>
      <c r="AE93" s="654"/>
      <c r="AF93" s="651" t="str">
        <f>IF($N29="","",VLOOKUP($N29,Reinforcements[],IF(RIGHT($AF$84,4)="(in)",COLUMN(Reinforcements[[#Headers],[Bolt Hole Size (in)]])-1,COLUMN(Reinforcements[[#Headers],[Bolt Hole Size (mm)]])-1),FALSE))</f>
        <v/>
      </c>
      <c r="AG93" s="651"/>
      <c r="AH93" s="651"/>
      <c r="AI93" s="681" t="str">
        <f>IF($N29="","",VLOOKUP($N29,Reinforcements[],COLUMN(Reinforcements[[#Headers],[Material]])-1,FALSE))</f>
        <v/>
      </c>
      <c r="AJ93" s="681"/>
      <c r="AK93" s="681"/>
      <c r="AL93" s="681"/>
      <c r="AM93" s="30"/>
      <c r="AN93" s="30"/>
      <c r="AO93" s="30"/>
    </row>
    <row r="94" spans="2:41" ht="14.45" hidden="1" customHeight="1" x14ac:dyDescent="0.25">
      <c r="B94" s="13">
        <v>10</v>
      </c>
      <c r="C94" s="652" t="str">
        <f>IF($N30="","",VLOOKUP($N30,Reinforcements[],COLUMN(Reinforcements[[#Headers],[B (in)]])-1,FALSE))</f>
        <v/>
      </c>
      <c r="D94" s="652"/>
      <c r="E94" s="652" t="str">
        <f>IF($N30="","",VLOOKUP($N30,Reinforcements[],COLUMN(Reinforcements[[#Headers],[H (in)]])-1,FALSE))</f>
        <v/>
      </c>
      <c r="F94" s="652"/>
      <c r="G94" s="652" t="str">
        <f>IF($N30="","",VLOOKUP($N30,Reinforcements[],COLUMN(Reinforcements[[#Headers],[Gross Area (in2)]])-1,FALSE))</f>
        <v/>
      </c>
      <c r="H94" s="652"/>
      <c r="I94" s="652" t="str">
        <f>IF($N30="","",VLOOKUP($N30,Reinforcements[],COLUMN(Reinforcements[[#Headers],[Pole Face to Centroid (in)]])-1,FALSE))</f>
        <v/>
      </c>
      <c r="J94" s="652"/>
      <c r="K94" s="652"/>
      <c r="L94" s="652"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52"/>
      <c r="N94" s="652"/>
      <c r="O94" s="652"/>
      <c r="P94" s="652"/>
      <c r="Q94" s="652" t="str">
        <f>IF($N30="","",VLOOKUP($N30,Reinforcements[],COLUMN(Reinforcements[[#Headers],[Bottom Connection Length + Edge Dist (in)]])-1,FALSE))</f>
        <v/>
      </c>
      <c r="R94" s="652"/>
      <c r="S94" s="652"/>
      <c r="T94" s="653"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3"/>
      <c r="V94" s="653"/>
      <c r="W94" s="653"/>
      <c r="X94" s="653"/>
      <c r="Y94" s="653" t="str">
        <f>IF($N30="","",VLOOKUP($N30,Reinforcements[],COLUMN(Reinforcements[[#Headers],[Top Connection Length + Edge Dist (in)]])-1,FALSE))</f>
        <v/>
      </c>
      <c r="Z94" s="653"/>
      <c r="AA94" s="653"/>
      <c r="AB94" s="654" t="str">
        <f>IF($N30="","",VLOOKUP($N30,Reinforcements[],COLUMN(Reinforcements[[#Headers],[Lu (in)]])-1,FALSE))</f>
        <v/>
      </c>
      <c r="AC94" s="654"/>
      <c r="AD94" s="654" t="str">
        <f>IF($N30="","",VLOOKUP($N30,Reinforcements[],COLUMN(Reinforcements[[#Headers],[Net Area (in2)]])-1,FALSE))</f>
        <v/>
      </c>
      <c r="AE94" s="654"/>
      <c r="AF94" s="651" t="str">
        <f>IF($N30="","",VLOOKUP($N30,Reinforcements[],IF(RIGHT($AF$84,4)="(in)",COLUMN(Reinforcements[[#Headers],[Bolt Hole Size (in)]])-1,COLUMN(Reinforcements[[#Headers],[Bolt Hole Size (mm)]])-1),FALSE))</f>
        <v/>
      </c>
      <c r="AG94" s="651"/>
      <c r="AH94" s="651"/>
      <c r="AI94" s="681" t="str">
        <f>IF($N30="","",VLOOKUP($N30,Reinforcements[],COLUMN(Reinforcements[[#Headers],[Material]])-1,FALSE))</f>
        <v/>
      </c>
      <c r="AJ94" s="681"/>
      <c r="AK94" s="681"/>
      <c r="AL94" s="681"/>
      <c r="AM94" s="30"/>
      <c r="AN94" s="30"/>
      <c r="AO94" s="30"/>
    </row>
    <row r="95" spans="2:41" ht="14.45" hidden="1" customHeight="1" x14ac:dyDescent="0.25">
      <c r="B95" s="13">
        <v>11</v>
      </c>
      <c r="C95" s="652" t="str">
        <f>IF($N31="","",VLOOKUP($N31,Reinforcements[],COLUMN(Reinforcements[[#Headers],[B (in)]])-1,FALSE))</f>
        <v/>
      </c>
      <c r="D95" s="652"/>
      <c r="E95" s="652" t="str">
        <f>IF($N31="","",VLOOKUP($N31,Reinforcements[],COLUMN(Reinforcements[[#Headers],[H (in)]])-1,FALSE))</f>
        <v/>
      </c>
      <c r="F95" s="652"/>
      <c r="G95" s="652" t="str">
        <f>IF($N31="","",VLOOKUP($N31,Reinforcements[],COLUMN(Reinforcements[[#Headers],[Gross Area (in2)]])-1,FALSE))</f>
        <v/>
      </c>
      <c r="H95" s="652"/>
      <c r="I95" s="652" t="str">
        <f>IF($N31="","",VLOOKUP($N31,Reinforcements[],COLUMN(Reinforcements[[#Headers],[Pole Face to Centroid (in)]])-1,FALSE))</f>
        <v/>
      </c>
      <c r="J95" s="652"/>
      <c r="K95" s="652"/>
      <c r="L95" s="652"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52"/>
      <c r="N95" s="652"/>
      <c r="O95" s="652"/>
      <c r="P95" s="652"/>
      <c r="Q95" s="652" t="str">
        <f>IF($N31="","",VLOOKUP($N31,Reinforcements[],COLUMN(Reinforcements[[#Headers],[Bottom Connection Length + Edge Dist (in)]])-1,FALSE))</f>
        <v/>
      </c>
      <c r="R95" s="652"/>
      <c r="S95" s="652"/>
      <c r="T95" s="653"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3"/>
      <c r="V95" s="653"/>
      <c r="W95" s="653"/>
      <c r="X95" s="653"/>
      <c r="Y95" s="653" t="str">
        <f>IF($N31="","",VLOOKUP($N31,Reinforcements[],COLUMN(Reinforcements[[#Headers],[Top Connection Length + Edge Dist (in)]])-1,FALSE))</f>
        <v/>
      </c>
      <c r="Z95" s="653"/>
      <c r="AA95" s="653"/>
      <c r="AB95" s="654" t="str">
        <f>IF($N31="","",VLOOKUP($N31,Reinforcements[],COLUMN(Reinforcements[[#Headers],[Lu (in)]])-1,FALSE))</f>
        <v/>
      </c>
      <c r="AC95" s="654"/>
      <c r="AD95" s="654" t="str">
        <f>IF($N31="","",VLOOKUP($N31,Reinforcements[],COLUMN(Reinforcements[[#Headers],[Net Area (in2)]])-1,FALSE))</f>
        <v/>
      </c>
      <c r="AE95" s="654"/>
      <c r="AF95" s="651" t="str">
        <f>IF($N31="","",VLOOKUP($N31,Reinforcements[],IF(RIGHT($AF$84,4)="(in)",COLUMN(Reinforcements[[#Headers],[Bolt Hole Size (in)]])-1,COLUMN(Reinforcements[[#Headers],[Bolt Hole Size (mm)]])-1),FALSE))</f>
        <v/>
      </c>
      <c r="AG95" s="651"/>
      <c r="AH95" s="651"/>
      <c r="AI95" s="681" t="str">
        <f>IF($N31="","",VLOOKUP($N31,Reinforcements[],COLUMN(Reinforcements[[#Headers],[Material]])-1,FALSE))</f>
        <v/>
      </c>
      <c r="AJ95" s="681"/>
      <c r="AK95" s="681"/>
      <c r="AL95" s="681"/>
      <c r="AM95" s="30"/>
      <c r="AN95" s="30"/>
      <c r="AO95" s="30"/>
    </row>
    <row r="96" spans="2:41" ht="14.45" hidden="1" customHeight="1" x14ac:dyDescent="0.25">
      <c r="B96" s="13">
        <v>12</v>
      </c>
      <c r="C96" s="652" t="str">
        <f>IF($N32="","",VLOOKUP($N32,Reinforcements[],COLUMN(Reinforcements[[#Headers],[B (in)]])-1,FALSE))</f>
        <v/>
      </c>
      <c r="D96" s="652"/>
      <c r="E96" s="652" t="str">
        <f>IF($N32="","",VLOOKUP($N32,Reinforcements[],COLUMN(Reinforcements[[#Headers],[H (in)]])-1,FALSE))</f>
        <v/>
      </c>
      <c r="F96" s="652"/>
      <c r="G96" s="652" t="str">
        <f>IF($N32="","",VLOOKUP($N32,Reinforcements[],COLUMN(Reinforcements[[#Headers],[Gross Area (in2)]])-1,FALSE))</f>
        <v/>
      </c>
      <c r="H96" s="652"/>
      <c r="I96" s="652" t="str">
        <f>IF($N32="","",VLOOKUP($N32,Reinforcements[],COLUMN(Reinforcements[[#Headers],[Pole Face to Centroid (in)]])-1,FALSE))</f>
        <v/>
      </c>
      <c r="J96" s="652"/>
      <c r="K96" s="652"/>
      <c r="L96" s="652"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52"/>
      <c r="N96" s="652"/>
      <c r="O96" s="652"/>
      <c r="P96" s="652"/>
      <c r="Q96" s="652" t="str">
        <f>IF($N32="","",VLOOKUP($N32,Reinforcements[],COLUMN(Reinforcements[[#Headers],[Bottom Connection Length + Edge Dist (in)]])-1,FALSE))</f>
        <v/>
      </c>
      <c r="R96" s="652"/>
      <c r="S96" s="652"/>
      <c r="T96" s="653"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3"/>
      <c r="V96" s="653"/>
      <c r="W96" s="653"/>
      <c r="X96" s="653"/>
      <c r="Y96" s="653" t="str">
        <f>IF($N32="","",VLOOKUP($N32,Reinforcements[],COLUMN(Reinforcements[[#Headers],[Top Connection Length + Edge Dist (in)]])-1,FALSE))</f>
        <v/>
      </c>
      <c r="Z96" s="653"/>
      <c r="AA96" s="653"/>
      <c r="AB96" s="654" t="str">
        <f>IF($N32="","",VLOOKUP($N32,Reinforcements[],COLUMN(Reinforcements[[#Headers],[Lu (in)]])-1,FALSE))</f>
        <v/>
      </c>
      <c r="AC96" s="654"/>
      <c r="AD96" s="654" t="str">
        <f>IF($N32="","",VLOOKUP($N32,Reinforcements[],COLUMN(Reinforcements[[#Headers],[Net Area (in2)]])-1,FALSE))</f>
        <v/>
      </c>
      <c r="AE96" s="654"/>
      <c r="AF96" s="651" t="str">
        <f>IF($N32="","",VLOOKUP($N32,Reinforcements[],IF(RIGHT($AF$84,4)="(in)",COLUMN(Reinforcements[[#Headers],[Bolt Hole Size (in)]])-1,COLUMN(Reinforcements[[#Headers],[Bolt Hole Size (mm)]])-1),FALSE))</f>
        <v/>
      </c>
      <c r="AG96" s="651"/>
      <c r="AH96" s="651"/>
      <c r="AI96" s="681" t="str">
        <f>IF($N32="","",VLOOKUP($N32,Reinforcements[],COLUMN(Reinforcements[[#Headers],[Material]])-1,FALSE))</f>
        <v/>
      </c>
      <c r="AJ96" s="681"/>
      <c r="AK96" s="681"/>
      <c r="AL96" s="681"/>
      <c r="AM96" s="30"/>
      <c r="AN96" s="30"/>
      <c r="AO96" s="30"/>
    </row>
    <row r="97" spans="2:41" ht="14.45" hidden="1" customHeight="1" x14ac:dyDescent="0.25">
      <c r="B97" s="13">
        <v>13</v>
      </c>
      <c r="C97" s="652" t="str">
        <f>IF($N33="","",VLOOKUP($N33,Reinforcements[],COLUMN(Reinforcements[[#Headers],[B (in)]])-1,FALSE))</f>
        <v/>
      </c>
      <c r="D97" s="652"/>
      <c r="E97" s="652" t="str">
        <f>IF($N33="","",VLOOKUP($N33,Reinforcements[],COLUMN(Reinforcements[[#Headers],[H (in)]])-1,FALSE))</f>
        <v/>
      </c>
      <c r="F97" s="652"/>
      <c r="G97" s="652" t="str">
        <f>IF($N33="","",VLOOKUP($N33,Reinforcements[],COLUMN(Reinforcements[[#Headers],[Gross Area (in2)]])-1,FALSE))</f>
        <v/>
      </c>
      <c r="H97" s="652"/>
      <c r="I97" s="652" t="str">
        <f>IF($N33="","",VLOOKUP($N33,Reinforcements[],COLUMN(Reinforcements[[#Headers],[Pole Face to Centroid (in)]])-1,FALSE))</f>
        <v/>
      </c>
      <c r="J97" s="652"/>
      <c r="K97" s="652"/>
      <c r="L97" s="652"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52"/>
      <c r="N97" s="652"/>
      <c r="O97" s="652"/>
      <c r="P97" s="652"/>
      <c r="Q97" s="652" t="str">
        <f>IF($N33="","",VLOOKUP($N33,Reinforcements[],COLUMN(Reinforcements[[#Headers],[Bottom Connection Length + Edge Dist (in)]])-1,FALSE))</f>
        <v/>
      </c>
      <c r="R97" s="652"/>
      <c r="S97" s="652"/>
      <c r="T97" s="653"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3"/>
      <c r="V97" s="653"/>
      <c r="W97" s="653"/>
      <c r="X97" s="653"/>
      <c r="Y97" s="653" t="str">
        <f>IF($N33="","",VLOOKUP($N33,Reinforcements[],COLUMN(Reinforcements[[#Headers],[Top Connection Length + Edge Dist (in)]])-1,FALSE))</f>
        <v/>
      </c>
      <c r="Z97" s="653"/>
      <c r="AA97" s="653"/>
      <c r="AB97" s="654" t="str">
        <f>IF($N33="","",VLOOKUP($N33,Reinforcements[],COLUMN(Reinforcements[[#Headers],[Lu (in)]])-1,FALSE))</f>
        <v/>
      </c>
      <c r="AC97" s="654"/>
      <c r="AD97" s="654" t="str">
        <f>IF($N33="","",VLOOKUP($N33,Reinforcements[],COLUMN(Reinforcements[[#Headers],[Net Area (in2)]])-1,FALSE))</f>
        <v/>
      </c>
      <c r="AE97" s="654"/>
      <c r="AF97" s="651" t="str">
        <f>IF($N33="","",VLOOKUP($N33,Reinforcements[],IF(RIGHT($AF$84,4)="(in)",COLUMN(Reinforcements[[#Headers],[Bolt Hole Size (in)]])-1,COLUMN(Reinforcements[[#Headers],[Bolt Hole Size (mm)]])-1),FALSE))</f>
        <v/>
      </c>
      <c r="AG97" s="651"/>
      <c r="AH97" s="651"/>
      <c r="AI97" s="681" t="str">
        <f>IF($N33="","",VLOOKUP($N33,Reinforcements[],COLUMN(Reinforcements[[#Headers],[Material]])-1,FALSE))</f>
        <v/>
      </c>
      <c r="AJ97" s="681"/>
      <c r="AK97" s="681"/>
      <c r="AL97" s="681"/>
      <c r="AM97" s="34"/>
      <c r="AN97" s="34"/>
      <c r="AO97" s="34"/>
    </row>
    <row r="98" spans="2:41" ht="14.45" hidden="1" customHeight="1" x14ac:dyDescent="0.25">
      <c r="B98" s="13">
        <v>14</v>
      </c>
      <c r="C98" s="652" t="str">
        <f>IF($N34="","",VLOOKUP($N34,Reinforcements[],COLUMN(Reinforcements[[#Headers],[B (in)]])-1,FALSE))</f>
        <v/>
      </c>
      <c r="D98" s="652"/>
      <c r="E98" s="652" t="str">
        <f>IF($N34="","",VLOOKUP($N34,Reinforcements[],COLUMN(Reinforcements[[#Headers],[H (in)]])-1,FALSE))</f>
        <v/>
      </c>
      <c r="F98" s="652"/>
      <c r="G98" s="652" t="str">
        <f>IF($N34="","",VLOOKUP($N34,Reinforcements[],COLUMN(Reinforcements[[#Headers],[Gross Area (in2)]])-1,FALSE))</f>
        <v/>
      </c>
      <c r="H98" s="652"/>
      <c r="I98" s="652" t="str">
        <f>IF($N34="","",VLOOKUP($N34,Reinforcements[],COLUMN(Reinforcements[[#Headers],[Pole Face to Centroid (in)]])-1,FALSE))</f>
        <v/>
      </c>
      <c r="J98" s="652"/>
      <c r="K98" s="652"/>
      <c r="L98" s="652"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52"/>
      <c r="N98" s="652"/>
      <c r="O98" s="652"/>
      <c r="P98" s="652"/>
      <c r="Q98" s="652" t="str">
        <f>IF($N34="","",VLOOKUP($N34,Reinforcements[],COLUMN(Reinforcements[[#Headers],[Bottom Connection Length + Edge Dist (in)]])-1,FALSE))</f>
        <v/>
      </c>
      <c r="R98" s="652"/>
      <c r="S98" s="652"/>
      <c r="T98" s="653"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3"/>
      <c r="V98" s="653"/>
      <c r="W98" s="653"/>
      <c r="X98" s="653"/>
      <c r="Y98" s="653" t="str">
        <f>IF($N34="","",VLOOKUP($N34,Reinforcements[],COLUMN(Reinforcements[[#Headers],[Top Connection Length + Edge Dist (in)]])-1,FALSE))</f>
        <v/>
      </c>
      <c r="Z98" s="653"/>
      <c r="AA98" s="653"/>
      <c r="AB98" s="654" t="str">
        <f>IF($N34="","",VLOOKUP($N34,Reinforcements[],COLUMN(Reinforcements[[#Headers],[Lu (in)]])-1,FALSE))</f>
        <v/>
      </c>
      <c r="AC98" s="654"/>
      <c r="AD98" s="654" t="str">
        <f>IF($N34="","",VLOOKUP($N34,Reinforcements[],COLUMN(Reinforcements[[#Headers],[Net Area (in2)]])-1,FALSE))</f>
        <v/>
      </c>
      <c r="AE98" s="654"/>
      <c r="AF98" s="651" t="str">
        <f>IF($N34="","",VLOOKUP($N34,Reinforcements[],IF(RIGHT($AF$84,4)="(in)",COLUMN(Reinforcements[[#Headers],[Bolt Hole Size (in)]])-1,COLUMN(Reinforcements[[#Headers],[Bolt Hole Size (mm)]])-1),FALSE))</f>
        <v/>
      </c>
      <c r="AG98" s="651"/>
      <c r="AH98" s="651"/>
      <c r="AI98" s="681" t="str">
        <f>IF($N34="","",VLOOKUP($N34,Reinforcements[],COLUMN(Reinforcements[[#Headers],[Material]])-1,FALSE))</f>
        <v/>
      </c>
      <c r="AJ98" s="681"/>
      <c r="AK98" s="681"/>
      <c r="AL98" s="681"/>
      <c r="AM98" s="34"/>
      <c r="AN98" s="34"/>
      <c r="AO98" s="34"/>
    </row>
    <row r="99" spans="2:41" ht="14.45" hidden="1" customHeight="1" x14ac:dyDescent="0.25">
      <c r="B99" s="13">
        <v>15</v>
      </c>
      <c r="C99" s="652" t="str">
        <f>IF($N35="","",VLOOKUP($N35,Reinforcements[],COLUMN(Reinforcements[[#Headers],[B (in)]])-1,FALSE))</f>
        <v/>
      </c>
      <c r="D99" s="652"/>
      <c r="E99" s="652" t="str">
        <f>IF($N35="","",VLOOKUP($N35,Reinforcements[],COLUMN(Reinforcements[[#Headers],[H (in)]])-1,FALSE))</f>
        <v/>
      </c>
      <c r="F99" s="652"/>
      <c r="G99" s="652" t="str">
        <f>IF($N35="","",VLOOKUP($N35,Reinforcements[],COLUMN(Reinforcements[[#Headers],[Gross Area (in2)]])-1,FALSE))</f>
        <v/>
      </c>
      <c r="H99" s="652"/>
      <c r="I99" s="652" t="str">
        <f>IF($N35="","",VLOOKUP($N35,Reinforcements[],COLUMN(Reinforcements[[#Headers],[Pole Face to Centroid (in)]])-1,FALSE))</f>
        <v/>
      </c>
      <c r="J99" s="652"/>
      <c r="K99" s="652"/>
      <c r="L99" s="652"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52"/>
      <c r="N99" s="652"/>
      <c r="O99" s="652"/>
      <c r="P99" s="652"/>
      <c r="Q99" s="652" t="str">
        <f>IF($N35="","",VLOOKUP($N35,Reinforcements[],COLUMN(Reinforcements[[#Headers],[Bottom Connection Length + Edge Dist (in)]])-1,FALSE))</f>
        <v/>
      </c>
      <c r="R99" s="652"/>
      <c r="S99" s="652"/>
      <c r="T99" s="653"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3"/>
      <c r="V99" s="653"/>
      <c r="W99" s="653"/>
      <c r="X99" s="653"/>
      <c r="Y99" s="653" t="str">
        <f>IF($N35="","",VLOOKUP($N35,Reinforcements[],COLUMN(Reinforcements[[#Headers],[Top Connection Length + Edge Dist (in)]])-1,FALSE))</f>
        <v/>
      </c>
      <c r="Z99" s="653"/>
      <c r="AA99" s="653"/>
      <c r="AB99" s="654" t="str">
        <f>IF($N35="","",VLOOKUP($N35,Reinforcements[],COLUMN(Reinforcements[[#Headers],[Lu (in)]])-1,FALSE))</f>
        <v/>
      </c>
      <c r="AC99" s="654"/>
      <c r="AD99" s="654" t="str">
        <f>IF($N35="","",VLOOKUP($N35,Reinforcements[],COLUMN(Reinforcements[[#Headers],[Net Area (in2)]])-1,FALSE))</f>
        <v/>
      </c>
      <c r="AE99" s="654"/>
      <c r="AF99" s="651" t="str">
        <f>IF($N35="","",VLOOKUP($N35,Reinforcements[],IF(RIGHT($AF$84,4)="(in)",COLUMN(Reinforcements[[#Headers],[Bolt Hole Size (in)]])-1,COLUMN(Reinforcements[[#Headers],[Bolt Hole Size (mm)]])-1),FALSE))</f>
        <v/>
      </c>
      <c r="AG99" s="651"/>
      <c r="AH99" s="651"/>
      <c r="AI99" s="681" t="str">
        <f>IF($N35="","",VLOOKUP($N35,Reinforcements[],COLUMN(Reinforcements[[#Headers],[Material]])-1,FALSE))</f>
        <v/>
      </c>
      <c r="AJ99" s="681"/>
      <c r="AK99" s="681"/>
      <c r="AL99" s="681"/>
      <c r="AM99" s="34"/>
      <c r="AN99" s="34"/>
      <c r="AO99" s="34"/>
    </row>
    <row r="100" spans="2:41" ht="14.45" hidden="1" customHeight="1" x14ac:dyDescent="0.25">
      <c r="B100" s="13">
        <v>16</v>
      </c>
      <c r="C100" s="652" t="str">
        <f>IF($N36="","",VLOOKUP($N36,Reinforcements[],COLUMN(Reinforcements[[#Headers],[B (in)]])-1,FALSE))</f>
        <v/>
      </c>
      <c r="D100" s="652"/>
      <c r="E100" s="652" t="str">
        <f>IF($N36="","",VLOOKUP($N36,Reinforcements[],COLUMN(Reinforcements[[#Headers],[H (in)]])-1,FALSE))</f>
        <v/>
      </c>
      <c r="F100" s="652"/>
      <c r="G100" s="652" t="str">
        <f>IF($N36="","",VLOOKUP($N36,Reinforcements[],COLUMN(Reinforcements[[#Headers],[Gross Area (in2)]])-1,FALSE))</f>
        <v/>
      </c>
      <c r="H100" s="652"/>
      <c r="I100" s="652" t="str">
        <f>IF($N36="","",VLOOKUP($N36,Reinforcements[],COLUMN(Reinforcements[[#Headers],[Pole Face to Centroid (in)]])-1,FALSE))</f>
        <v/>
      </c>
      <c r="J100" s="652"/>
      <c r="K100" s="652"/>
      <c r="L100" s="652"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52"/>
      <c r="N100" s="652"/>
      <c r="O100" s="652"/>
      <c r="P100" s="652"/>
      <c r="Q100" s="652" t="str">
        <f>IF($N36="","",VLOOKUP($N36,Reinforcements[],COLUMN(Reinforcements[[#Headers],[Bottom Connection Length + Edge Dist (in)]])-1,FALSE))</f>
        <v/>
      </c>
      <c r="R100" s="652"/>
      <c r="S100" s="652"/>
      <c r="T100" s="653"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3"/>
      <c r="V100" s="653"/>
      <c r="W100" s="653"/>
      <c r="X100" s="653"/>
      <c r="Y100" s="653" t="str">
        <f>IF($N36="","",VLOOKUP($N36,Reinforcements[],COLUMN(Reinforcements[[#Headers],[Top Connection Length + Edge Dist (in)]])-1,FALSE))</f>
        <v/>
      </c>
      <c r="Z100" s="653"/>
      <c r="AA100" s="653"/>
      <c r="AB100" s="654" t="str">
        <f>IF($N36="","",VLOOKUP($N36,Reinforcements[],COLUMN(Reinforcements[[#Headers],[Lu (in)]])-1,FALSE))</f>
        <v/>
      </c>
      <c r="AC100" s="654"/>
      <c r="AD100" s="654" t="str">
        <f>IF($N36="","",VLOOKUP($N36,Reinforcements[],COLUMN(Reinforcements[[#Headers],[Net Area (in2)]])-1,FALSE))</f>
        <v/>
      </c>
      <c r="AE100" s="654"/>
      <c r="AF100" s="651" t="str">
        <f>IF($N36="","",VLOOKUP($N36,Reinforcements[],IF(RIGHT($AF$84,4)="(in)",COLUMN(Reinforcements[[#Headers],[Bolt Hole Size (in)]])-1,COLUMN(Reinforcements[[#Headers],[Bolt Hole Size (mm)]])-1),FALSE))</f>
        <v/>
      </c>
      <c r="AG100" s="651"/>
      <c r="AH100" s="651"/>
      <c r="AI100" s="681" t="str">
        <f>IF($N36="","",VLOOKUP($N36,Reinforcements[],COLUMN(Reinforcements[[#Headers],[Material]])-1,FALSE))</f>
        <v/>
      </c>
      <c r="AJ100" s="681"/>
      <c r="AK100" s="681"/>
      <c r="AL100" s="681"/>
      <c r="AM100" s="34"/>
      <c r="AN100" s="34"/>
      <c r="AO100" s="34"/>
    </row>
    <row r="101" spans="2:41" ht="14.45" hidden="1" customHeight="1" x14ac:dyDescent="0.25">
      <c r="B101" s="13">
        <v>17</v>
      </c>
      <c r="C101" s="652" t="str">
        <f>IF($N37="","",VLOOKUP($N37,Reinforcements[],COLUMN(Reinforcements[[#Headers],[B (in)]])-1,FALSE))</f>
        <v/>
      </c>
      <c r="D101" s="652"/>
      <c r="E101" s="652" t="str">
        <f>IF($N37="","",VLOOKUP($N37,Reinforcements[],COLUMN(Reinforcements[[#Headers],[H (in)]])-1,FALSE))</f>
        <v/>
      </c>
      <c r="F101" s="652"/>
      <c r="G101" s="652" t="str">
        <f>IF($N37="","",VLOOKUP($N37,Reinforcements[],COLUMN(Reinforcements[[#Headers],[Gross Area (in2)]])-1,FALSE))</f>
        <v/>
      </c>
      <c r="H101" s="652"/>
      <c r="I101" s="652" t="str">
        <f>IF($N37="","",VLOOKUP($N37,Reinforcements[],COLUMN(Reinforcements[[#Headers],[Pole Face to Centroid (in)]])-1,FALSE))</f>
        <v/>
      </c>
      <c r="J101" s="652"/>
      <c r="K101" s="652"/>
      <c r="L101" s="652"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52"/>
      <c r="N101" s="652"/>
      <c r="O101" s="652"/>
      <c r="P101" s="652"/>
      <c r="Q101" s="652" t="str">
        <f>IF($N37="","",VLOOKUP($N37,Reinforcements[],COLUMN(Reinforcements[[#Headers],[Bottom Connection Length + Edge Dist (in)]])-1,FALSE))</f>
        <v/>
      </c>
      <c r="R101" s="652"/>
      <c r="S101" s="652"/>
      <c r="T101" s="653"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3"/>
      <c r="V101" s="653"/>
      <c r="W101" s="653"/>
      <c r="X101" s="653"/>
      <c r="Y101" s="653" t="str">
        <f>IF($N37="","",VLOOKUP($N37,Reinforcements[],COLUMN(Reinforcements[[#Headers],[Top Connection Length + Edge Dist (in)]])-1,FALSE))</f>
        <v/>
      </c>
      <c r="Z101" s="653"/>
      <c r="AA101" s="653"/>
      <c r="AB101" s="654" t="str">
        <f>IF($N37="","",VLOOKUP($N37,Reinforcements[],COLUMN(Reinforcements[[#Headers],[Lu (in)]])-1,FALSE))</f>
        <v/>
      </c>
      <c r="AC101" s="654"/>
      <c r="AD101" s="654" t="str">
        <f>IF($N37="","",VLOOKUP($N37,Reinforcements[],COLUMN(Reinforcements[[#Headers],[Net Area (in2)]])-1,FALSE))</f>
        <v/>
      </c>
      <c r="AE101" s="654"/>
      <c r="AF101" s="651" t="str">
        <f>IF($N37="","",VLOOKUP($N37,Reinforcements[],IF(RIGHT($AF$84,4)="(in)",COLUMN(Reinforcements[[#Headers],[Bolt Hole Size (in)]])-1,COLUMN(Reinforcements[[#Headers],[Bolt Hole Size (mm)]])-1),FALSE))</f>
        <v/>
      </c>
      <c r="AG101" s="651"/>
      <c r="AH101" s="651"/>
      <c r="AI101" s="681" t="str">
        <f>IF($N37="","",VLOOKUP($N37,Reinforcements[],COLUMN(Reinforcements[[#Headers],[Material]])-1,FALSE))</f>
        <v/>
      </c>
      <c r="AJ101" s="681"/>
      <c r="AK101" s="681"/>
      <c r="AL101" s="681"/>
      <c r="AM101" s="34"/>
      <c r="AN101" s="34"/>
      <c r="AO101" s="34"/>
    </row>
    <row r="102" spans="2:41" ht="14.45" hidden="1" customHeight="1" x14ac:dyDescent="0.25">
      <c r="B102" s="13">
        <v>18</v>
      </c>
      <c r="C102" s="652" t="str">
        <f>IF($N38="","",VLOOKUP($N38,Reinforcements[],COLUMN(Reinforcements[[#Headers],[B (in)]])-1,FALSE))</f>
        <v/>
      </c>
      <c r="D102" s="652"/>
      <c r="E102" s="652" t="str">
        <f>IF($N38="","",VLOOKUP($N38,Reinforcements[],COLUMN(Reinforcements[[#Headers],[H (in)]])-1,FALSE))</f>
        <v/>
      </c>
      <c r="F102" s="652"/>
      <c r="G102" s="652" t="str">
        <f>IF($N38="","",VLOOKUP($N38,Reinforcements[],COLUMN(Reinforcements[[#Headers],[Gross Area (in2)]])-1,FALSE))</f>
        <v/>
      </c>
      <c r="H102" s="652"/>
      <c r="I102" s="652" t="str">
        <f>IF($N38="","",VLOOKUP($N38,Reinforcements[],COLUMN(Reinforcements[[#Headers],[Pole Face to Centroid (in)]])-1,FALSE))</f>
        <v/>
      </c>
      <c r="J102" s="652"/>
      <c r="K102" s="652"/>
      <c r="L102" s="652"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52"/>
      <c r="N102" s="652"/>
      <c r="O102" s="652"/>
      <c r="P102" s="652"/>
      <c r="Q102" s="652" t="str">
        <f>IF($N38="","",VLOOKUP($N38,Reinforcements[],COLUMN(Reinforcements[[#Headers],[Bottom Connection Length + Edge Dist (in)]])-1,FALSE))</f>
        <v/>
      </c>
      <c r="R102" s="652"/>
      <c r="S102" s="652"/>
      <c r="T102" s="653"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3"/>
      <c r="V102" s="653"/>
      <c r="W102" s="653"/>
      <c r="X102" s="653"/>
      <c r="Y102" s="653" t="str">
        <f>IF($N38="","",VLOOKUP($N38,Reinforcements[],COLUMN(Reinforcements[[#Headers],[Top Connection Length + Edge Dist (in)]])-1,FALSE))</f>
        <v/>
      </c>
      <c r="Z102" s="653"/>
      <c r="AA102" s="653"/>
      <c r="AB102" s="654" t="str">
        <f>IF($N38="","",VLOOKUP($N38,Reinforcements[],COLUMN(Reinforcements[[#Headers],[Lu (in)]])-1,FALSE))</f>
        <v/>
      </c>
      <c r="AC102" s="654"/>
      <c r="AD102" s="654" t="str">
        <f>IF($N38="","",VLOOKUP($N38,Reinforcements[],COLUMN(Reinforcements[[#Headers],[Net Area (in2)]])-1,FALSE))</f>
        <v/>
      </c>
      <c r="AE102" s="654"/>
      <c r="AF102" s="651" t="str">
        <f>IF($N38="","",VLOOKUP($N38,Reinforcements[],IF(RIGHT($AF$84,4)="(in)",COLUMN(Reinforcements[[#Headers],[Bolt Hole Size (in)]])-1,COLUMN(Reinforcements[[#Headers],[Bolt Hole Size (mm)]])-1),FALSE))</f>
        <v/>
      </c>
      <c r="AG102" s="651"/>
      <c r="AH102" s="651"/>
      <c r="AI102" s="681" t="str">
        <f>IF($N38="","",VLOOKUP($N38,Reinforcements[],COLUMN(Reinforcements[[#Headers],[Material]])-1,FALSE))</f>
        <v/>
      </c>
      <c r="AJ102" s="681"/>
      <c r="AK102" s="681"/>
      <c r="AL102" s="681"/>
      <c r="AM102" s="34"/>
      <c r="AN102" s="34"/>
      <c r="AO102" s="34"/>
    </row>
    <row r="103" spans="2:41" ht="14.45" hidden="1" customHeight="1" x14ac:dyDescent="0.25">
      <c r="B103" s="13">
        <v>19</v>
      </c>
      <c r="C103" s="652" t="str">
        <f>IF($N39="","",VLOOKUP($N39,Reinforcements[],COLUMN(Reinforcements[[#Headers],[B (in)]])-1,FALSE))</f>
        <v/>
      </c>
      <c r="D103" s="652"/>
      <c r="E103" s="652" t="str">
        <f>IF($N39="","",VLOOKUP($N39,Reinforcements[],COLUMN(Reinforcements[[#Headers],[H (in)]])-1,FALSE))</f>
        <v/>
      </c>
      <c r="F103" s="652"/>
      <c r="G103" s="652" t="str">
        <f>IF($N39="","",VLOOKUP($N39,Reinforcements[],COLUMN(Reinforcements[[#Headers],[Gross Area (in2)]])-1,FALSE))</f>
        <v/>
      </c>
      <c r="H103" s="652"/>
      <c r="I103" s="652" t="str">
        <f>IF($N39="","",VLOOKUP($N39,Reinforcements[],COLUMN(Reinforcements[[#Headers],[Pole Face to Centroid (in)]])-1,FALSE))</f>
        <v/>
      </c>
      <c r="J103" s="652"/>
      <c r="K103" s="652"/>
      <c r="L103" s="652"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52"/>
      <c r="N103" s="652"/>
      <c r="O103" s="652"/>
      <c r="P103" s="652"/>
      <c r="Q103" s="652" t="str">
        <f>IF($N39="","",VLOOKUP($N39,Reinforcements[],COLUMN(Reinforcements[[#Headers],[Bottom Connection Length + Edge Dist (in)]])-1,FALSE))</f>
        <v/>
      </c>
      <c r="R103" s="652"/>
      <c r="S103" s="652"/>
      <c r="T103" s="653"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3"/>
      <c r="V103" s="653"/>
      <c r="W103" s="653"/>
      <c r="X103" s="653"/>
      <c r="Y103" s="653" t="str">
        <f>IF($N39="","",VLOOKUP($N39,Reinforcements[],COLUMN(Reinforcements[[#Headers],[Top Connection Length + Edge Dist (in)]])-1,FALSE))</f>
        <v/>
      </c>
      <c r="Z103" s="653"/>
      <c r="AA103" s="653"/>
      <c r="AB103" s="654" t="str">
        <f>IF($N39="","",VLOOKUP($N39,Reinforcements[],COLUMN(Reinforcements[[#Headers],[Lu (in)]])-1,FALSE))</f>
        <v/>
      </c>
      <c r="AC103" s="654"/>
      <c r="AD103" s="654" t="str">
        <f>IF($N39="","",VLOOKUP($N39,Reinforcements[],COLUMN(Reinforcements[[#Headers],[Net Area (in2)]])-1,FALSE))</f>
        <v/>
      </c>
      <c r="AE103" s="654"/>
      <c r="AF103" s="651" t="str">
        <f>IF($N39="","",VLOOKUP($N39,Reinforcements[],IF(RIGHT($AF$84,4)="(in)",COLUMN(Reinforcements[[#Headers],[Bolt Hole Size (in)]])-1,COLUMN(Reinforcements[[#Headers],[Bolt Hole Size (mm)]])-1),FALSE))</f>
        <v/>
      </c>
      <c r="AG103" s="651"/>
      <c r="AH103" s="651"/>
      <c r="AI103" s="681" t="str">
        <f>IF($N39="","",VLOOKUP($N39,Reinforcements[],COLUMN(Reinforcements[[#Headers],[Material]])-1,FALSE))</f>
        <v/>
      </c>
      <c r="AJ103" s="681"/>
      <c r="AK103" s="681"/>
      <c r="AL103" s="681"/>
      <c r="AM103" s="34"/>
      <c r="AN103" s="34"/>
      <c r="AO103" s="34"/>
    </row>
    <row r="104" spans="2:41" ht="14.45" hidden="1" customHeight="1" x14ac:dyDescent="0.25">
      <c r="B104" s="13">
        <v>20</v>
      </c>
      <c r="C104" s="652" t="str">
        <f>IF($N40="","",VLOOKUP($N40,Reinforcements[],COLUMN(Reinforcements[[#Headers],[B (in)]])-1,FALSE))</f>
        <v/>
      </c>
      <c r="D104" s="652"/>
      <c r="E104" s="652" t="str">
        <f>IF($N40="","",VLOOKUP($N40,Reinforcements[],COLUMN(Reinforcements[[#Headers],[H (in)]])-1,FALSE))</f>
        <v/>
      </c>
      <c r="F104" s="652"/>
      <c r="G104" s="652" t="str">
        <f>IF($N40="","",VLOOKUP($N40,Reinforcements[],COLUMN(Reinforcements[[#Headers],[Gross Area (in2)]])-1,FALSE))</f>
        <v/>
      </c>
      <c r="H104" s="652"/>
      <c r="I104" s="652" t="str">
        <f>IF($N40="","",VLOOKUP($N40,Reinforcements[],COLUMN(Reinforcements[[#Headers],[Pole Face to Centroid (in)]])-1,FALSE))</f>
        <v/>
      </c>
      <c r="J104" s="652"/>
      <c r="K104" s="652"/>
      <c r="L104" s="652"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52"/>
      <c r="N104" s="652"/>
      <c r="O104" s="652"/>
      <c r="P104" s="652"/>
      <c r="Q104" s="652" t="str">
        <f>IF($N40="","",VLOOKUP($N40,Reinforcements[],COLUMN(Reinforcements[[#Headers],[Bottom Connection Length + Edge Dist (in)]])-1,FALSE))</f>
        <v/>
      </c>
      <c r="R104" s="652"/>
      <c r="S104" s="652"/>
      <c r="T104" s="653"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3"/>
      <c r="V104" s="653"/>
      <c r="W104" s="653"/>
      <c r="X104" s="653"/>
      <c r="Y104" s="653" t="str">
        <f>IF($N40="","",VLOOKUP($N40,Reinforcements[],COLUMN(Reinforcements[[#Headers],[Top Connection Length + Edge Dist (in)]])-1,FALSE))</f>
        <v/>
      </c>
      <c r="Z104" s="653"/>
      <c r="AA104" s="653"/>
      <c r="AB104" s="654" t="str">
        <f>IF($N40="","",VLOOKUP($N40,Reinforcements[],COLUMN(Reinforcements[[#Headers],[Lu (in)]])-1,FALSE))</f>
        <v/>
      </c>
      <c r="AC104" s="654"/>
      <c r="AD104" s="654" t="str">
        <f>IF($N40="","",VLOOKUP($N40,Reinforcements[],COLUMN(Reinforcements[[#Headers],[Net Area (in2)]])-1,FALSE))</f>
        <v/>
      </c>
      <c r="AE104" s="654"/>
      <c r="AF104" s="651" t="str">
        <f>IF($N40="","",VLOOKUP($N40,Reinforcements[],IF(RIGHT($AF$84,4)="(in)",COLUMN(Reinforcements[[#Headers],[Bolt Hole Size (in)]])-1,COLUMN(Reinforcements[[#Headers],[Bolt Hole Size (mm)]])-1),FALSE))</f>
        <v/>
      </c>
      <c r="AG104" s="651"/>
      <c r="AH104" s="651"/>
      <c r="AI104" s="681" t="str">
        <f>IF($N40="","",VLOOKUP($N40,Reinforcements[],COLUMN(Reinforcements[[#Headers],[Material]])-1,FALSE))</f>
        <v/>
      </c>
      <c r="AJ104" s="681"/>
      <c r="AK104" s="681"/>
      <c r="AL104" s="681"/>
      <c r="AM104" s="34"/>
      <c r="AN104" s="34"/>
      <c r="AO104" s="34"/>
    </row>
    <row r="105" spans="2:41" ht="14.45" hidden="1" customHeight="1" x14ac:dyDescent="0.25">
      <c r="B105" s="13">
        <v>21</v>
      </c>
      <c r="C105" s="652" t="str">
        <f>IF($N41="","",VLOOKUP($N41,Reinforcements[],COLUMN(Reinforcements[[#Headers],[B (in)]])-1,FALSE))</f>
        <v/>
      </c>
      <c r="D105" s="652"/>
      <c r="E105" s="652" t="str">
        <f>IF($N41="","",VLOOKUP($N41,Reinforcements[],COLUMN(Reinforcements[[#Headers],[H (in)]])-1,FALSE))</f>
        <v/>
      </c>
      <c r="F105" s="652"/>
      <c r="G105" s="652" t="str">
        <f>IF($N41="","",VLOOKUP($N41,Reinforcements[],COLUMN(Reinforcements[[#Headers],[Gross Area (in2)]])-1,FALSE))</f>
        <v/>
      </c>
      <c r="H105" s="652"/>
      <c r="I105" s="652" t="str">
        <f>IF($N41="","",VLOOKUP($N41,Reinforcements[],COLUMN(Reinforcements[[#Headers],[Pole Face to Centroid (in)]])-1,FALSE))</f>
        <v/>
      </c>
      <c r="J105" s="652"/>
      <c r="K105" s="652"/>
      <c r="L105" s="652"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52"/>
      <c r="N105" s="652"/>
      <c r="O105" s="652"/>
      <c r="P105" s="652"/>
      <c r="Q105" s="652" t="str">
        <f>IF($N41="","",VLOOKUP($N41,Reinforcements[],COLUMN(Reinforcements[[#Headers],[Bottom Connection Length + Edge Dist (in)]])-1,FALSE))</f>
        <v/>
      </c>
      <c r="R105" s="652"/>
      <c r="S105" s="652"/>
      <c r="T105" s="653"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3"/>
      <c r="V105" s="653"/>
      <c r="W105" s="653"/>
      <c r="X105" s="653"/>
      <c r="Y105" s="653" t="str">
        <f>IF($N41="","",VLOOKUP($N41,Reinforcements[],COLUMN(Reinforcements[[#Headers],[Top Connection Length + Edge Dist (in)]])-1,FALSE))</f>
        <v/>
      </c>
      <c r="Z105" s="653"/>
      <c r="AA105" s="653"/>
      <c r="AB105" s="654" t="str">
        <f>IF($N41="","",VLOOKUP($N41,Reinforcements[],COLUMN(Reinforcements[[#Headers],[Lu (in)]])-1,FALSE))</f>
        <v/>
      </c>
      <c r="AC105" s="654"/>
      <c r="AD105" s="654" t="str">
        <f>IF($N41="","",VLOOKUP($N41,Reinforcements[],COLUMN(Reinforcements[[#Headers],[Net Area (in2)]])-1,FALSE))</f>
        <v/>
      </c>
      <c r="AE105" s="654"/>
      <c r="AF105" s="651" t="str">
        <f>IF($N41="","",VLOOKUP($N41,Reinforcements[],IF(RIGHT($AF$84,4)="(in)",COLUMN(Reinforcements[[#Headers],[Bolt Hole Size (in)]])-1,COLUMN(Reinforcements[[#Headers],[Bolt Hole Size (mm)]])-1),FALSE))</f>
        <v/>
      </c>
      <c r="AG105" s="651"/>
      <c r="AH105" s="651"/>
      <c r="AI105" s="681" t="str">
        <f>IF($N41="","",VLOOKUP($N41,Reinforcements[],COLUMN(Reinforcements[[#Headers],[Material]])-1,FALSE))</f>
        <v/>
      </c>
      <c r="AJ105" s="681"/>
      <c r="AK105" s="681"/>
      <c r="AL105" s="681"/>
      <c r="AM105" s="34"/>
      <c r="AN105" s="34"/>
      <c r="AO105" s="34"/>
    </row>
    <row r="106" spans="2:41" ht="14.45" hidden="1" customHeight="1" x14ac:dyDescent="0.25">
      <c r="B106" s="13">
        <v>22</v>
      </c>
      <c r="C106" s="652" t="str">
        <f>IF($N42="","",VLOOKUP($N42,Reinforcements[],COLUMN(Reinforcements[[#Headers],[B (in)]])-1,FALSE))</f>
        <v/>
      </c>
      <c r="D106" s="652"/>
      <c r="E106" s="652" t="str">
        <f>IF($N42="","",VLOOKUP($N42,Reinforcements[],COLUMN(Reinforcements[[#Headers],[H (in)]])-1,FALSE))</f>
        <v/>
      </c>
      <c r="F106" s="652"/>
      <c r="G106" s="652" t="str">
        <f>IF($N42="","",VLOOKUP($N42,Reinforcements[],COLUMN(Reinforcements[[#Headers],[Gross Area (in2)]])-1,FALSE))</f>
        <v/>
      </c>
      <c r="H106" s="652"/>
      <c r="I106" s="652" t="str">
        <f>IF($N42="","",VLOOKUP($N42,Reinforcements[],COLUMN(Reinforcements[[#Headers],[Pole Face to Centroid (in)]])-1,FALSE))</f>
        <v/>
      </c>
      <c r="J106" s="652"/>
      <c r="K106" s="652"/>
      <c r="L106" s="652"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52"/>
      <c r="N106" s="652"/>
      <c r="O106" s="652"/>
      <c r="P106" s="652"/>
      <c r="Q106" s="652" t="str">
        <f>IF($N42="","",VLOOKUP($N42,Reinforcements[],COLUMN(Reinforcements[[#Headers],[Bottom Connection Length + Edge Dist (in)]])-1,FALSE))</f>
        <v/>
      </c>
      <c r="R106" s="652"/>
      <c r="S106" s="652"/>
      <c r="T106" s="653"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3"/>
      <c r="V106" s="653"/>
      <c r="W106" s="653"/>
      <c r="X106" s="653"/>
      <c r="Y106" s="653" t="str">
        <f>IF($N42="","",VLOOKUP($N42,Reinforcements[],COLUMN(Reinforcements[[#Headers],[Top Connection Length + Edge Dist (in)]])-1,FALSE))</f>
        <v/>
      </c>
      <c r="Z106" s="653"/>
      <c r="AA106" s="653"/>
      <c r="AB106" s="654" t="str">
        <f>IF($N42="","",VLOOKUP($N42,Reinforcements[],COLUMN(Reinforcements[[#Headers],[Lu (in)]])-1,FALSE))</f>
        <v/>
      </c>
      <c r="AC106" s="654"/>
      <c r="AD106" s="654" t="str">
        <f>IF($N42="","",VLOOKUP($N42,Reinforcements[],COLUMN(Reinforcements[[#Headers],[Net Area (in2)]])-1,FALSE))</f>
        <v/>
      </c>
      <c r="AE106" s="654"/>
      <c r="AF106" s="651" t="str">
        <f>IF($N42="","",VLOOKUP($N42,Reinforcements[],IF(RIGHT($AF$84,4)="(in)",COLUMN(Reinforcements[[#Headers],[Bolt Hole Size (in)]])-1,COLUMN(Reinforcements[[#Headers],[Bolt Hole Size (mm)]])-1),FALSE))</f>
        <v/>
      </c>
      <c r="AG106" s="651"/>
      <c r="AH106" s="651"/>
      <c r="AI106" s="681" t="str">
        <f>IF($N42="","",VLOOKUP($N42,Reinforcements[],COLUMN(Reinforcements[[#Headers],[Material]])-1,FALSE))</f>
        <v/>
      </c>
      <c r="AJ106" s="681"/>
      <c r="AK106" s="681"/>
      <c r="AL106" s="681"/>
      <c r="AM106" s="34"/>
      <c r="AN106" s="34"/>
      <c r="AO106" s="34"/>
    </row>
    <row r="107" spans="2:41" ht="14.45" hidden="1" customHeight="1" x14ac:dyDescent="0.25">
      <c r="B107" s="13">
        <v>23</v>
      </c>
      <c r="C107" s="652" t="str">
        <f>IF($N43="","",VLOOKUP($N43,Reinforcements[],COLUMN(Reinforcements[[#Headers],[B (in)]])-1,FALSE))</f>
        <v/>
      </c>
      <c r="D107" s="652"/>
      <c r="E107" s="652" t="str">
        <f>IF($N43="","",VLOOKUP($N43,Reinforcements[],COLUMN(Reinforcements[[#Headers],[H (in)]])-1,FALSE))</f>
        <v/>
      </c>
      <c r="F107" s="652"/>
      <c r="G107" s="652" t="str">
        <f>IF($N43="","",VLOOKUP($N43,Reinforcements[],COLUMN(Reinforcements[[#Headers],[Gross Area (in2)]])-1,FALSE))</f>
        <v/>
      </c>
      <c r="H107" s="652"/>
      <c r="I107" s="652" t="str">
        <f>IF($N43="","",VLOOKUP($N43,Reinforcements[],COLUMN(Reinforcements[[#Headers],[Pole Face to Centroid (in)]])-1,FALSE))</f>
        <v/>
      </c>
      <c r="J107" s="652"/>
      <c r="K107" s="652"/>
      <c r="L107" s="652"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52"/>
      <c r="N107" s="652"/>
      <c r="O107" s="652"/>
      <c r="P107" s="652"/>
      <c r="Q107" s="652" t="str">
        <f>IF($N43="","",VLOOKUP($N43,Reinforcements[],COLUMN(Reinforcements[[#Headers],[Bottom Connection Length + Edge Dist (in)]])-1,FALSE))</f>
        <v/>
      </c>
      <c r="R107" s="652"/>
      <c r="S107" s="652"/>
      <c r="T107" s="653"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3"/>
      <c r="V107" s="653"/>
      <c r="W107" s="653"/>
      <c r="X107" s="653"/>
      <c r="Y107" s="653" t="str">
        <f>IF($N43="","",VLOOKUP($N43,Reinforcements[],COLUMN(Reinforcements[[#Headers],[Top Connection Length + Edge Dist (in)]])-1,FALSE))</f>
        <v/>
      </c>
      <c r="Z107" s="653"/>
      <c r="AA107" s="653"/>
      <c r="AB107" s="654" t="str">
        <f>IF($N43="","",VLOOKUP($N43,Reinforcements[],COLUMN(Reinforcements[[#Headers],[Lu (in)]])-1,FALSE))</f>
        <v/>
      </c>
      <c r="AC107" s="654"/>
      <c r="AD107" s="654" t="str">
        <f>IF($N43="","",VLOOKUP($N43,Reinforcements[],COLUMN(Reinforcements[[#Headers],[Net Area (in2)]])-1,FALSE))</f>
        <v/>
      </c>
      <c r="AE107" s="654"/>
      <c r="AF107" s="651" t="str">
        <f>IF($N43="","",VLOOKUP($N43,Reinforcements[],IF(RIGHT($AF$84,4)="(in)",COLUMN(Reinforcements[[#Headers],[Bolt Hole Size (in)]])-1,COLUMN(Reinforcements[[#Headers],[Bolt Hole Size (mm)]])-1),FALSE))</f>
        <v/>
      </c>
      <c r="AG107" s="651"/>
      <c r="AH107" s="651"/>
      <c r="AI107" s="681" t="str">
        <f>IF($N43="","",VLOOKUP($N43,Reinforcements[],COLUMN(Reinforcements[[#Headers],[Material]])-1,FALSE))</f>
        <v/>
      </c>
      <c r="AJ107" s="681"/>
      <c r="AK107" s="681"/>
      <c r="AL107" s="681"/>
      <c r="AM107" s="34"/>
      <c r="AN107" s="34"/>
      <c r="AO107" s="34"/>
    </row>
    <row r="108" spans="2:41" ht="14.45" hidden="1" customHeight="1" x14ac:dyDescent="0.25">
      <c r="B108" s="13">
        <v>24</v>
      </c>
      <c r="C108" s="652" t="str">
        <f>IF($N44="","",VLOOKUP($N44,Reinforcements[],COLUMN(Reinforcements[[#Headers],[B (in)]])-1,FALSE))</f>
        <v/>
      </c>
      <c r="D108" s="652"/>
      <c r="E108" s="652" t="str">
        <f>IF($N44="","",VLOOKUP($N44,Reinforcements[],COLUMN(Reinforcements[[#Headers],[H (in)]])-1,FALSE))</f>
        <v/>
      </c>
      <c r="F108" s="652"/>
      <c r="G108" s="652" t="str">
        <f>IF($N44="","",VLOOKUP($N44,Reinforcements[],COLUMN(Reinforcements[[#Headers],[Gross Area (in2)]])-1,FALSE))</f>
        <v/>
      </c>
      <c r="H108" s="652"/>
      <c r="I108" s="652" t="str">
        <f>IF($N44="","",VLOOKUP($N44,Reinforcements[],COLUMN(Reinforcements[[#Headers],[Pole Face to Centroid (in)]])-1,FALSE))</f>
        <v/>
      </c>
      <c r="J108" s="652"/>
      <c r="K108" s="652"/>
      <c r="L108" s="652"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52"/>
      <c r="N108" s="652"/>
      <c r="O108" s="652"/>
      <c r="P108" s="652"/>
      <c r="Q108" s="652" t="str">
        <f>IF($N44="","",VLOOKUP($N44,Reinforcements[],COLUMN(Reinforcements[[#Headers],[Bottom Connection Length + Edge Dist (in)]])-1,FALSE))</f>
        <v/>
      </c>
      <c r="R108" s="652"/>
      <c r="S108" s="652"/>
      <c r="T108" s="653"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3"/>
      <c r="V108" s="653"/>
      <c r="W108" s="653"/>
      <c r="X108" s="653"/>
      <c r="Y108" s="653" t="str">
        <f>IF($N44="","",VLOOKUP($N44,Reinforcements[],COLUMN(Reinforcements[[#Headers],[Top Connection Length + Edge Dist (in)]])-1,FALSE))</f>
        <v/>
      </c>
      <c r="Z108" s="653"/>
      <c r="AA108" s="653"/>
      <c r="AB108" s="654" t="str">
        <f>IF($N44="","",VLOOKUP($N44,Reinforcements[],COLUMN(Reinforcements[[#Headers],[Lu (in)]])-1,FALSE))</f>
        <v/>
      </c>
      <c r="AC108" s="654"/>
      <c r="AD108" s="654" t="str">
        <f>IF($N44="","",VLOOKUP($N44,Reinforcements[],COLUMN(Reinforcements[[#Headers],[Net Area (in2)]])-1,FALSE))</f>
        <v/>
      </c>
      <c r="AE108" s="654"/>
      <c r="AF108" s="651" t="str">
        <f>IF($N44="","",VLOOKUP($N44,Reinforcements[],IF(RIGHT($AF$84,4)="(in)",COLUMN(Reinforcements[[#Headers],[Bolt Hole Size (in)]])-1,COLUMN(Reinforcements[[#Headers],[Bolt Hole Size (mm)]])-1),FALSE))</f>
        <v/>
      </c>
      <c r="AG108" s="651"/>
      <c r="AH108" s="651"/>
      <c r="AI108" s="681" t="str">
        <f>IF($N44="","",VLOOKUP($N44,Reinforcements[],COLUMN(Reinforcements[[#Headers],[Material]])-1,FALSE))</f>
        <v/>
      </c>
      <c r="AJ108" s="681"/>
      <c r="AK108" s="681"/>
      <c r="AL108" s="681"/>
      <c r="AM108" s="34"/>
      <c r="AN108" s="34"/>
      <c r="AO108" s="34"/>
    </row>
    <row r="109" spans="2:41" ht="14.45" hidden="1" customHeight="1" x14ac:dyDescent="0.25">
      <c r="B109" s="13">
        <v>25</v>
      </c>
      <c r="C109" s="652" t="str">
        <f>IF($N45="","",VLOOKUP($N45,Reinforcements[],COLUMN(Reinforcements[[#Headers],[B (in)]])-1,FALSE))</f>
        <v/>
      </c>
      <c r="D109" s="652"/>
      <c r="E109" s="652" t="str">
        <f>IF($N45="","",VLOOKUP($N45,Reinforcements[],COLUMN(Reinforcements[[#Headers],[H (in)]])-1,FALSE))</f>
        <v/>
      </c>
      <c r="F109" s="652"/>
      <c r="G109" s="652" t="str">
        <f>IF($N45="","",VLOOKUP($N45,Reinforcements[],COLUMN(Reinforcements[[#Headers],[Gross Area (in2)]])-1,FALSE))</f>
        <v/>
      </c>
      <c r="H109" s="652"/>
      <c r="I109" s="652" t="str">
        <f>IF($N45="","",VLOOKUP($N45,Reinforcements[],COLUMN(Reinforcements[[#Headers],[Pole Face to Centroid (in)]])-1,FALSE))</f>
        <v/>
      </c>
      <c r="J109" s="652"/>
      <c r="K109" s="652"/>
      <c r="L109" s="652"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52"/>
      <c r="N109" s="652"/>
      <c r="O109" s="652"/>
      <c r="P109" s="652"/>
      <c r="Q109" s="652" t="str">
        <f>IF($N45="","",VLOOKUP($N45,Reinforcements[],COLUMN(Reinforcements[[#Headers],[Bottom Connection Length + Edge Dist (in)]])-1,FALSE))</f>
        <v/>
      </c>
      <c r="R109" s="652"/>
      <c r="S109" s="652"/>
      <c r="T109" s="653"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3"/>
      <c r="V109" s="653"/>
      <c r="W109" s="653"/>
      <c r="X109" s="653"/>
      <c r="Y109" s="653" t="str">
        <f>IF($N45="","",VLOOKUP($N45,Reinforcements[],COLUMN(Reinforcements[[#Headers],[Top Connection Length + Edge Dist (in)]])-1,FALSE))</f>
        <v/>
      </c>
      <c r="Z109" s="653"/>
      <c r="AA109" s="653"/>
      <c r="AB109" s="654" t="str">
        <f>IF($N45="","",VLOOKUP($N45,Reinforcements[],COLUMN(Reinforcements[[#Headers],[Lu (in)]])-1,FALSE))</f>
        <v/>
      </c>
      <c r="AC109" s="654"/>
      <c r="AD109" s="654" t="str">
        <f>IF($N45="","",VLOOKUP($N45,Reinforcements[],COLUMN(Reinforcements[[#Headers],[Net Area (in2)]])-1,FALSE))</f>
        <v/>
      </c>
      <c r="AE109" s="654"/>
      <c r="AF109" s="651" t="str">
        <f>IF($N45="","",VLOOKUP($N45,Reinforcements[],IF(RIGHT($AF$84,4)="(in)",COLUMN(Reinforcements[[#Headers],[Bolt Hole Size (in)]])-1,COLUMN(Reinforcements[[#Headers],[Bolt Hole Size (mm)]])-1),FALSE))</f>
        <v/>
      </c>
      <c r="AG109" s="651"/>
      <c r="AH109" s="651"/>
      <c r="AI109" s="681" t="str">
        <f>IF($N45="","",VLOOKUP($N45,Reinforcements[],COLUMN(Reinforcements[[#Headers],[Material]])-1,FALSE))</f>
        <v/>
      </c>
      <c r="AJ109" s="681"/>
      <c r="AK109" s="681"/>
      <c r="AL109" s="681"/>
      <c r="AM109" s="34"/>
      <c r="AN109" s="34"/>
      <c r="AO109" s="34"/>
    </row>
    <row r="110" spans="2:41" ht="14.45" hidden="1" customHeight="1" x14ac:dyDescent="0.25">
      <c r="B110" s="13">
        <v>26</v>
      </c>
      <c r="C110" s="652" t="str">
        <f>IF($N46="","",VLOOKUP($N46,Reinforcements[],COLUMN(Reinforcements[[#Headers],[B (in)]])-1,FALSE))</f>
        <v/>
      </c>
      <c r="D110" s="652"/>
      <c r="E110" s="652" t="str">
        <f>IF($N46="","",VLOOKUP($N46,Reinforcements[],COLUMN(Reinforcements[[#Headers],[H (in)]])-1,FALSE))</f>
        <v/>
      </c>
      <c r="F110" s="652"/>
      <c r="G110" s="652" t="str">
        <f>IF($N46="","",VLOOKUP($N46,Reinforcements[],COLUMN(Reinforcements[[#Headers],[Gross Area (in2)]])-1,FALSE))</f>
        <v/>
      </c>
      <c r="H110" s="652"/>
      <c r="I110" s="652" t="str">
        <f>IF($N46="","",VLOOKUP($N46,Reinforcements[],COLUMN(Reinforcements[[#Headers],[Pole Face to Centroid (in)]])-1,FALSE))</f>
        <v/>
      </c>
      <c r="J110" s="652"/>
      <c r="K110" s="652"/>
      <c r="L110" s="652"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52"/>
      <c r="N110" s="652"/>
      <c r="O110" s="652"/>
      <c r="P110" s="652"/>
      <c r="Q110" s="652" t="str">
        <f>IF($N46="","",VLOOKUP($N46,Reinforcements[],COLUMN(Reinforcements[[#Headers],[Bottom Connection Length + Edge Dist (in)]])-1,FALSE))</f>
        <v/>
      </c>
      <c r="R110" s="652"/>
      <c r="S110" s="652"/>
      <c r="T110" s="653"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3"/>
      <c r="V110" s="653"/>
      <c r="W110" s="653"/>
      <c r="X110" s="653"/>
      <c r="Y110" s="653" t="str">
        <f>IF($N46="","",VLOOKUP($N46,Reinforcements[],COLUMN(Reinforcements[[#Headers],[Top Connection Length + Edge Dist (in)]])-1,FALSE))</f>
        <v/>
      </c>
      <c r="Z110" s="653"/>
      <c r="AA110" s="653"/>
      <c r="AB110" s="654" t="str">
        <f>IF($N46="","",VLOOKUP($N46,Reinforcements[],COLUMN(Reinforcements[[#Headers],[Lu (in)]])-1,FALSE))</f>
        <v/>
      </c>
      <c r="AC110" s="654"/>
      <c r="AD110" s="654" t="str">
        <f>IF($N46="","",VLOOKUP($N46,Reinforcements[],COLUMN(Reinforcements[[#Headers],[Net Area (in2)]])-1,FALSE))</f>
        <v/>
      </c>
      <c r="AE110" s="654"/>
      <c r="AF110" s="651" t="str">
        <f>IF($N46="","",VLOOKUP($N46,Reinforcements[],IF(RIGHT($AF$84,4)="(in)",COLUMN(Reinforcements[[#Headers],[Bolt Hole Size (in)]])-1,COLUMN(Reinforcements[[#Headers],[Bolt Hole Size (mm)]])-1),FALSE))</f>
        <v/>
      </c>
      <c r="AG110" s="651"/>
      <c r="AH110" s="651"/>
      <c r="AI110" s="681" t="str">
        <f>IF($N46="","",VLOOKUP($N46,Reinforcements[],COLUMN(Reinforcements[[#Headers],[Material]])-1,FALSE))</f>
        <v/>
      </c>
      <c r="AJ110" s="681"/>
      <c r="AK110" s="681"/>
      <c r="AL110" s="681"/>
      <c r="AM110" s="34"/>
      <c r="AN110" s="34"/>
      <c r="AO110" s="34"/>
    </row>
    <row r="111" spans="2:41" ht="14.45" hidden="1" customHeight="1" x14ac:dyDescent="0.25">
      <c r="B111" s="13">
        <v>27</v>
      </c>
      <c r="C111" s="652" t="str">
        <f>IF($N47="","",VLOOKUP($N47,Reinforcements[],COLUMN(Reinforcements[[#Headers],[B (in)]])-1,FALSE))</f>
        <v/>
      </c>
      <c r="D111" s="652"/>
      <c r="E111" s="652" t="str">
        <f>IF($N47="","",VLOOKUP($N47,Reinforcements[],COLUMN(Reinforcements[[#Headers],[H (in)]])-1,FALSE))</f>
        <v/>
      </c>
      <c r="F111" s="652"/>
      <c r="G111" s="652" t="str">
        <f>IF($N47="","",VLOOKUP($N47,Reinforcements[],COLUMN(Reinforcements[[#Headers],[Gross Area (in2)]])-1,FALSE))</f>
        <v/>
      </c>
      <c r="H111" s="652"/>
      <c r="I111" s="652" t="str">
        <f>IF($N47="","",VLOOKUP($N47,Reinforcements[],COLUMN(Reinforcements[[#Headers],[Pole Face to Centroid (in)]])-1,FALSE))</f>
        <v/>
      </c>
      <c r="J111" s="652"/>
      <c r="K111" s="652"/>
      <c r="L111" s="652"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52"/>
      <c r="N111" s="652"/>
      <c r="O111" s="652"/>
      <c r="P111" s="652"/>
      <c r="Q111" s="652" t="str">
        <f>IF($N47="","",VLOOKUP($N47,Reinforcements[],COLUMN(Reinforcements[[#Headers],[Bottom Connection Length + Edge Dist (in)]])-1,FALSE))</f>
        <v/>
      </c>
      <c r="R111" s="652"/>
      <c r="S111" s="652"/>
      <c r="T111" s="653"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3"/>
      <c r="V111" s="653"/>
      <c r="W111" s="653"/>
      <c r="X111" s="653"/>
      <c r="Y111" s="653" t="str">
        <f>IF($N47="","",VLOOKUP($N47,Reinforcements[],COLUMN(Reinforcements[[#Headers],[Top Connection Length + Edge Dist (in)]])-1,FALSE))</f>
        <v/>
      </c>
      <c r="Z111" s="653"/>
      <c r="AA111" s="653"/>
      <c r="AB111" s="654" t="str">
        <f>IF($N47="","",VLOOKUP($N47,Reinforcements[],COLUMN(Reinforcements[[#Headers],[Lu (in)]])-1,FALSE))</f>
        <v/>
      </c>
      <c r="AC111" s="654"/>
      <c r="AD111" s="654" t="str">
        <f>IF($N47="","",VLOOKUP($N47,Reinforcements[],COLUMN(Reinforcements[[#Headers],[Net Area (in2)]])-1,FALSE))</f>
        <v/>
      </c>
      <c r="AE111" s="654"/>
      <c r="AF111" s="651" t="str">
        <f>IF($N47="","",VLOOKUP($N47,Reinforcements[],IF(RIGHT($AF$84,4)="(in)",COLUMN(Reinforcements[[#Headers],[Bolt Hole Size (in)]])-1,COLUMN(Reinforcements[[#Headers],[Bolt Hole Size (mm)]])-1),FALSE))</f>
        <v/>
      </c>
      <c r="AG111" s="651"/>
      <c r="AH111" s="651"/>
      <c r="AI111" s="681" t="str">
        <f>IF($N47="","",VLOOKUP($N47,Reinforcements[],COLUMN(Reinforcements[[#Headers],[Material]])-1,FALSE))</f>
        <v/>
      </c>
      <c r="AJ111" s="681"/>
      <c r="AK111" s="681"/>
      <c r="AL111" s="681"/>
      <c r="AM111" s="34"/>
      <c r="AN111" s="34"/>
      <c r="AO111" s="34"/>
    </row>
    <row r="112" spans="2:41" ht="14.45" hidden="1" customHeight="1" x14ac:dyDescent="0.25">
      <c r="B112" s="13">
        <v>28</v>
      </c>
      <c r="C112" s="652" t="str">
        <f>IF($N48="","",VLOOKUP($N48,Reinforcements[],COLUMN(Reinforcements[[#Headers],[B (in)]])-1,FALSE))</f>
        <v/>
      </c>
      <c r="D112" s="652"/>
      <c r="E112" s="652" t="str">
        <f>IF($N48="","",VLOOKUP($N48,Reinforcements[],COLUMN(Reinforcements[[#Headers],[H (in)]])-1,FALSE))</f>
        <v/>
      </c>
      <c r="F112" s="652"/>
      <c r="G112" s="652" t="str">
        <f>IF($N48="","",VLOOKUP($N48,Reinforcements[],COLUMN(Reinforcements[[#Headers],[Gross Area (in2)]])-1,FALSE))</f>
        <v/>
      </c>
      <c r="H112" s="652"/>
      <c r="I112" s="652" t="str">
        <f>IF($N48="","",VLOOKUP($N48,Reinforcements[],COLUMN(Reinforcements[[#Headers],[Pole Face to Centroid (in)]])-1,FALSE))</f>
        <v/>
      </c>
      <c r="J112" s="652"/>
      <c r="K112" s="652"/>
      <c r="L112" s="652"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52"/>
      <c r="N112" s="652"/>
      <c r="O112" s="652"/>
      <c r="P112" s="652"/>
      <c r="Q112" s="652" t="str">
        <f>IF($N48="","",VLOOKUP($N48,Reinforcements[],COLUMN(Reinforcements[[#Headers],[Bottom Connection Length + Edge Dist (in)]])-1,FALSE))</f>
        <v/>
      </c>
      <c r="R112" s="652"/>
      <c r="S112" s="652"/>
      <c r="T112" s="653"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3"/>
      <c r="V112" s="653"/>
      <c r="W112" s="653"/>
      <c r="X112" s="653"/>
      <c r="Y112" s="653" t="str">
        <f>IF($N48="","",VLOOKUP($N48,Reinforcements[],COLUMN(Reinforcements[[#Headers],[Top Connection Length + Edge Dist (in)]])-1,FALSE))</f>
        <v/>
      </c>
      <c r="Z112" s="653"/>
      <c r="AA112" s="653"/>
      <c r="AB112" s="654" t="str">
        <f>IF($N48="","",VLOOKUP($N48,Reinforcements[],COLUMN(Reinforcements[[#Headers],[Lu (in)]])-1,FALSE))</f>
        <v/>
      </c>
      <c r="AC112" s="654"/>
      <c r="AD112" s="654" t="str">
        <f>IF($N48="","",VLOOKUP($N48,Reinforcements[],COLUMN(Reinforcements[[#Headers],[Net Area (in2)]])-1,FALSE))</f>
        <v/>
      </c>
      <c r="AE112" s="654"/>
      <c r="AF112" s="651" t="str">
        <f>IF($N48="","",VLOOKUP($N48,Reinforcements[],IF(RIGHT($AF$84,4)="(in)",COLUMN(Reinforcements[[#Headers],[Bolt Hole Size (in)]])-1,COLUMN(Reinforcements[[#Headers],[Bolt Hole Size (mm)]])-1),FALSE))</f>
        <v/>
      </c>
      <c r="AG112" s="651"/>
      <c r="AH112" s="651"/>
      <c r="AI112" s="681" t="str">
        <f>IF($N48="","",VLOOKUP($N48,Reinforcements[],COLUMN(Reinforcements[[#Headers],[Material]])-1,FALSE))</f>
        <v/>
      </c>
      <c r="AJ112" s="681"/>
      <c r="AK112" s="681"/>
      <c r="AL112" s="681"/>
      <c r="AM112" s="34"/>
      <c r="AN112" s="34"/>
      <c r="AO112" s="34"/>
    </row>
    <row r="113" spans="2:41" ht="14.45" hidden="1" customHeight="1" x14ac:dyDescent="0.25">
      <c r="B113" s="13">
        <v>29</v>
      </c>
      <c r="C113" s="652" t="str">
        <f>IF($N49="","",VLOOKUP($N49,Reinforcements[],COLUMN(Reinforcements[[#Headers],[B (in)]])-1,FALSE))</f>
        <v/>
      </c>
      <c r="D113" s="652"/>
      <c r="E113" s="652" t="str">
        <f>IF($N49="","",VLOOKUP($N49,Reinforcements[],COLUMN(Reinforcements[[#Headers],[H (in)]])-1,FALSE))</f>
        <v/>
      </c>
      <c r="F113" s="652"/>
      <c r="G113" s="652" t="str">
        <f>IF($N49="","",VLOOKUP($N49,Reinforcements[],COLUMN(Reinforcements[[#Headers],[Gross Area (in2)]])-1,FALSE))</f>
        <v/>
      </c>
      <c r="H113" s="652"/>
      <c r="I113" s="652" t="str">
        <f>IF($N49="","",VLOOKUP($N49,Reinforcements[],COLUMN(Reinforcements[[#Headers],[Pole Face to Centroid (in)]])-1,FALSE))</f>
        <v/>
      </c>
      <c r="J113" s="652"/>
      <c r="K113" s="652"/>
      <c r="L113" s="652"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52"/>
      <c r="N113" s="652"/>
      <c r="O113" s="652"/>
      <c r="P113" s="652"/>
      <c r="Q113" s="652" t="str">
        <f>IF($N49="","",VLOOKUP($N49,Reinforcements[],COLUMN(Reinforcements[[#Headers],[Bottom Connection Length + Edge Dist (in)]])-1,FALSE))</f>
        <v/>
      </c>
      <c r="R113" s="652"/>
      <c r="S113" s="652"/>
      <c r="T113" s="653"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3"/>
      <c r="V113" s="653"/>
      <c r="W113" s="653"/>
      <c r="X113" s="653"/>
      <c r="Y113" s="653" t="str">
        <f>IF($N49="","",VLOOKUP($N49,Reinforcements[],COLUMN(Reinforcements[[#Headers],[Top Connection Length + Edge Dist (in)]])-1,FALSE))</f>
        <v/>
      </c>
      <c r="Z113" s="653"/>
      <c r="AA113" s="653"/>
      <c r="AB113" s="654" t="str">
        <f>IF($N49="","",VLOOKUP($N49,Reinforcements[],COLUMN(Reinforcements[[#Headers],[Lu (in)]])-1,FALSE))</f>
        <v/>
      </c>
      <c r="AC113" s="654"/>
      <c r="AD113" s="654" t="str">
        <f>IF($N49="","",VLOOKUP($N49,Reinforcements[],COLUMN(Reinforcements[[#Headers],[Net Area (in2)]])-1,FALSE))</f>
        <v/>
      </c>
      <c r="AE113" s="654"/>
      <c r="AF113" s="651" t="str">
        <f>IF($N49="","",VLOOKUP($N49,Reinforcements[],IF(RIGHT($AF$84,4)="(in)",COLUMN(Reinforcements[[#Headers],[Bolt Hole Size (in)]])-1,COLUMN(Reinforcements[[#Headers],[Bolt Hole Size (mm)]])-1),FALSE))</f>
        <v/>
      </c>
      <c r="AG113" s="651"/>
      <c r="AH113" s="651"/>
      <c r="AI113" s="681" t="str">
        <f>IF($N49="","",VLOOKUP($N49,Reinforcements[],COLUMN(Reinforcements[[#Headers],[Material]])-1,FALSE))</f>
        <v/>
      </c>
      <c r="AJ113" s="681"/>
      <c r="AK113" s="681"/>
      <c r="AL113" s="681"/>
      <c r="AM113" s="34"/>
      <c r="AN113" s="34"/>
      <c r="AO113" s="34"/>
    </row>
    <row r="114" spans="2:41" ht="14.45" hidden="1" customHeight="1" x14ac:dyDescent="0.25">
      <c r="B114" s="13">
        <v>30</v>
      </c>
      <c r="C114" s="652" t="str">
        <f>IF($N50="","",VLOOKUP($N50,Reinforcements[],COLUMN(Reinforcements[[#Headers],[B (in)]])-1,FALSE))</f>
        <v/>
      </c>
      <c r="D114" s="652"/>
      <c r="E114" s="652" t="str">
        <f>IF($N50="","",VLOOKUP($N50,Reinforcements[],COLUMN(Reinforcements[[#Headers],[H (in)]])-1,FALSE))</f>
        <v/>
      </c>
      <c r="F114" s="652"/>
      <c r="G114" s="652" t="str">
        <f>IF($N50="","",VLOOKUP($N50,Reinforcements[],COLUMN(Reinforcements[[#Headers],[Gross Area (in2)]])-1,FALSE))</f>
        <v/>
      </c>
      <c r="H114" s="652"/>
      <c r="I114" s="652" t="str">
        <f>IF($N50="","",VLOOKUP($N50,Reinforcements[],COLUMN(Reinforcements[[#Headers],[Pole Face to Centroid (in)]])-1,FALSE))</f>
        <v/>
      </c>
      <c r="J114" s="652"/>
      <c r="K114" s="652"/>
      <c r="L114" s="652"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52"/>
      <c r="N114" s="652"/>
      <c r="O114" s="652"/>
      <c r="P114" s="652"/>
      <c r="Q114" s="652" t="str">
        <f>IF($N50="","",VLOOKUP($N50,Reinforcements[],COLUMN(Reinforcements[[#Headers],[Bottom Connection Length + Edge Dist (in)]])-1,FALSE))</f>
        <v/>
      </c>
      <c r="R114" s="652"/>
      <c r="S114" s="652"/>
      <c r="T114" s="653"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3"/>
      <c r="V114" s="653"/>
      <c r="W114" s="653"/>
      <c r="X114" s="653"/>
      <c r="Y114" s="653" t="str">
        <f>IF($N50="","",VLOOKUP($N50,Reinforcements[],COLUMN(Reinforcements[[#Headers],[Top Connection Length + Edge Dist (in)]])-1,FALSE))</f>
        <v/>
      </c>
      <c r="Z114" s="653"/>
      <c r="AA114" s="653"/>
      <c r="AB114" s="654" t="str">
        <f>IF($N50="","",VLOOKUP($N50,Reinforcements[],COLUMN(Reinforcements[[#Headers],[Lu (in)]])-1,FALSE))</f>
        <v/>
      </c>
      <c r="AC114" s="654"/>
      <c r="AD114" s="654" t="str">
        <f>IF($N50="","",VLOOKUP($N50,Reinforcements[],COLUMN(Reinforcements[[#Headers],[Net Area (in2)]])-1,FALSE))</f>
        <v/>
      </c>
      <c r="AE114" s="654"/>
      <c r="AF114" s="651" t="str">
        <f>IF($N50="","",VLOOKUP($N50,Reinforcements[],IF(RIGHT($AF$84,4)="(in)",COLUMN(Reinforcements[[#Headers],[Bolt Hole Size (in)]])-1,COLUMN(Reinforcements[[#Headers],[Bolt Hole Size (mm)]])-1),FALSE))</f>
        <v/>
      </c>
      <c r="AG114" s="651"/>
      <c r="AH114" s="651"/>
      <c r="AI114" s="681" t="str">
        <f>IF($N50="","",VLOOKUP($N50,Reinforcements[],COLUMN(Reinforcements[[#Headers],[Material]])-1,FALSE))</f>
        <v/>
      </c>
      <c r="AJ114" s="681"/>
      <c r="AK114" s="681"/>
      <c r="AL114" s="681"/>
      <c r="AM114" s="34"/>
      <c r="AN114" s="34"/>
      <c r="AO114" s="34"/>
    </row>
    <row r="115" spans="2:41" ht="15.75" x14ac:dyDescent="0.25">
      <c r="B115" s="14"/>
      <c r="C115" s="702" t="s">
        <v>163</v>
      </c>
      <c r="D115" s="703"/>
      <c r="E115" s="703"/>
      <c r="F115" s="703"/>
      <c r="G115" s="703"/>
      <c r="H115" s="703"/>
      <c r="I115" s="703"/>
      <c r="J115" s="703"/>
      <c r="K115" s="703"/>
      <c r="L115" s="703"/>
      <c r="M115" s="703"/>
      <c r="N115" s="703"/>
      <c r="O115" s="703"/>
      <c r="P115" s="703"/>
      <c r="Q115" s="703"/>
      <c r="R115" s="703"/>
      <c r="S115" s="703"/>
      <c r="T115" s="703"/>
      <c r="U115" s="703"/>
      <c r="V115" s="703"/>
      <c r="W115" s="703"/>
      <c r="X115" s="703"/>
      <c r="Y115" s="703"/>
      <c r="Z115" s="703"/>
      <c r="AA115" s="703"/>
      <c r="AB115" s="703"/>
      <c r="AC115" s="703"/>
      <c r="AD115" s="703"/>
      <c r="AE115" s="703"/>
      <c r="AF115" s="703"/>
      <c r="AG115" s="703"/>
      <c r="AH115" s="703"/>
      <c r="AI115" s="703"/>
      <c r="AJ115" s="703"/>
      <c r="AK115" s="703"/>
      <c r="AL115" s="704"/>
      <c r="AM115" s="34"/>
      <c r="AN115" s="34"/>
      <c r="AO115" s="34"/>
    </row>
    <row r="116" spans="2:41" ht="24.75" hidden="1" customHeight="1" x14ac:dyDescent="0.2"/>
    <row r="117" spans="2:41" ht="18" hidden="1" x14ac:dyDescent="0.2">
      <c r="B117" s="27" t="s">
        <v>991</v>
      </c>
    </row>
    <row r="118" spans="2:41" ht="42" hidden="1" customHeight="1" x14ac:dyDescent="0.2">
      <c r="B118" s="650" t="s">
        <v>112</v>
      </c>
      <c r="C118" s="650"/>
      <c r="D118" s="650"/>
      <c r="E118" s="650"/>
      <c r="F118" s="649" t="s">
        <v>994</v>
      </c>
      <c r="G118" s="649"/>
      <c r="H118" s="649" t="s">
        <v>992</v>
      </c>
      <c r="I118" s="649"/>
      <c r="J118" s="649" t="s">
        <v>993</v>
      </c>
      <c r="K118" s="649"/>
      <c r="L118" s="649" t="s">
        <v>997</v>
      </c>
      <c r="M118" s="649"/>
      <c r="N118" s="649" t="s">
        <v>996</v>
      </c>
      <c r="O118" s="649"/>
      <c r="P118" s="643" t="s">
        <v>998</v>
      </c>
      <c r="Q118" s="648"/>
      <c r="R118" s="643" t="s">
        <v>995</v>
      </c>
      <c r="S118" s="644"/>
      <c r="T118" s="644"/>
      <c r="U118" s="643" t="s">
        <v>1005</v>
      </c>
      <c r="V118" s="644"/>
      <c r="W118" s="648"/>
      <c r="X118" s="643" t="s">
        <v>1006</v>
      </c>
      <c r="Y118" s="644"/>
      <c r="Z118" s="648"/>
      <c r="AA118" s="643" t="s">
        <v>1007</v>
      </c>
      <c r="AB118" s="644"/>
      <c r="AC118" s="648"/>
      <c r="AD118" s="643" t="s">
        <v>999</v>
      </c>
      <c r="AE118" s="644"/>
      <c r="AF118" s="643" t="s">
        <v>1000</v>
      </c>
      <c r="AG118" s="644"/>
      <c r="AH118" s="648"/>
      <c r="AI118" s="643" t="s">
        <v>1001</v>
      </c>
      <c r="AJ118" s="644"/>
      <c r="AK118" s="645" t="str">
        <f>CONCATENATE("Rev ",Rev," Connection Capacity (kip)")</f>
        <v>Rev H Connection Capacity (kip)</v>
      </c>
      <c r="AL118" s="646"/>
      <c r="AM118" s="647"/>
      <c r="AN118" s="65"/>
    </row>
    <row r="119" spans="2:41" ht="12.75" hidden="1" customHeight="1" x14ac:dyDescent="0.2">
      <c r="B119" s="638" t="str">
        <f>IF('Reinforcements'!B61="","",'Reinforcements'!B61)</f>
        <v/>
      </c>
      <c r="C119" s="639"/>
      <c r="D119" s="639"/>
      <c r="E119" s="639"/>
      <c r="F119" s="642" t="str">
        <f>IF($B119="","","Top")</f>
        <v/>
      </c>
      <c r="G119" s="629"/>
      <c r="H119" s="629" t="str">
        <f>IF($B119="","",VLOOKUP($B119,Reinforcements[],COLUMN(Reinforcements[[#Headers],['# of End Connection Bolts          (Top)]])-1,FALSE))</f>
        <v/>
      </c>
      <c r="I119" s="629"/>
      <c r="J119" s="629" t="str">
        <f>IF($B119="","",VLOOKUP($B119,Reinforcements[],COLUMN(Reinforcements[[#Headers],[Threads Included (N) or Excluded (X) (Top)]])-1,FALSE))</f>
        <v/>
      </c>
      <c r="K119" s="629"/>
      <c r="L119" s="629" t="str">
        <f>IF($B119="","",VLOOKUP($B119,Reinforcements[],COLUMN(Reinforcements[[#Headers],[End Connection Bolt Spacing (in) (T)]])-1,FALSE))</f>
        <v/>
      </c>
      <c r="M119" s="629"/>
      <c r="N119" s="629" t="str">
        <f>IF($B119="","",VLOOKUP($B119,Reinforcements[],COLUMN(Reinforcements[[#Headers],[End Connection Edge Distance (in) (T)]])-1,FALSE))</f>
        <v/>
      </c>
      <c r="O119" s="629"/>
      <c r="P119" s="629" t="str">
        <f>IF($B119="","",VLOOKUP($B119,Reinforcements[],COLUMN(Reinforcements[[#Headers],[Top Weld Grade (ksi)]])-1,FALSE))</f>
        <v/>
      </c>
      <c r="Q119" s="629"/>
      <c r="R119" s="629" t="str">
        <f>IF($B119="","",VLOOKUP($B119,Reinforcements[],COLUMN(Reinforcements[[#Headers],[Top Transverse (Horizontal) Weld]])-1,FALSE))</f>
        <v/>
      </c>
      <c r="S119" s="629"/>
      <c r="T119" s="629"/>
      <c r="U119" s="629" t="str">
        <f>IF($B119="","",VLOOKUP($B119,Reinforcements[],COLUMN(Reinforcements[[#Headers],[Top Transverse Weld Length]])-1,FALSE))</f>
        <v/>
      </c>
      <c r="V119" s="629"/>
      <c r="W119" s="629"/>
      <c r="X119" s="629" t="str">
        <f>IF($B119="","",VLOOKUP($B119,Reinforcements[],COLUMN(Reinforcements[[#Headers],[Top Transverse Weld Groove Depth (in)]])-1,FALSE))</f>
        <v/>
      </c>
      <c r="Y119" s="629"/>
      <c r="Z119" s="629"/>
      <c r="AA119" s="629" t="str">
        <f>IF($B119="","",VLOOKUP($B119,Reinforcements[],COLUMN(Reinforcements[[#Headers],[Top Transverse Weld Groove Angle (degrees)]])-1,FALSE))</f>
        <v/>
      </c>
      <c r="AB119" s="629"/>
      <c r="AC119" s="629"/>
      <c r="AD119" s="629" t="str">
        <f>IF($B119="","",VLOOKUP($B119,Reinforcements[],COLUMN(Reinforcements[[#Headers],[Top Transverse Weld Fillet Size (in)]])-1,FALSE))</f>
        <v/>
      </c>
      <c r="AE119" s="629"/>
      <c r="AF119" s="629" t="str">
        <f>IF($B119="","",VLOOKUP($B119,Reinforcements[],COLUMN(Reinforcements[[#Headers],[Top Longitudinal Weld Length]])-1,FALSE))</f>
        <v/>
      </c>
      <c r="AG119" s="629"/>
      <c r="AH119" s="629"/>
      <c r="AI119" s="630" t="str">
        <f>IF($B119="","",VLOOKUP($B119,Reinforcements[],COLUMN(Reinforcements[[#Headers],[Top Longitudinal Weld Fillet Size (in)]])-1,FALSE))</f>
        <v/>
      </c>
      <c r="AJ119" s="630"/>
      <c r="AK119" s="631"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31"/>
      <c r="AM119" s="632"/>
      <c r="AN119" s="65"/>
    </row>
    <row r="120" spans="2:41" ht="12.75" hidden="1" customHeight="1" x14ac:dyDescent="0.2">
      <c r="B120" s="640"/>
      <c r="C120" s="641"/>
      <c r="D120" s="641"/>
      <c r="E120" s="641"/>
      <c r="F120" s="633" t="str">
        <f>IF($B119="","","Bottom")</f>
        <v/>
      </c>
      <c r="G120" s="634"/>
      <c r="H120" s="634" t="str">
        <f>IF($B119="","",VLOOKUP($B119,Reinforcements[],COLUMN(Reinforcements[[#Headers],['# of End Connection Bolts          (Bottom)]])-1,FALSE))</f>
        <v/>
      </c>
      <c r="I120" s="634"/>
      <c r="J120" s="634" t="str">
        <f>IF($B119="","",VLOOKUP($B119,Reinforcements[],COLUMN(Reinforcements[[#Headers],[Threads Included (N) or Excluded (X) (Bottom)]])-1,FALSE))</f>
        <v/>
      </c>
      <c r="K120" s="634"/>
      <c r="L120" s="634" t="str">
        <f>IF($B119="","",VLOOKUP($B119,Reinforcements[],COLUMN(Reinforcements[[#Headers],[End Connection Bolt Spacing (in) (B)]])-1,FALSE))</f>
        <v/>
      </c>
      <c r="M120" s="634"/>
      <c r="N120" s="634" t="str">
        <f>IF($B119="","",VLOOKUP($B119,Reinforcements[],COLUMN(Reinforcements[[#Headers],[End Connection Edge Distance (in) (B)]])-1,FALSE))</f>
        <v/>
      </c>
      <c r="O120" s="634"/>
      <c r="P120" s="634" t="str">
        <f>IF($B119="","",VLOOKUP($B119,Reinforcements[],COLUMN(Reinforcements[[#Headers],[Bottom Weld Grade (ksi)]])-1,FALSE))</f>
        <v/>
      </c>
      <c r="Q120" s="634"/>
      <c r="R120" s="634" t="str">
        <f>IF($B119="","",VLOOKUP($B119,Reinforcements[],COLUMN(Reinforcements[[#Headers],[Bottom Transverse (Horizontal) Weld]])-1,FALSE))</f>
        <v/>
      </c>
      <c r="S120" s="634"/>
      <c r="T120" s="634"/>
      <c r="U120" s="634" t="str">
        <f>IF($B119="","",VLOOKUP($B119,Reinforcements[],COLUMN(Reinforcements[[#Headers],[Bottom Transverse Weld Length]])-1,FALSE))</f>
        <v/>
      </c>
      <c r="V120" s="634"/>
      <c r="W120" s="634"/>
      <c r="X120" s="634" t="str">
        <f>IF($B119="","",VLOOKUP($B119,Reinforcements[],COLUMN(Reinforcements[[#Headers],[Bottom Transverse Weld Groove Depth (in)]])-1,FALSE))</f>
        <v/>
      </c>
      <c r="Y120" s="634"/>
      <c r="Z120" s="634"/>
      <c r="AA120" s="634" t="str">
        <f>IF($B119="","",VLOOKUP($B119,Reinforcements[],COLUMN(Reinforcements[[#Headers],[Bottom Transverse Weld Groove Angle (degrees)]])-1,FALSE))</f>
        <v/>
      </c>
      <c r="AB120" s="634"/>
      <c r="AC120" s="634"/>
      <c r="AD120" s="634" t="str">
        <f>IF($B119="","",VLOOKUP($B119,Reinforcements[],COLUMN(Reinforcements[[#Headers],[Bottom Transverse Weld Fillet Size (in)]])-1,FALSE))</f>
        <v/>
      </c>
      <c r="AE120" s="634"/>
      <c r="AF120" s="634" t="str">
        <f>IF($B119="","",VLOOKUP($B119,Reinforcements[],COLUMN(Reinforcements[[#Headers],[Bottom Longitudinal Weld Length]])-1,FALSE))</f>
        <v/>
      </c>
      <c r="AG120" s="634"/>
      <c r="AH120" s="634"/>
      <c r="AI120" s="635" t="str">
        <f>IF($B119="","",VLOOKUP($B119,Reinforcements[],COLUMN(Reinforcements[[#Headers],[Bottom Longitudinal Weld Fillet Size (in)]])-1,FALSE))</f>
        <v/>
      </c>
      <c r="AJ120" s="635"/>
      <c r="AK120" s="636"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36"/>
      <c r="AM120" s="637"/>
      <c r="AN120" s="65"/>
    </row>
    <row r="121" spans="2:41" ht="12.75" hidden="1" customHeight="1" x14ac:dyDescent="0.2">
      <c r="B121" s="638" t="str">
        <f>IF('Reinforcements'!B62="","",'Reinforcements'!B62)</f>
        <v/>
      </c>
      <c r="C121" s="639"/>
      <c r="D121" s="639"/>
      <c r="E121" s="639"/>
      <c r="F121" s="642" t="str">
        <f>IF($B121="","","Top")</f>
        <v/>
      </c>
      <c r="G121" s="629"/>
      <c r="H121" s="629" t="str">
        <f>IF($B121="","",VLOOKUP($B121,Reinforcements[],COLUMN(Reinforcements[[#Headers],['# of End Connection Bolts          (Top)]])-1,FALSE))</f>
        <v/>
      </c>
      <c r="I121" s="629"/>
      <c r="J121" s="629" t="str">
        <f>IF($B121="","",VLOOKUP($B121,Reinforcements[],COLUMN(Reinforcements[[#Headers],[Threads Included (N) or Excluded (X) (Top)]])-1,FALSE))</f>
        <v/>
      </c>
      <c r="K121" s="629"/>
      <c r="L121" s="629" t="str">
        <f>IF($B121="","",VLOOKUP($B121,Reinforcements[],COLUMN(Reinforcements[[#Headers],[End Connection Bolt Spacing (in) (T)]])-1,FALSE))</f>
        <v/>
      </c>
      <c r="M121" s="629"/>
      <c r="N121" s="629" t="str">
        <f>IF($B121="","",VLOOKUP($B121,Reinforcements[],COLUMN(Reinforcements[[#Headers],[End Connection Edge Distance (in) (T)]])-1,FALSE))</f>
        <v/>
      </c>
      <c r="O121" s="629"/>
      <c r="P121" s="629" t="str">
        <f>IF($B121="","",VLOOKUP($B121,Reinforcements[],COLUMN(Reinforcements[[#Headers],[Top Weld Grade (ksi)]])-1,FALSE))</f>
        <v/>
      </c>
      <c r="Q121" s="629"/>
      <c r="R121" s="629" t="str">
        <f>IF($B121="","",VLOOKUP($B121,Reinforcements[],COLUMN(Reinforcements[[#Headers],[Top Transverse (Horizontal) Weld]])-1,FALSE))</f>
        <v/>
      </c>
      <c r="S121" s="629"/>
      <c r="T121" s="629"/>
      <c r="U121" s="629" t="str">
        <f>IF($B121="","",VLOOKUP($B121,Reinforcements[],COLUMN(Reinforcements[[#Headers],[Top Transverse Weld Length]])-1,FALSE))</f>
        <v/>
      </c>
      <c r="V121" s="629"/>
      <c r="W121" s="629"/>
      <c r="X121" s="629" t="str">
        <f>IF($B121="","",VLOOKUP($B121,Reinforcements[],COLUMN(Reinforcements[[#Headers],[Top Transverse Weld Groove Depth (in)]])-1,FALSE))</f>
        <v/>
      </c>
      <c r="Y121" s="629"/>
      <c r="Z121" s="629"/>
      <c r="AA121" s="629" t="str">
        <f>IF($B121="","",VLOOKUP($B121,Reinforcements[],COLUMN(Reinforcements[[#Headers],[Top Transverse Weld Groove Angle (degrees)]])-1,FALSE))</f>
        <v/>
      </c>
      <c r="AB121" s="629"/>
      <c r="AC121" s="629"/>
      <c r="AD121" s="629" t="str">
        <f>IF($B121="","",VLOOKUP($B121,Reinforcements[],COLUMN(Reinforcements[[#Headers],[Top Transverse Weld Fillet Size (in)]])-1,FALSE))</f>
        <v/>
      </c>
      <c r="AE121" s="629"/>
      <c r="AF121" s="629" t="str">
        <f>IF($B121="","",VLOOKUP($B121,Reinforcements[],COLUMN(Reinforcements[[#Headers],[Top Longitudinal Weld Length]])-1,FALSE))</f>
        <v/>
      </c>
      <c r="AG121" s="629"/>
      <c r="AH121" s="629"/>
      <c r="AI121" s="630" t="str">
        <f>IF($B121="","",VLOOKUP($B121,Reinforcements[],COLUMN(Reinforcements[[#Headers],[Top Longitudinal Weld Fillet Size (in)]])-1,FALSE))</f>
        <v/>
      </c>
      <c r="AJ121" s="630"/>
      <c r="AK121" s="631"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31"/>
      <c r="AM121" s="632"/>
    </row>
    <row r="122" spans="2:41" ht="12.75" hidden="1" customHeight="1" x14ac:dyDescent="0.2">
      <c r="B122" s="640"/>
      <c r="C122" s="641"/>
      <c r="D122" s="641"/>
      <c r="E122" s="641"/>
      <c r="F122" s="633" t="str">
        <f>IF($B121="","","Bottom")</f>
        <v/>
      </c>
      <c r="G122" s="634"/>
      <c r="H122" s="634" t="str">
        <f>IF($B121="","",VLOOKUP($B121,Reinforcements[],COLUMN(Reinforcements[[#Headers],['# of End Connection Bolts          (Bottom)]])-1,FALSE))</f>
        <v/>
      </c>
      <c r="I122" s="634"/>
      <c r="J122" s="634" t="str">
        <f>IF($B121="","",VLOOKUP($B121,Reinforcements[],COLUMN(Reinforcements[[#Headers],[Threads Included (N) or Excluded (X) (Bottom)]])-1,FALSE))</f>
        <v/>
      </c>
      <c r="K122" s="634"/>
      <c r="L122" s="634" t="str">
        <f>IF($B121="","",VLOOKUP($B121,Reinforcements[],COLUMN(Reinforcements[[#Headers],[End Connection Bolt Spacing (in) (B)]])-1,FALSE))</f>
        <v/>
      </c>
      <c r="M122" s="634"/>
      <c r="N122" s="634" t="str">
        <f>IF($B121="","",VLOOKUP($B121,Reinforcements[],COLUMN(Reinforcements[[#Headers],[End Connection Edge Distance (in) (B)]])-1,FALSE))</f>
        <v/>
      </c>
      <c r="O122" s="634"/>
      <c r="P122" s="634" t="str">
        <f>IF($B121="","",VLOOKUP($B121,Reinforcements[],COLUMN(Reinforcements[[#Headers],[Bottom Weld Grade (ksi)]])-1,FALSE))</f>
        <v/>
      </c>
      <c r="Q122" s="634"/>
      <c r="R122" s="634" t="str">
        <f>IF($B121="","",VLOOKUP($B121,Reinforcements[],COLUMN(Reinforcements[[#Headers],[Bottom Transverse (Horizontal) Weld]])-1,FALSE))</f>
        <v/>
      </c>
      <c r="S122" s="634"/>
      <c r="T122" s="634"/>
      <c r="U122" s="634" t="str">
        <f>IF($B121="","",VLOOKUP($B121,Reinforcements[],COLUMN(Reinforcements[[#Headers],[Bottom Transverse Weld Length]])-1,FALSE))</f>
        <v/>
      </c>
      <c r="V122" s="634"/>
      <c r="W122" s="634"/>
      <c r="X122" s="634" t="str">
        <f>IF($B121="","",VLOOKUP($B121,Reinforcements[],COLUMN(Reinforcements[[#Headers],[Bottom Transverse Weld Groove Depth (in)]])-1,FALSE))</f>
        <v/>
      </c>
      <c r="Y122" s="634"/>
      <c r="Z122" s="634"/>
      <c r="AA122" s="634" t="str">
        <f>IF($B121="","",VLOOKUP($B121,Reinforcements[],COLUMN(Reinforcements[[#Headers],[Bottom Transverse Weld Groove Angle (degrees)]])-1,FALSE))</f>
        <v/>
      </c>
      <c r="AB122" s="634"/>
      <c r="AC122" s="634"/>
      <c r="AD122" s="634" t="str">
        <f>IF($B121="","",VLOOKUP($B121,Reinforcements[],COLUMN(Reinforcements[[#Headers],[Bottom Transverse Weld Fillet Size (in)]])-1,FALSE))</f>
        <v/>
      </c>
      <c r="AE122" s="634"/>
      <c r="AF122" s="634" t="str">
        <f>IF($B121="","",VLOOKUP($B121,Reinforcements[],COLUMN(Reinforcements[[#Headers],[Bottom Longitudinal Weld Length]])-1,FALSE))</f>
        <v/>
      </c>
      <c r="AG122" s="634"/>
      <c r="AH122" s="634"/>
      <c r="AI122" s="635" t="str">
        <f>IF($B121="","",VLOOKUP($B121,Reinforcements[],COLUMN(Reinforcements[[#Headers],[Bottom Longitudinal Weld Fillet Size (in)]])-1,FALSE))</f>
        <v/>
      </c>
      <c r="AJ122" s="635"/>
      <c r="AK122" s="636"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36"/>
      <c r="AM122" s="637"/>
    </row>
    <row r="123" spans="2:41" ht="12.75" hidden="1" customHeight="1" x14ac:dyDescent="0.2">
      <c r="B123" s="638" t="str">
        <f>IF('Reinforcements'!B63="","",'Reinforcements'!B63)</f>
        <v/>
      </c>
      <c r="C123" s="639"/>
      <c r="D123" s="639"/>
      <c r="E123" s="639"/>
      <c r="F123" s="642" t="str">
        <f>IF($B123="","","Top")</f>
        <v/>
      </c>
      <c r="G123" s="629"/>
      <c r="H123" s="629" t="str">
        <f>IF($B123="","",VLOOKUP($B123,Reinforcements[],COLUMN(Reinforcements[[#Headers],['# of End Connection Bolts          (Top)]])-1,FALSE))</f>
        <v/>
      </c>
      <c r="I123" s="629"/>
      <c r="J123" s="629" t="str">
        <f>IF($B123="","",VLOOKUP($B123,Reinforcements[],COLUMN(Reinforcements[[#Headers],[Threads Included (N) or Excluded (X) (Top)]])-1,FALSE))</f>
        <v/>
      </c>
      <c r="K123" s="629"/>
      <c r="L123" s="629" t="str">
        <f>IF($B123="","",VLOOKUP($B123,Reinforcements[],COLUMN(Reinforcements[[#Headers],[End Connection Bolt Spacing (in) (T)]])-1,FALSE))</f>
        <v/>
      </c>
      <c r="M123" s="629"/>
      <c r="N123" s="629" t="str">
        <f>IF($B123="","",VLOOKUP($B123,Reinforcements[],COLUMN(Reinforcements[[#Headers],[End Connection Edge Distance (in) (T)]])-1,FALSE))</f>
        <v/>
      </c>
      <c r="O123" s="629"/>
      <c r="P123" s="629" t="str">
        <f>IF($B123="","",VLOOKUP($B123,Reinforcements[],COLUMN(Reinforcements[[#Headers],[Top Weld Grade (ksi)]])-1,FALSE))</f>
        <v/>
      </c>
      <c r="Q123" s="629"/>
      <c r="R123" s="629" t="str">
        <f>IF($B123="","",VLOOKUP($B123,Reinforcements[],COLUMN(Reinforcements[[#Headers],[Top Transverse (Horizontal) Weld]])-1,FALSE))</f>
        <v/>
      </c>
      <c r="S123" s="629"/>
      <c r="T123" s="629"/>
      <c r="U123" s="629" t="str">
        <f>IF($B123="","",VLOOKUP($B123,Reinforcements[],COLUMN(Reinforcements[[#Headers],[Top Transverse Weld Length]])-1,FALSE))</f>
        <v/>
      </c>
      <c r="V123" s="629"/>
      <c r="W123" s="629"/>
      <c r="X123" s="629" t="str">
        <f>IF($B123="","",VLOOKUP($B123,Reinforcements[],COLUMN(Reinforcements[[#Headers],[Top Transverse Weld Groove Depth (in)]])-1,FALSE))</f>
        <v/>
      </c>
      <c r="Y123" s="629"/>
      <c r="Z123" s="629"/>
      <c r="AA123" s="629" t="str">
        <f>IF($B123="","",VLOOKUP($B123,Reinforcements[],COLUMN(Reinforcements[[#Headers],[Top Transverse Weld Groove Angle (degrees)]])-1,FALSE))</f>
        <v/>
      </c>
      <c r="AB123" s="629"/>
      <c r="AC123" s="629"/>
      <c r="AD123" s="629" t="str">
        <f>IF($B123="","",VLOOKUP($B123,Reinforcements[],COLUMN(Reinforcements[[#Headers],[Top Transverse Weld Fillet Size (in)]])-1,FALSE))</f>
        <v/>
      </c>
      <c r="AE123" s="629"/>
      <c r="AF123" s="629" t="str">
        <f>IF($B123="","",VLOOKUP($B123,Reinforcements[],COLUMN(Reinforcements[[#Headers],[Top Longitudinal Weld Length]])-1,FALSE))</f>
        <v/>
      </c>
      <c r="AG123" s="629"/>
      <c r="AH123" s="629"/>
      <c r="AI123" s="630" t="str">
        <f>IF($B123="","",VLOOKUP($B123,Reinforcements[],COLUMN(Reinforcements[[#Headers],[Top Longitudinal Weld Fillet Size (in)]])-1,FALSE))</f>
        <v/>
      </c>
      <c r="AJ123" s="630"/>
      <c r="AK123" s="631"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31"/>
      <c r="AM123" s="632"/>
    </row>
    <row r="124" spans="2:41" ht="12.75" hidden="1" customHeight="1" x14ac:dyDescent="0.2">
      <c r="B124" s="640"/>
      <c r="C124" s="641"/>
      <c r="D124" s="641"/>
      <c r="E124" s="641"/>
      <c r="F124" s="633" t="str">
        <f>IF($B123="","","Bottom")</f>
        <v/>
      </c>
      <c r="G124" s="634"/>
      <c r="H124" s="634" t="str">
        <f>IF($B123="","",VLOOKUP($B123,Reinforcements[],COLUMN(Reinforcements[[#Headers],['# of End Connection Bolts          (Bottom)]])-1,FALSE))</f>
        <v/>
      </c>
      <c r="I124" s="634"/>
      <c r="J124" s="634" t="str">
        <f>IF($B123="","",VLOOKUP($B123,Reinforcements[],COLUMN(Reinforcements[[#Headers],[Threads Included (N) or Excluded (X) (Bottom)]])-1,FALSE))</f>
        <v/>
      </c>
      <c r="K124" s="634"/>
      <c r="L124" s="634" t="str">
        <f>IF($B123="","",VLOOKUP($B123,Reinforcements[],COLUMN(Reinforcements[[#Headers],[End Connection Bolt Spacing (in) (B)]])-1,FALSE))</f>
        <v/>
      </c>
      <c r="M124" s="634"/>
      <c r="N124" s="634" t="str">
        <f>IF($B123="","",VLOOKUP($B123,Reinforcements[],COLUMN(Reinforcements[[#Headers],[End Connection Edge Distance (in) (B)]])-1,FALSE))</f>
        <v/>
      </c>
      <c r="O124" s="634"/>
      <c r="P124" s="634" t="str">
        <f>IF($B123="","",VLOOKUP($B123,Reinforcements[],COLUMN(Reinforcements[[#Headers],[Bottom Weld Grade (ksi)]])-1,FALSE))</f>
        <v/>
      </c>
      <c r="Q124" s="634"/>
      <c r="R124" s="634" t="str">
        <f>IF($B123="","",VLOOKUP($B123,Reinforcements[],COLUMN(Reinforcements[[#Headers],[Bottom Transverse (Horizontal) Weld]])-1,FALSE))</f>
        <v/>
      </c>
      <c r="S124" s="634"/>
      <c r="T124" s="634"/>
      <c r="U124" s="634" t="str">
        <f>IF($B123="","",VLOOKUP($B123,Reinforcements[],COLUMN(Reinforcements[[#Headers],[Bottom Transverse Weld Length]])-1,FALSE))</f>
        <v/>
      </c>
      <c r="V124" s="634"/>
      <c r="W124" s="634"/>
      <c r="X124" s="634" t="str">
        <f>IF($B123="","",VLOOKUP($B123,Reinforcements[],COLUMN(Reinforcements[[#Headers],[Bottom Transverse Weld Groove Depth (in)]])-1,FALSE))</f>
        <v/>
      </c>
      <c r="Y124" s="634"/>
      <c r="Z124" s="634"/>
      <c r="AA124" s="634" t="str">
        <f>IF($B123="","",VLOOKUP($B123,Reinforcements[],COLUMN(Reinforcements[[#Headers],[Bottom Transverse Weld Groove Angle (degrees)]])-1,FALSE))</f>
        <v/>
      </c>
      <c r="AB124" s="634"/>
      <c r="AC124" s="634"/>
      <c r="AD124" s="634" t="str">
        <f>IF($B123="","",VLOOKUP($B123,Reinforcements[],COLUMN(Reinforcements[[#Headers],[Bottom Transverse Weld Fillet Size (in)]])-1,FALSE))</f>
        <v/>
      </c>
      <c r="AE124" s="634"/>
      <c r="AF124" s="634" t="str">
        <f>IF($B123="","",VLOOKUP($B123,Reinforcements[],COLUMN(Reinforcements[[#Headers],[Bottom Longitudinal Weld Length]])-1,FALSE))</f>
        <v/>
      </c>
      <c r="AG124" s="634"/>
      <c r="AH124" s="634"/>
      <c r="AI124" s="635" t="str">
        <f>IF($B123="","",VLOOKUP($B123,Reinforcements[],COLUMN(Reinforcements[[#Headers],[Bottom Longitudinal Weld Fillet Size (in)]])-1,FALSE))</f>
        <v/>
      </c>
      <c r="AJ124" s="635"/>
      <c r="AK124" s="636"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36"/>
      <c r="AM124" s="637"/>
    </row>
    <row r="125" spans="2:41" ht="12.75" hidden="1" customHeight="1" x14ac:dyDescent="0.2">
      <c r="B125" s="638" t="str">
        <f>IF('Reinforcements'!B64="","",'Reinforcements'!B64)</f>
        <v/>
      </c>
      <c r="C125" s="639"/>
      <c r="D125" s="639"/>
      <c r="E125" s="639"/>
      <c r="F125" s="642" t="str">
        <f>IF($B125="","","Top")</f>
        <v/>
      </c>
      <c r="G125" s="629"/>
      <c r="H125" s="629" t="str">
        <f>IF($B125="","",VLOOKUP($B125,Reinforcements[],COLUMN(Reinforcements[[#Headers],['# of End Connection Bolts          (Top)]])-1,FALSE))</f>
        <v/>
      </c>
      <c r="I125" s="629"/>
      <c r="J125" s="629" t="str">
        <f>IF($B125="","",VLOOKUP($B125,Reinforcements[],COLUMN(Reinforcements[[#Headers],[Threads Included (N) or Excluded (X) (Top)]])-1,FALSE))</f>
        <v/>
      </c>
      <c r="K125" s="629"/>
      <c r="L125" s="629" t="str">
        <f>IF($B125="","",VLOOKUP($B125,Reinforcements[],COLUMN(Reinforcements[[#Headers],[End Connection Bolt Spacing (in) (T)]])-1,FALSE))</f>
        <v/>
      </c>
      <c r="M125" s="629"/>
      <c r="N125" s="629" t="str">
        <f>IF($B125="","",VLOOKUP($B125,Reinforcements[],COLUMN(Reinforcements[[#Headers],[End Connection Edge Distance (in) (T)]])-1,FALSE))</f>
        <v/>
      </c>
      <c r="O125" s="629"/>
      <c r="P125" s="629" t="str">
        <f>IF($B125="","",VLOOKUP($B125,Reinforcements[],COLUMN(Reinforcements[[#Headers],[Top Weld Grade (ksi)]])-1,FALSE))</f>
        <v/>
      </c>
      <c r="Q125" s="629"/>
      <c r="R125" s="629" t="str">
        <f>IF($B125="","",VLOOKUP($B125,Reinforcements[],COLUMN(Reinforcements[[#Headers],[Top Transverse (Horizontal) Weld]])-1,FALSE))</f>
        <v/>
      </c>
      <c r="S125" s="629"/>
      <c r="T125" s="629"/>
      <c r="U125" s="629" t="str">
        <f>IF($B125="","",VLOOKUP($B125,Reinforcements[],COLUMN(Reinforcements[[#Headers],[Top Transverse Weld Length]])-1,FALSE))</f>
        <v/>
      </c>
      <c r="V125" s="629"/>
      <c r="W125" s="629"/>
      <c r="X125" s="629" t="str">
        <f>IF($B125="","",VLOOKUP($B125,Reinforcements[],COLUMN(Reinforcements[[#Headers],[Top Transverse Weld Groove Depth (in)]])-1,FALSE))</f>
        <v/>
      </c>
      <c r="Y125" s="629"/>
      <c r="Z125" s="629"/>
      <c r="AA125" s="629" t="str">
        <f>IF($B125="","",VLOOKUP($B125,Reinforcements[],COLUMN(Reinforcements[[#Headers],[Top Transverse Weld Groove Angle (degrees)]])-1,FALSE))</f>
        <v/>
      </c>
      <c r="AB125" s="629"/>
      <c r="AC125" s="629"/>
      <c r="AD125" s="629" t="str">
        <f>IF($B125="","",VLOOKUP($B125,Reinforcements[],COLUMN(Reinforcements[[#Headers],[Top Transverse Weld Fillet Size (in)]])-1,FALSE))</f>
        <v/>
      </c>
      <c r="AE125" s="629"/>
      <c r="AF125" s="629" t="str">
        <f>IF($B125="","",VLOOKUP($B125,Reinforcements[],COLUMN(Reinforcements[[#Headers],[Top Longitudinal Weld Length]])-1,FALSE))</f>
        <v/>
      </c>
      <c r="AG125" s="629"/>
      <c r="AH125" s="629"/>
      <c r="AI125" s="630" t="str">
        <f>IF($B125="","",VLOOKUP($B125,Reinforcements[],COLUMN(Reinforcements[[#Headers],[Top Longitudinal Weld Fillet Size (in)]])-1,FALSE))</f>
        <v/>
      </c>
      <c r="AJ125" s="630"/>
      <c r="AK125" s="631"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31"/>
      <c r="AM125" s="632"/>
    </row>
    <row r="126" spans="2:41" ht="12.75" hidden="1" customHeight="1" x14ac:dyDescent="0.2">
      <c r="B126" s="640"/>
      <c r="C126" s="641"/>
      <c r="D126" s="641"/>
      <c r="E126" s="641"/>
      <c r="F126" s="633" t="str">
        <f>IF($B125="","","Bottom")</f>
        <v/>
      </c>
      <c r="G126" s="634"/>
      <c r="H126" s="634" t="str">
        <f>IF($B125="","",VLOOKUP($B125,Reinforcements[],COLUMN(Reinforcements[[#Headers],['# of End Connection Bolts          (Bottom)]])-1,FALSE))</f>
        <v/>
      </c>
      <c r="I126" s="634"/>
      <c r="J126" s="634" t="str">
        <f>IF($B125="","",VLOOKUP($B125,Reinforcements[],COLUMN(Reinforcements[[#Headers],[Threads Included (N) or Excluded (X) (Bottom)]])-1,FALSE))</f>
        <v/>
      </c>
      <c r="K126" s="634"/>
      <c r="L126" s="634" t="str">
        <f>IF($B125="","",VLOOKUP($B125,Reinforcements[],COLUMN(Reinforcements[[#Headers],[End Connection Bolt Spacing (in) (B)]])-1,FALSE))</f>
        <v/>
      </c>
      <c r="M126" s="634"/>
      <c r="N126" s="634" t="str">
        <f>IF($B125="","",VLOOKUP($B125,Reinforcements[],COLUMN(Reinforcements[[#Headers],[End Connection Edge Distance (in) (B)]])-1,FALSE))</f>
        <v/>
      </c>
      <c r="O126" s="634"/>
      <c r="P126" s="634" t="str">
        <f>IF($B125="","",VLOOKUP($B125,Reinforcements[],COLUMN(Reinforcements[[#Headers],[Bottom Weld Grade (ksi)]])-1,FALSE))</f>
        <v/>
      </c>
      <c r="Q126" s="634"/>
      <c r="R126" s="634" t="str">
        <f>IF($B125="","",VLOOKUP($B125,Reinforcements[],COLUMN(Reinforcements[[#Headers],[Bottom Transverse (Horizontal) Weld]])-1,FALSE))</f>
        <v/>
      </c>
      <c r="S126" s="634"/>
      <c r="T126" s="634"/>
      <c r="U126" s="634" t="str">
        <f>IF($B125="","",VLOOKUP($B125,Reinforcements[],COLUMN(Reinforcements[[#Headers],[Bottom Transverse Weld Length]])-1,FALSE))</f>
        <v/>
      </c>
      <c r="V126" s="634"/>
      <c r="W126" s="634"/>
      <c r="X126" s="634" t="str">
        <f>IF($B125="","",VLOOKUP($B125,Reinforcements[],COLUMN(Reinforcements[[#Headers],[Bottom Transverse Weld Groove Depth (in)]])-1,FALSE))</f>
        <v/>
      </c>
      <c r="Y126" s="634"/>
      <c r="Z126" s="634"/>
      <c r="AA126" s="634" t="str">
        <f>IF($B125="","",VLOOKUP($B125,Reinforcements[],COLUMN(Reinforcements[[#Headers],[Bottom Transverse Weld Groove Angle (degrees)]])-1,FALSE))</f>
        <v/>
      </c>
      <c r="AB126" s="634"/>
      <c r="AC126" s="634"/>
      <c r="AD126" s="634" t="str">
        <f>IF($B125="","",VLOOKUP($B125,Reinforcements[],COLUMN(Reinforcements[[#Headers],[Bottom Transverse Weld Fillet Size (in)]])-1,FALSE))</f>
        <v/>
      </c>
      <c r="AE126" s="634"/>
      <c r="AF126" s="634" t="str">
        <f>IF($B125="","",VLOOKUP($B125,Reinforcements[],COLUMN(Reinforcements[[#Headers],[Bottom Longitudinal Weld Length]])-1,FALSE))</f>
        <v/>
      </c>
      <c r="AG126" s="634"/>
      <c r="AH126" s="634"/>
      <c r="AI126" s="635" t="str">
        <f>IF($B125="","",VLOOKUP($B125,Reinforcements[],COLUMN(Reinforcements[[#Headers],[Bottom Longitudinal Weld Fillet Size (in)]])-1,FALSE))</f>
        <v/>
      </c>
      <c r="AJ126" s="635"/>
      <c r="AK126" s="636"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36"/>
      <c r="AM126" s="637"/>
    </row>
    <row r="127" spans="2:41" ht="12.75" hidden="1" customHeight="1" x14ac:dyDescent="0.2">
      <c r="B127" s="638" t="str">
        <f>IF('Reinforcements'!B65="","",'Reinforcements'!B65)</f>
        <v/>
      </c>
      <c r="C127" s="639"/>
      <c r="D127" s="639"/>
      <c r="E127" s="639"/>
      <c r="F127" s="642" t="str">
        <f>IF($B127="","","Top")</f>
        <v/>
      </c>
      <c r="G127" s="629"/>
      <c r="H127" s="629" t="str">
        <f>IF($B127="","",VLOOKUP($B127,Reinforcements[],COLUMN(Reinforcements[[#Headers],['# of End Connection Bolts          (Top)]])-1,FALSE))</f>
        <v/>
      </c>
      <c r="I127" s="629"/>
      <c r="J127" s="629" t="str">
        <f>IF($B127="","",VLOOKUP($B127,Reinforcements[],COLUMN(Reinforcements[[#Headers],[Threads Included (N) or Excluded (X) (Top)]])-1,FALSE))</f>
        <v/>
      </c>
      <c r="K127" s="629"/>
      <c r="L127" s="629" t="str">
        <f>IF($B127="","",VLOOKUP($B127,Reinforcements[],COLUMN(Reinforcements[[#Headers],[End Connection Bolt Spacing (in) (T)]])-1,FALSE))</f>
        <v/>
      </c>
      <c r="M127" s="629"/>
      <c r="N127" s="629" t="str">
        <f>IF($B127="","",VLOOKUP($B127,Reinforcements[],COLUMN(Reinforcements[[#Headers],[End Connection Edge Distance (in) (T)]])-1,FALSE))</f>
        <v/>
      </c>
      <c r="O127" s="629"/>
      <c r="P127" s="629" t="str">
        <f>IF($B127="","",VLOOKUP($B127,Reinforcements[],COLUMN(Reinforcements[[#Headers],[Top Weld Grade (ksi)]])-1,FALSE))</f>
        <v/>
      </c>
      <c r="Q127" s="629"/>
      <c r="R127" s="629" t="str">
        <f>IF($B127="","",VLOOKUP($B127,Reinforcements[],COLUMN(Reinforcements[[#Headers],[Top Transverse (Horizontal) Weld]])-1,FALSE))</f>
        <v/>
      </c>
      <c r="S127" s="629"/>
      <c r="T127" s="629"/>
      <c r="U127" s="629" t="str">
        <f>IF($B127="","",VLOOKUP($B127,Reinforcements[],COLUMN(Reinforcements[[#Headers],[Top Transverse Weld Length]])-1,FALSE))</f>
        <v/>
      </c>
      <c r="V127" s="629"/>
      <c r="W127" s="629"/>
      <c r="X127" s="629" t="str">
        <f>IF($B127="","",VLOOKUP($B127,Reinforcements[],COLUMN(Reinforcements[[#Headers],[Top Transverse Weld Groove Depth (in)]])-1,FALSE))</f>
        <v/>
      </c>
      <c r="Y127" s="629"/>
      <c r="Z127" s="629"/>
      <c r="AA127" s="629" t="str">
        <f>IF($B127="","",VLOOKUP($B127,Reinforcements[],COLUMN(Reinforcements[[#Headers],[Top Transverse Weld Groove Angle (degrees)]])-1,FALSE))</f>
        <v/>
      </c>
      <c r="AB127" s="629"/>
      <c r="AC127" s="629"/>
      <c r="AD127" s="629" t="str">
        <f>IF($B127="","",VLOOKUP($B127,Reinforcements[],COLUMN(Reinforcements[[#Headers],[Top Transverse Weld Fillet Size (in)]])-1,FALSE))</f>
        <v/>
      </c>
      <c r="AE127" s="629"/>
      <c r="AF127" s="629" t="str">
        <f>IF($B127="","",VLOOKUP($B127,Reinforcements[],COLUMN(Reinforcements[[#Headers],[Top Longitudinal Weld Length]])-1,FALSE))</f>
        <v/>
      </c>
      <c r="AG127" s="629"/>
      <c r="AH127" s="629"/>
      <c r="AI127" s="630" t="str">
        <f>IF($B127="","",VLOOKUP($B127,Reinforcements[],COLUMN(Reinforcements[[#Headers],[Top Longitudinal Weld Fillet Size (in)]])-1,FALSE))</f>
        <v/>
      </c>
      <c r="AJ127" s="630"/>
      <c r="AK127" s="631"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31"/>
      <c r="AM127" s="632"/>
    </row>
    <row r="128" spans="2:41" ht="12.75" hidden="1" customHeight="1" x14ac:dyDescent="0.2">
      <c r="B128" s="640"/>
      <c r="C128" s="641"/>
      <c r="D128" s="641"/>
      <c r="E128" s="641"/>
      <c r="F128" s="633" t="str">
        <f>IF($B127="","","Bottom")</f>
        <v/>
      </c>
      <c r="G128" s="634"/>
      <c r="H128" s="634" t="str">
        <f>IF($B127="","",VLOOKUP($B127,Reinforcements[],COLUMN(Reinforcements[[#Headers],['# of End Connection Bolts          (Bottom)]])-1,FALSE))</f>
        <v/>
      </c>
      <c r="I128" s="634"/>
      <c r="J128" s="634" t="str">
        <f>IF($B127="","",VLOOKUP($B127,Reinforcements[],COLUMN(Reinforcements[[#Headers],[Threads Included (N) or Excluded (X) (Bottom)]])-1,FALSE))</f>
        <v/>
      </c>
      <c r="K128" s="634"/>
      <c r="L128" s="634" t="str">
        <f>IF($B127="","",VLOOKUP($B127,Reinforcements[],COLUMN(Reinforcements[[#Headers],[End Connection Bolt Spacing (in) (B)]])-1,FALSE))</f>
        <v/>
      </c>
      <c r="M128" s="634"/>
      <c r="N128" s="634" t="str">
        <f>IF($B127="","",VLOOKUP($B127,Reinforcements[],COLUMN(Reinforcements[[#Headers],[End Connection Edge Distance (in) (B)]])-1,FALSE))</f>
        <v/>
      </c>
      <c r="O128" s="634"/>
      <c r="P128" s="634" t="str">
        <f>IF($B127="","",VLOOKUP($B127,Reinforcements[],COLUMN(Reinforcements[[#Headers],[Bottom Weld Grade (ksi)]])-1,FALSE))</f>
        <v/>
      </c>
      <c r="Q128" s="634"/>
      <c r="R128" s="634" t="str">
        <f>IF($B127="","",VLOOKUP($B127,Reinforcements[],COLUMN(Reinforcements[[#Headers],[Bottom Transverse (Horizontal) Weld]])-1,FALSE))</f>
        <v/>
      </c>
      <c r="S128" s="634"/>
      <c r="T128" s="634"/>
      <c r="U128" s="634" t="str">
        <f>IF($B127="","",VLOOKUP($B127,Reinforcements[],COLUMN(Reinforcements[[#Headers],[Bottom Transverse Weld Length]])-1,FALSE))</f>
        <v/>
      </c>
      <c r="V128" s="634"/>
      <c r="W128" s="634"/>
      <c r="X128" s="634" t="str">
        <f>IF($B127="","",VLOOKUP($B127,Reinforcements[],COLUMN(Reinforcements[[#Headers],[Bottom Transverse Weld Groove Depth (in)]])-1,FALSE))</f>
        <v/>
      </c>
      <c r="Y128" s="634"/>
      <c r="Z128" s="634"/>
      <c r="AA128" s="634" t="str">
        <f>IF($B127="","",VLOOKUP($B127,Reinforcements[],COLUMN(Reinforcements[[#Headers],[Bottom Transverse Weld Groove Angle (degrees)]])-1,FALSE))</f>
        <v/>
      </c>
      <c r="AB128" s="634"/>
      <c r="AC128" s="634"/>
      <c r="AD128" s="634" t="str">
        <f>IF($B127="","",VLOOKUP($B127,Reinforcements[],COLUMN(Reinforcements[[#Headers],[Bottom Transverse Weld Fillet Size (in)]])-1,FALSE))</f>
        <v/>
      </c>
      <c r="AE128" s="634"/>
      <c r="AF128" s="634" t="str">
        <f>IF($B127="","",VLOOKUP($B127,Reinforcements[],COLUMN(Reinforcements[[#Headers],[Bottom Longitudinal Weld Length]])-1,FALSE))</f>
        <v/>
      </c>
      <c r="AG128" s="634"/>
      <c r="AH128" s="634"/>
      <c r="AI128" s="635" t="str">
        <f>IF($B127="","",VLOOKUP($B127,Reinforcements[],COLUMN(Reinforcements[[#Headers],[Bottom Longitudinal Weld Fillet Size (in)]])-1,FALSE))</f>
        <v/>
      </c>
      <c r="AJ128" s="635"/>
      <c r="AK128" s="636"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36"/>
      <c r="AM128" s="637"/>
    </row>
    <row r="129" spans="2:39" ht="12.75" hidden="1" customHeight="1" x14ac:dyDescent="0.2">
      <c r="B129" s="638" t="str">
        <f>IF('Reinforcements'!B66="","",'Reinforcements'!B66)</f>
        <v/>
      </c>
      <c r="C129" s="639"/>
      <c r="D129" s="639"/>
      <c r="E129" s="639"/>
      <c r="F129" s="642" t="str">
        <f>IF($B129="","","Top")</f>
        <v/>
      </c>
      <c r="G129" s="629"/>
      <c r="H129" s="629" t="str">
        <f>IF($B129="","",VLOOKUP($B129,Reinforcements[],COLUMN(Reinforcements[[#Headers],['# of End Connection Bolts          (Top)]])-1,FALSE))</f>
        <v/>
      </c>
      <c r="I129" s="629"/>
      <c r="J129" s="629" t="str">
        <f>IF($B129="","",VLOOKUP($B129,Reinforcements[],COLUMN(Reinforcements[[#Headers],[Threads Included (N) or Excluded (X) (Top)]])-1,FALSE))</f>
        <v/>
      </c>
      <c r="K129" s="629"/>
      <c r="L129" s="629" t="str">
        <f>IF($B129="","",VLOOKUP($B129,Reinforcements[],COLUMN(Reinforcements[[#Headers],[End Connection Bolt Spacing (in) (T)]])-1,FALSE))</f>
        <v/>
      </c>
      <c r="M129" s="629"/>
      <c r="N129" s="629" t="str">
        <f>IF($B129="","",VLOOKUP($B129,Reinforcements[],COLUMN(Reinforcements[[#Headers],[End Connection Edge Distance (in) (T)]])-1,FALSE))</f>
        <v/>
      </c>
      <c r="O129" s="629"/>
      <c r="P129" s="629" t="str">
        <f>IF($B129="","",VLOOKUP($B129,Reinforcements[],COLUMN(Reinforcements[[#Headers],[Top Weld Grade (ksi)]])-1,FALSE))</f>
        <v/>
      </c>
      <c r="Q129" s="629"/>
      <c r="R129" s="629" t="str">
        <f>IF($B129="","",VLOOKUP($B129,Reinforcements[],COLUMN(Reinforcements[[#Headers],[Top Transverse (Horizontal) Weld]])-1,FALSE))</f>
        <v/>
      </c>
      <c r="S129" s="629"/>
      <c r="T129" s="629"/>
      <c r="U129" s="629" t="str">
        <f>IF($B129="","",VLOOKUP($B129,Reinforcements[],COLUMN(Reinforcements[[#Headers],[Top Transverse Weld Length]])-1,FALSE))</f>
        <v/>
      </c>
      <c r="V129" s="629"/>
      <c r="W129" s="629"/>
      <c r="X129" s="629" t="str">
        <f>IF($B129="","",VLOOKUP($B129,Reinforcements[],COLUMN(Reinforcements[[#Headers],[Top Transverse Weld Groove Depth (in)]])-1,FALSE))</f>
        <v/>
      </c>
      <c r="Y129" s="629"/>
      <c r="Z129" s="629"/>
      <c r="AA129" s="629" t="str">
        <f>IF($B129="","",VLOOKUP($B129,Reinforcements[],COLUMN(Reinforcements[[#Headers],[Top Transverse Weld Groove Angle (degrees)]])-1,FALSE))</f>
        <v/>
      </c>
      <c r="AB129" s="629"/>
      <c r="AC129" s="629"/>
      <c r="AD129" s="629" t="str">
        <f>IF($B129="","",VLOOKUP($B129,Reinforcements[],COLUMN(Reinforcements[[#Headers],[Top Transverse Weld Fillet Size (in)]])-1,FALSE))</f>
        <v/>
      </c>
      <c r="AE129" s="629"/>
      <c r="AF129" s="629" t="str">
        <f>IF($B129="","",VLOOKUP($B129,Reinforcements[],COLUMN(Reinforcements[[#Headers],[Top Longitudinal Weld Length]])-1,FALSE))</f>
        <v/>
      </c>
      <c r="AG129" s="629"/>
      <c r="AH129" s="629"/>
      <c r="AI129" s="630" t="str">
        <f>IF($B129="","",VLOOKUP($B129,Reinforcements[],COLUMN(Reinforcements[[#Headers],[Top Longitudinal Weld Fillet Size (in)]])-1,FALSE))</f>
        <v/>
      </c>
      <c r="AJ129" s="630"/>
      <c r="AK129" s="631"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31"/>
      <c r="AM129" s="632"/>
    </row>
    <row r="130" spans="2:39" ht="12.75" hidden="1" customHeight="1" x14ac:dyDescent="0.2">
      <c r="B130" s="640"/>
      <c r="C130" s="641"/>
      <c r="D130" s="641"/>
      <c r="E130" s="641"/>
      <c r="F130" s="633" t="str">
        <f>IF($B129="","","Bottom")</f>
        <v/>
      </c>
      <c r="G130" s="634"/>
      <c r="H130" s="634" t="str">
        <f>IF($B129="","",VLOOKUP($B129,Reinforcements[],COLUMN(Reinforcements[[#Headers],['# of End Connection Bolts          (Bottom)]])-1,FALSE))</f>
        <v/>
      </c>
      <c r="I130" s="634"/>
      <c r="J130" s="634" t="str">
        <f>IF($B129="","",VLOOKUP($B129,Reinforcements[],COLUMN(Reinforcements[[#Headers],[Threads Included (N) or Excluded (X) (Bottom)]])-1,FALSE))</f>
        <v/>
      </c>
      <c r="K130" s="634"/>
      <c r="L130" s="634" t="str">
        <f>IF($B129="","",VLOOKUP($B129,Reinforcements[],COLUMN(Reinforcements[[#Headers],[End Connection Bolt Spacing (in) (B)]])-1,FALSE))</f>
        <v/>
      </c>
      <c r="M130" s="634"/>
      <c r="N130" s="634" t="str">
        <f>IF($B129="","",VLOOKUP($B129,Reinforcements[],COLUMN(Reinforcements[[#Headers],[End Connection Edge Distance (in) (B)]])-1,FALSE))</f>
        <v/>
      </c>
      <c r="O130" s="634"/>
      <c r="P130" s="634" t="str">
        <f>IF($B129="","",VLOOKUP($B129,Reinforcements[],COLUMN(Reinforcements[[#Headers],[Bottom Weld Grade (ksi)]])-1,FALSE))</f>
        <v/>
      </c>
      <c r="Q130" s="634"/>
      <c r="R130" s="634" t="str">
        <f>IF($B129="","",VLOOKUP($B129,Reinforcements[],COLUMN(Reinforcements[[#Headers],[Bottom Transverse (Horizontal) Weld]])-1,FALSE))</f>
        <v/>
      </c>
      <c r="S130" s="634"/>
      <c r="T130" s="634"/>
      <c r="U130" s="634" t="str">
        <f>IF($B129="","",VLOOKUP($B129,Reinforcements[],COLUMN(Reinforcements[[#Headers],[Bottom Transverse Weld Length]])-1,FALSE))</f>
        <v/>
      </c>
      <c r="V130" s="634"/>
      <c r="W130" s="634"/>
      <c r="X130" s="634" t="str">
        <f>IF($B129="","",VLOOKUP($B129,Reinforcements[],COLUMN(Reinforcements[[#Headers],[Bottom Transverse Weld Groove Depth (in)]])-1,FALSE))</f>
        <v/>
      </c>
      <c r="Y130" s="634"/>
      <c r="Z130" s="634"/>
      <c r="AA130" s="634" t="str">
        <f>IF($B129="","",VLOOKUP($B129,Reinforcements[],COLUMN(Reinforcements[[#Headers],[Bottom Transverse Weld Groove Angle (degrees)]])-1,FALSE))</f>
        <v/>
      </c>
      <c r="AB130" s="634"/>
      <c r="AC130" s="634"/>
      <c r="AD130" s="634" t="str">
        <f>IF($B129="","",VLOOKUP($B129,Reinforcements[],COLUMN(Reinforcements[[#Headers],[Bottom Transverse Weld Fillet Size (in)]])-1,FALSE))</f>
        <v/>
      </c>
      <c r="AE130" s="634"/>
      <c r="AF130" s="634" t="str">
        <f>IF($B129="","",VLOOKUP($B129,Reinforcements[],COLUMN(Reinforcements[[#Headers],[Bottom Longitudinal Weld Length]])-1,FALSE))</f>
        <v/>
      </c>
      <c r="AG130" s="634"/>
      <c r="AH130" s="634"/>
      <c r="AI130" s="635" t="str">
        <f>IF($B129="","",VLOOKUP($B129,Reinforcements[],COLUMN(Reinforcements[[#Headers],[Bottom Longitudinal Weld Fillet Size (in)]])-1,FALSE))</f>
        <v/>
      </c>
      <c r="AJ130" s="635"/>
      <c r="AK130" s="636"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36"/>
      <c r="AM130" s="637"/>
    </row>
    <row r="131" spans="2:39" ht="12.75" hidden="1" customHeight="1" x14ac:dyDescent="0.2">
      <c r="B131" s="638" t="str">
        <f>IF('Reinforcements'!B67="","",'Reinforcements'!B67)</f>
        <v/>
      </c>
      <c r="C131" s="639"/>
      <c r="D131" s="639"/>
      <c r="E131" s="639"/>
      <c r="F131" s="642" t="str">
        <f>IF($B131="","","Top")</f>
        <v/>
      </c>
      <c r="G131" s="629"/>
      <c r="H131" s="629" t="str">
        <f>IF($B131="","",VLOOKUP($B131,Reinforcements[],COLUMN(Reinforcements[[#Headers],['# of End Connection Bolts          (Top)]])-1,FALSE))</f>
        <v/>
      </c>
      <c r="I131" s="629"/>
      <c r="J131" s="629" t="str">
        <f>IF($B131="","",VLOOKUP($B131,Reinforcements[],COLUMN(Reinforcements[[#Headers],[Threads Included (N) or Excluded (X) (Top)]])-1,FALSE))</f>
        <v/>
      </c>
      <c r="K131" s="629"/>
      <c r="L131" s="629" t="str">
        <f>IF($B131="","",VLOOKUP($B131,Reinforcements[],COLUMN(Reinforcements[[#Headers],[End Connection Bolt Spacing (in) (T)]])-1,FALSE))</f>
        <v/>
      </c>
      <c r="M131" s="629"/>
      <c r="N131" s="629" t="str">
        <f>IF($B131="","",VLOOKUP($B131,Reinforcements[],COLUMN(Reinforcements[[#Headers],[End Connection Edge Distance (in) (T)]])-1,FALSE))</f>
        <v/>
      </c>
      <c r="O131" s="629"/>
      <c r="P131" s="629" t="str">
        <f>IF($B131="","",VLOOKUP($B131,Reinforcements[],COLUMN(Reinforcements[[#Headers],[Top Weld Grade (ksi)]])-1,FALSE))</f>
        <v/>
      </c>
      <c r="Q131" s="629"/>
      <c r="R131" s="629" t="str">
        <f>IF($B131="","",VLOOKUP($B131,Reinforcements[],COLUMN(Reinforcements[[#Headers],[Top Transverse (Horizontal) Weld]])-1,FALSE))</f>
        <v/>
      </c>
      <c r="S131" s="629"/>
      <c r="T131" s="629"/>
      <c r="U131" s="629" t="str">
        <f>IF($B131="","",VLOOKUP($B131,Reinforcements[],COLUMN(Reinforcements[[#Headers],[Top Transverse Weld Length]])-1,FALSE))</f>
        <v/>
      </c>
      <c r="V131" s="629"/>
      <c r="W131" s="629"/>
      <c r="X131" s="629" t="str">
        <f>IF($B131="","",VLOOKUP($B131,Reinforcements[],COLUMN(Reinforcements[[#Headers],[Top Transverse Weld Groove Depth (in)]])-1,FALSE))</f>
        <v/>
      </c>
      <c r="Y131" s="629"/>
      <c r="Z131" s="629"/>
      <c r="AA131" s="629" t="str">
        <f>IF($B131="","",VLOOKUP($B131,Reinforcements[],COLUMN(Reinforcements[[#Headers],[Top Transverse Weld Groove Angle (degrees)]])-1,FALSE))</f>
        <v/>
      </c>
      <c r="AB131" s="629"/>
      <c r="AC131" s="629"/>
      <c r="AD131" s="629" t="str">
        <f>IF($B131="","",VLOOKUP($B131,Reinforcements[],COLUMN(Reinforcements[[#Headers],[Top Transverse Weld Fillet Size (in)]])-1,FALSE))</f>
        <v/>
      </c>
      <c r="AE131" s="629"/>
      <c r="AF131" s="629" t="str">
        <f>IF($B131="","",VLOOKUP($B131,Reinforcements[],COLUMN(Reinforcements[[#Headers],[Top Longitudinal Weld Length]])-1,FALSE))</f>
        <v/>
      </c>
      <c r="AG131" s="629"/>
      <c r="AH131" s="629"/>
      <c r="AI131" s="630" t="str">
        <f>IF($B131="","",VLOOKUP($B131,Reinforcements[],COLUMN(Reinforcements[[#Headers],[Top Longitudinal Weld Fillet Size (in)]])-1,FALSE))</f>
        <v/>
      </c>
      <c r="AJ131" s="630"/>
      <c r="AK131" s="631"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31"/>
      <c r="AM131" s="632"/>
    </row>
    <row r="132" spans="2:39" ht="12.75" hidden="1" customHeight="1" x14ac:dyDescent="0.2">
      <c r="B132" s="640"/>
      <c r="C132" s="641"/>
      <c r="D132" s="641"/>
      <c r="E132" s="641"/>
      <c r="F132" s="633" t="str">
        <f>IF($B131="","","Bottom")</f>
        <v/>
      </c>
      <c r="G132" s="634"/>
      <c r="H132" s="634" t="str">
        <f>IF($B131="","",VLOOKUP($B131,Reinforcements[],COLUMN(Reinforcements[[#Headers],['# of End Connection Bolts          (Bottom)]])-1,FALSE))</f>
        <v/>
      </c>
      <c r="I132" s="634"/>
      <c r="J132" s="634" t="str">
        <f>IF($B131="","",VLOOKUP($B131,Reinforcements[],COLUMN(Reinforcements[[#Headers],[Threads Included (N) or Excluded (X) (Bottom)]])-1,FALSE))</f>
        <v/>
      </c>
      <c r="K132" s="634"/>
      <c r="L132" s="634" t="str">
        <f>IF($B131="","",VLOOKUP($B131,Reinforcements[],COLUMN(Reinforcements[[#Headers],[End Connection Bolt Spacing (in) (B)]])-1,FALSE))</f>
        <v/>
      </c>
      <c r="M132" s="634"/>
      <c r="N132" s="634" t="str">
        <f>IF($B131="","",VLOOKUP($B131,Reinforcements[],COLUMN(Reinforcements[[#Headers],[End Connection Edge Distance (in) (B)]])-1,FALSE))</f>
        <v/>
      </c>
      <c r="O132" s="634"/>
      <c r="P132" s="634" t="str">
        <f>IF($B131="","",VLOOKUP($B131,Reinforcements[],COLUMN(Reinforcements[[#Headers],[Bottom Weld Grade (ksi)]])-1,FALSE))</f>
        <v/>
      </c>
      <c r="Q132" s="634"/>
      <c r="R132" s="634" t="str">
        <f>IF($B131="","",VLOOKUP($B131,Reinforcements[],COLUMN(Reinforcements[[#Headers],[Bottom Transverse (Horizontal) Weld]])-1,FALSE))</f>
        <v/>
      </c>
      <c r="S132" s="634"/>
      <c r="T132" s="634"/>
      <c r="U132" s="634" t="str">
        <f>IF($B131="","",VLOOKUP($B131,Reinforcements[],COLUMN(Reinforcements[[#Headers],[Bottom Transverse Weld Length]])-1,FALSE))</f>
        <v/>
      </c>
      <c r="V132" s="634"/>
      <c r="W132" s="634"/>
      <c r="X132" s="634" t="str">
        <f>IF($B131="","",VLOOKUP($B131,Reinforcements[],COLUMN(Reinforcements[[#Headers],[Bottom Transverse Weld Groove Depth (in)]])-1,FALSE))</f>
        <v/>
      </c>
      <c r="Y132" s="634"/>
      <c r="Z132" s="634"/>
      <c r="AA132" s="634" t="str">
        <f>IF($B131="","",VLOOKUP($B131,Reinforcements[],COLUMN(Reinforcements[[#Headers],[Bottom Transverse Weld Groove Angle (degrees)]])-1,FALSE))</f>
        <v/>
      </c>
      <c r="AB132" s="634"/>
      <c r="AC132" s="634"/>
      <c r="AD132" s="634" t="str">
        <f>IF($B131="","",VLOOKUP($B131,Reinforcements[],COLUMN(Reinforcements[[#Headers],[Bottom Transverse Weld Fillet Size (in)]])-1,FALSE))</f>
        <v/>
      </c>
      <c r="AE132" s="634"/>
      <c r="AF132" s="634" t="str">
        <f>IF($B131="","",VLOOKUP($B131,Reinforcements[],COLUMN(Reinforcements[[#Headers],[Bottom Longitudinal Weld Length]])-1,FALSE))</f>
        <v/>
      </c>
      <c r="AG132" s="634"/>
      <c r="AH132" s="634"/>
      <c r="AI132" s="635" t="str">
        <f>IF($B131="","",VLOOKUP($B131,Reinforcements[],COLUMN(Reinforcements[[#Headers],[Bottom Longitudinal Weld Fillet Size (in)]])-1,FALSE))</f>
        <v/>
      </c>
      <c r="AJ132" s="635"/>
      <c r="AK132" s="636"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36"/>
      <c r="AM132" s="637"/>
    </row>
    <row r="133" spans="2:39" ht="12.75" hidden="1" customHeight="1" x14ac:dyDescent="0.2">
      <c r="B133" s="638" t="str">
        <f>IF('Reinforcements'!B68="","",'Reinforcements'!B68)</f>
        <v/>
      </c>
      <c r="C133" s="639"/>
      <c r="D133" s="639"/>
      <c r="E133" s="639"/>
      <c r="F133" s="642" t="str">
        <f>IF($B133="","","Top")</f>
        <v/>
      </c>
      <c r="G133" s="629"/>
      <c r="H133" s="629" t="str">
        <f>IF($B133="","",VLOOKUP($B133,Reinforcements[],COLUMN(Reinforcements[[#Headers],['# of End Connection Bolts          (Top)]])-1,FALSE))</f>
        <v/>
      </c>
      <c r="I133" s="629"/>
      <c r="J133" s="629" t="str">
        <f>IF($B133="","",VLOOKUP($B133,Reinforcements[],COLUMN(Reinforcements[[#Headers],[Threads Included (N) or Excluded (X) (Top)]])-1,FALSE))</f>
        <v/>
      </c>
      <c r="K133" s="629"/>
      <c r="L133" s="629" t="str">
        <f>IF($B133="","",VLOOKUP($B133,Reinforcements[],COLUMN(Reinforcements[[#Headers],[End Connection Bolt Spacing (in) (T)]])-1,FALSE))</f>
        <v/>
      </c>
      <c r="M133" s="629"/>
      <c r="N133" s="629" t="str">
        <f>IF($B133="","",VLOOKUP($B133,Reinforcements[],COLUMN(Reinforcements[[#Headers],[End Connection Edge Distance (in) (T)]])-1,FALSE))</f>
        <v/>
      </c>
      <c r="O133" s="629"/>
      <c r="P133" s="629" t="str">
        <f>IF($B133="","",VLOOKUP($B133,Reinforcements[],COLUMN(Reinforcements[[#Headers],[Top Weld Grade (ksi)]])-1,FALSE))</f>
        <v/>
      </c>
      <c r="Q133" s="629"/>
      <c r="R133" s="629" t="str">
        <f>IF($B133="","",VLOOKUP($B133,Reinforcements[],COLUMN(Reinforcements[[#Headers],[Top Transverse (Horizontal) Weld]])-1,FALSE))</f>
        <v/>
      </c>
      <c r="S133" s="629"/>
      <c r="T133" s="629"/>
      <c r="U133" s="629" t="str">
        <f>IF($B133="","",VLOOKUP($B133,Reinforcements[],COLUMN(Reinforcements[[#Headers],[Top Transverse Weld Length]])-1,FALSE))</f>
        <v/>
      </c>
      <c r="V133" s="629"/>
      <c r="W133" s="629"/>
      <c r="X133" s="629" t="str">
        <f>IF($B133="","",VLOOKUP($B133,Reinforcements[],COLUMN(Reinforcements[[#Headers],[Top Transverse Weld Groove Depth (in)]])-1,FALSE))</f>
        <v/>
      </c>
      <c r="Y133" s="629"/>
      <c r="Z133" s="629"/>
      <c r="AA133" s="629" t="str">
        <f>IF($B133="","",VLOOKUP($B133,Reinforcements[],COLUMN(Reinforcements[[#Headers],[Top Transverse Weld Groove Angle (degrees)]])-1,FALSE))</f>
        <v/>
      </c>
      <c r="AB133" s="629"/>
      <c r="AC133" s="629"/>
      <c r="AD133" s="629" t="str">
        <f>IF($B133="","",VLOOKUP($B133,Reinforcements[],COLUMN(Reinforcements[[#Headers],[Top Transverse Weld Fillet Size (in)]])-1,FALSE))</f>
        <v/>
      </c>
      <c r="AE133" s="629"/>
      <c r="AF133" s="629" t="str">
        <f>IF($B133="","",VLOOKUP($B133,Reinforcements[],COLUMN(Reinforcements[[#Headers],[Top Longitudinal Weld Length]])-1,FALSE))</f>
        <v/>
      </c>
      <c r="AG133" s="629"/>
      <c r="AH133" s="629"/>
      <c r="AI133" s="630" t="str">
        <f>IF($B133="","",VLOOKUP($B133,Reinforcements[],COLUMN(Reinforcements[[#Headers],[Top Longitudinal Weld Fillet Size (in)]])-1,FALSE))</f>
        <v/>
      </c>
      <c r="AJ133" s="630"/>
      <c r="AK133" s="631"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31"/>
      <c r="AM133" s="632"/>
    </row>
    <row r="134" spans="2:39" ht="12.75" hidden="1" customHeight="1" x14ac:dyDescent="0.2">
      <c r="B134" s="640"/>
      <c r="C134" s="641"/>
      <c r="D134" s="641"/>
      <c r="E134" s="641"/>
      <c r="F134" s="633" t="str">
        <f>IF($B133="","","Bottom")</f>
        <v/>
      </c>
      <c r="G134" s="634"/>
      <c r="H134" s="634" t="str">
        <f>IF($B133="","",VLOOKUP($B133,Reinforcements[],COLUMN(Reinforcements[[#Headers],['# of End Connection Bolts          (Bottom)]])-1,FALSE))</f>
        <v/>
      </c>
      <c r="I134" s="634"/>
      <c r="J134" s="634" t="str">
        <f>IF($B133="","",VLOOKUP($B133,Reinforcements[],COLUMN(Reinforcements[[#Headers],[Threads Included (N) or Excluded (X) (Bottom)]])-1,FALSE))</f>
        <v/>
      </c>
      <c r="K134" s="634"/>
      <c r="L134" s="634" t="str">
        <f>IF($B133="","",VLOOKUP($B133,Reinforcements[],COLUMN(Reinforcements[[#Headers],[End Connection Bolt Spacing (in) (B)]])-1,FALSE))</f>
        <v/>
      </c>
      <c r="M134" s="634"/>
      <c r="N134" s="634" t="str">
        <f>IF($B133="","",VLOOKUP($B133,Reinforcements[],COLUMN(Reinforcements[[#Headers],[End Connection Edge Distance (in) (B)]])-1,FALSE))</f>
        <v/>
      </c>
      <c r="O134" s="634"/>
      <c r="P134" s="634" t="str">
        <f>IF($B133="","",VLOOKUP($B133,Reinforcements[],COLUMN(Reinforcements[[#Headers],[Bottom Weld Grade (ksi)]])-1,FALSE))</f>
        <v/>
      </c>
      <c r="Q134" s="634"/>
      <c r="R134" s="634" t="str">
        <f>IF($B133="","",VLOOKUP($B133,Reinforcements[],COLUMN(Reinforcements[[#Headers],[Bottom Transverse (Horizontal) Weld]])-1,FALSE))</f>
        <v/>
      </c>
      <c r="S134" s="634"/>
      <c r="T134" s="634"/>
      <c r="U134" s="634" t="str">
        <f>IF($B133="","",VLOOKUP($B133,Reinforcements[],COLUMN(Reinforcements[[#Headers],[Bottom Transverse Weld Length]])-1,FALSE))</f>
        <v/>
      </c>
      <c r="V134" s="634"/>
      <c r="W134" s="634"/>
      <c r="X134" s="634" t="str">
        <f>IF($B133="","",VLOOKUP($B133,Reinforcements[],COLUMN(Reinforcements[[#Headers],[Bottom Transverse Weld Groove Depth (in)]])-1,FALSE))</f>
        <v/>
      </c>
      <c r="Y134" s="634"/>
      <c r="Z134" s="634"/>
      <c r="AA134" s="634" t="str">
        <f>IF($B133="","",VLOOKUP($B133,Reinforcements[],COLUMN(Reinforcements[[#Headers],[Bottom Transverse Weld Groove Angle (degrees)]])-1,FALSE))</f>
        <v/>
      </c>
      <c r="AB134" s="634"/>
      <c r="AC134" s="634"/>
      <c r="AD134" s="634" t="str">
        <f>IF($B133="","",VLOOKUP($B133,Reinforcements[],COLUMN(Reinforcements[[#Headers],[Bottom Transverse Weld Fillet Size (in)]])-1,FALSE))</f>
        <v/>
      </c>
      <c r="AE134" s="634"/>
      <c r="AF134" s="634" t="str">
        <f>IF($B133="","",VLOOKUP($B133,Reinforcements[],COLUMN(Reinforcements[[#Headers],[Bottom Longitudinal Weld Length]])-1,FALSE))</f>
        <v/>
      </c>
      <c r="AG134" s="634"/>
      <c r="AH134" s="634"/>
      <c r="AI134" s="635" t="str">
        <f>IF($B133="","",VLOOKUP($B133,Reinforcements[],COLUMN(Reinforcements[[#Headers],[Bottom Longitudinal Weld Fillet Size (in)]])-1,FALSE))</f>
        <v/>
      </c>
      <c r="AJ134" s="635"/>
      <c r="AK134" s="636"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36"/>
      <c r="AM134" s="637"/>
    </row>
    <row r="135" spans="2:39" ht="12.75" hidden="1" customHeight="1" x14ac:dyDescent="0.2">
      <c r="B135" s="638" t="str">
        <f>IF('Reinforcements'!B69="","",'Reinforcements'!B69)</f>
        <v/>
      </c>
      <c r="C135" s="639"/>
      <c r="D135" s="639"/>
      <c r="E135" s="639"/>
      <c r="F135" s="642" t="str">
        <f>IF($B135="","","Top")</f>
        <v/>
      </c>
      <c r="G135" s="629"/>
      <c r="H135" s="629" t="str">
        <f>IF($B135="","",VLOOKUP($B135,Reinforcements[],COLUMN(Reinforcements[[#Headers],['# of End Connection Bolts          (Top)]])-1,FALSE))</f>
        <v/>
      </c>
      <c r="I135" s="629"/>
      <c r="J135" s="629" t="str">
        <f>IF($B135="","",VLOOKUP($B135,Reinforcements[],COLUMN(Reinforcements[[#Headers],[Threads Included (N) or Excluded (X) (Top)]])-1,FALSE))</f>
        <v/>
      </c>
      <c r="K135" s="629"/>
      <c r="L135" s="629" t="str">
        <f>IF($B135="","",VLOOKUP($B135,Reinforcements[],COLUMN(Reinforcements[[#Headers],[End Connection Bolt Spacing (in) (T)]])-1,FALSE))</f>
        <v/>
      </c>
      <c r="M135" s="629"/>
      <c r="N135" s="629" t="str">
        <f>IF($B135="","",VLOOKUP($B135,Reinforcements[],COLUMN(Reinforcements[[#Headers],[End Connection Edge Distance (in) (T)]])-1,FALSE))</f>
        <v/>
      </c>
      <c r="O135" s="629"/>
      <c r="P135" s="629" t="str">
        <f>IF($B135="","",VLOOKUP($B135,Reinforcements[],COLUMN(Reinforcements[[#Headers],[Top Weld Grade (ksi)]])-1,FALSE))</f>
        <v/>
      </c>
      <c r="Q135" s="629"/>
      <c r="R135" s="629" t="str">
        <f>IF($B135="","",VLOOKUP($B135,Reinforcements[],COLUMN(Reinforcements[[#Headers],[Top Transverse (Horizontal) Weld]])-1,FALSE))</f>
        <v/>
      </c>
      <c r="S135" s="629"/>
      <c r="T135" s="629"/>
      <c r="U135" s="629" t="str">
        <f>IF($B135="","",VLOOKUP($B135,Reinforcements[],COLUMN(Reinforcements[[#Headers],[Top Transverse Weld Length]])-1,FALSE))</f>
        <v/>
      </c>
      <c r="V135" s="629"/>
      <c r="W135" s="629"/>
      <c r="X135" s="629" t="str">
        <f>IF($B135="","",VLOOKUP($B135,Reinforcements[],COLUMN(Reinforcements[[#Headers],[Top Transverse Weld Groove Depth (in)]])-1,FALSE))</f>
        <v/>
      </c>
      <c r="Y135" s="629"/>
      <c r="Z135" s="629"/>
      <c r="AA135" s="629" t="str">
        <f>IF($B135="","",VLOOKUP($B135,Reinforcements[],COLUMN(Reinforcements[[#Headers],[Top Transverse Weld Groove Angle (degrees)]])-1,FALSE))</f>
        <v/>
      </c>
      <c r="AB135" s="629"/>
      <c r="AC135" s="629"/>
      <c r="AD135" s="629" t="str">
        <f>IF($B135="","",VLOOKUP($B135,Reinforcements[],COLUMN(Reinforcements[[#Headers],[Top Transverse Weld Fillet Size (in)]])-1,FALSE))</f>
        <v/>
      </c>
      <c r="AE135" s="629"/>
      <c r="AF135" s="629" t="str">
        <f>IF($B135="","",VLOOKUP($B135,Reinforcements[],COLUMN(Reinforcements[[#Headers],[Top Longitudinal Weld Length]])-1,FALSE))</f>
        <v/>
      </c>
      <c r="AG135" s="629"/>
      <c r="AH135" s="629"/>
      <c r="AI135" s="630" t="str">
        <f>IF($B135="","",VLOOKUP($B135,Reinforcements[],COLUMN(Reinforcements[[#Headers],[Top Longitudinal Weld Fillet Size (in)]])-1,FALSE))</f>
        <v/>
      </c>
      <c r="AJ135" s="630"/>
      <c r="AK135" s="631"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31"/>
      <c r="AM135" s="632"/>
    </row>
    <row r="136" spans="2:39" ht="12.75" hidden="1" customHeight="1" x14ac:dyDescent="0.2">
      <c r="B136" s="640"/>
      <c r="C136" s="641"/>
      <c r="D136" s="641"/>
      <c r="E136" s="641"/>
      <c r="F136" s="633" t="str">
        <f>IF($B135="","","Bottom")</f>
        <v/>
      </c>
      <c r="G136" s="634"/>
      <c r="H136" s="634" t="str">
        <f>IF($B135="","",VLOOKUP($B135,Reinforcements[],COLUMN(Reinforcements[[#Headers],['# of End Connection Bolts          (Bottom)]])-1,FALSE))</f>
        <v/>
      </c>
      <c r="I136" s="634"/>
      <c r="J136" s="634" t="str">
        <f>IF($B135="","",VLOOKUP($B135,Reinforcements[],COLUMN(Reinforcements[[#Headers],[Threads Included (N) or Excluded (X) (Bottom)]])-1,FALSE))</f>
        <v/>
      </c>
      <c r="K136" s="634"/>
      <c r="L136" s="634" t="str">
        <f>IF($B135="","",VLOOKUP($B135,Reinforcements[],COLUMN(Reinforcements[[#Headers],[End Connection Bolt Spacing (in) (B)]])-1,FALSE))</f>
        <v/>
      </c>
      <c r="M136" s="634"/>
      <c r="N136" s="634" t="str">
        <f>IF($B135="","",VLOOKUP($B135,Reinforcements[],COLUMN(Reinforcements[[#Headers],[End Connection Edge Distance (in) (B)]])-1,FALSE))</f>
        <v/>
      </c>
      <c r="O136" s="634"/>
      <c r="P136" s="634" t="str">
        <f>IF($B135="","",VLOOKUP($B135,Reinforcements[],COLUMN(Reinforcements[[#Headers],[Bottom Weld Grade (ksi)]])-1,FALSE))</f>
        <v/>
      </c>
      <c r="Q136" s="634"/>
      <c r="R136" s="634" t="str">
        <f>IF($B135="","",VLOOKUP($B135,Reinforcements[],COLUMN(Reinforcements[[#Headers],[Bottom Transverse (Horizontal) Weld]])-1,FALSE))</f>
        <v/>
      </c>
      <c r="S136" s="634"/>
      <c r="T136" s="634"/>
      <c r="U136" s="634" t="str">
        <f>IF($B135="","",VLOOKUP($B135,Reinforcements[],COLUMN(Reinforcements[[#Headers],[Bottom Transverse Weld Length]])-1,FALSE))</f>
        <v/>
      </c>
      <c r="V136" s="634"/>
      <c r="W136" s="634"/>
      <c r="X136" s="634" t="str">
        <f>IF($B135="","",VLOOKUP($B135,Reinforcements[],COLUMN(Reinforcements[[#Headers],[Bottom Transverse Weld Groove Depth (in)]])-1,FALSE))</f>
        <v/>
      </c>
      <c r="Y136" s="634"/>
      <c r="Z136" s="634"/>
      <c r="AA136" s="634" t="str">
        <f>IF($B135="","",VLOOKUP($B135,Reinforcements[],COLUMN(Reinforcements[[#Headers],[Bottom Transverse Weld Groove Angle (degrees)]])-1,FALSE))</f>
        <v/>
      </c>
      <c r="AB136" s="634"/>
      <c r="AC136" s="634"/>
      <c r="AD136" s="634" t="str">
        <f>IF($B135="","",VLOOKUP($B135,Reinforcements[],COLUMN(Reinforcements[[#Headers],[Bottom Transverse Weld Fillet Size (in)]])-1,FALSE))</f>
        <v/>
      </c>
      <c r="AE136" s="634"/>
      <c r="AF136" s="634" t="str">
        <f>IF($B135="","",VLOOKUP($B135,Reinforcements[],COLUMN(Reinforcements[[#Headers],[Bottom Longitudinal Weld Length]])-1,FALSE))</f>
        <v/>
      </c>
      <c r="AG136" s="634"/>
      <c r="AH136" s="634"/>
      <c r="AI136" s="635" t="str">
        <f>IF($B135="","",VLOOKUP($B135,Reinforcements[],COLUMN(Reinforcements[[#Headers],[Bottom Longitudinal Weld Fillet Size (in)]])-1,FALSE))</f>
        <v/>
      </c>
      <c r="AJ136" s="635"/>
      <c r="AK136" s="636"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36"/>
      <c r="AM136" s="637"/>
    </row>
    <row r="137" spans="2:39" ht="12.75" hidden="1" customHeight="1" x14ac:dyDescent="0.2">
      <c r="B137" s="638" t="str">
        <f>IF('Reinforcements'!B70="","",'Reinforcements'!B70)</f>
        <v/>
      </c>
      <c r="C137" s="639"/>
      <c r="D137" s="639"/>
      <c r="E137" s="639"/>
      <c r="F137" s="642" t="str">
        <f>IF($B137="","","Top")</f>
        <v/>
      </c>
      <c r="G137" s="629"/>
      <c r="H137" s="629" t="str">
        <f>IF($B137="","",VLOOKUP($B137,Reinforcements[],COLUMN(Reinforcements[[#Headers],['# of End Connection Bolts          (Top)]])-1,FALSE))</f>
        <v/>
      </c>
      <c r="I137" s="629"/>
      <c r="J137" s="629" t="str">
        <f>IF($B137="","",VLOOKUP($B137,Reinforcements[],COLUMN(Reinforcements[[#Headers],[Threads Included (N) or Excluded (X) (Top)]])-1,FALSE))</f>
        <v/>
      </c>
      <c r="K137" s="629"/>
      <c r="L137" s="629" t="str">
        <f>IF($B137="","",VLOOKUP($B137,Reinforcements[],COLUMN(Reinforcements[[#Headers],[End Connection Bolt Spacing (in) (T)]])-1,FALSE))</f>
        <v/>
      </c>
      <c r="M137" s="629"/>
      <c r="N137" s="629" t="str">
        <f>IF($B137="","",VLOOKUP($B137,Reinforcements[],COLUMN(Reinforcements[[#Headers],[End Connection Edge Distance (in) (T)]])-1,FALSE))</f>
        <v/>
      </c>
      <c r="O137" s="629"/>
      <c r="P137" s="629" t="str">
        <f>IF($B137="","",VLOOKUP($B137,Reinforcements[],COLUMN(Reinforcements[[#Headers],[Top Weld Grade (ksi)]])-1,FALSE))</f>
        <v/>
      </c>
      <c r="Q137" s="629"/>
      <c r="R137" s="629" t="str">
        <f>IF($B137="","",VLOOKUP($B137,Reinforcements[],COLUMN(Reinforcements[[#Headers],[Top Transverse (Horizontal) Weld]])-1,FALSE))</f>
        <v/>
      </c>
      <c r="S137" s="629"/>
      <c r="T137" s="629"/>
      <c r="U137" s="629" t="str">
        <f>IF($B137="","",VLOOKUP($B137,Reinforcements[],COLUMN(Reinforcements[[#Headers],[Top Transverse Weld Length]])-1,FALSE))</f>
        <v/>
      </c>
      <c r="V137" s="629"/>
      <c r="W137" s="629"/>
      <c r="X137" s="629" t="str">
        <f>IF($B137="","",VLOOKUP($B137,Reinforcements[],COLUMN(Reinforcements[[#Headers],[Top Transverse Weld Groove Depth (in)]])-1,FALSE))</f>
        <v/>
      </c>
      <c r="Y137" s="629"/>
      <c r="Z137" s="629"/>
      <c r="AA137" s="629" t="str">
        <f>IF($B137="","",VLOOKUP($B137,Reinforcements[],COLUMN(Reinforcements[[#Headers],[Top Transverse Weld Groove Angle (degrees)]])-1,FALSE))</f>
        <v/>
      </c>
      <c r="AB137" s="629"/>
      <c r="AC137" s="629"/>
      <c r="AD137" s="629" t="str">
        <f>IF($B137="","",VLOOKUP($B137,Reinforcements[],COLUMN(Reinforcements[[#Headers],[Top Transverse Weld Fillet Size (in)]])-1,FALSE))</f>
        <v/>
      </c>
      <c r="AE137" s="629"/>
      <c r="AF137" s="629" t="str">
        <f>IF($B137="","",VLOOKUP($B137,Reinforcements[],COLUMN(Reinforcements[[#Headers],[Top Longitudinal Weld Length]])-1,FALSE))</f>
        <v/>
      </c>
      <c r="AG137" s="629"/>
      <c r="AH137" s="629"/>
      <c r="AI137" s="630" t="str">
        <f>IF($B137="","",VLOOKUP($B137,Reinforcements[],COLUMN(Reinforcements[[#Headers],[Top Longitudinal Weld Fillet Size (in)]])-1,FALSE))</f>
        <v/>
      </c>
      <c r="AJ137" s="630"/>
      <c r="AK137" s="631"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31"/>
      <c r="AM137" s="632"/>
    </row>
    <row r="138" spans="2:39" ht="12.75" hidden="1" customHeight="1" x14ac:dyDescent="0.2">
      <c r="B138" s="640"/>
      <c r="C138" s="641"/>
      <c r="D138" s="641"/>
      <c r="E138" s="641"/>
      <c r="F138" s="633" t="str">
        <f>IF($B137="","","Bottom")</f>
        <v/>
      </c>
      <c r="G138" s="634"/>
      <c r="H138" s="634" t="str">
        <f>IF($B137="","",VLOOKUP($B137,Reinforcements[],COLUMN(Reinforcements[[#Headers],['# of End Connection Bolts          (Bottom)]])-1,FALSE))</f>
        <v/>
      </c>
      <c r="I138" s="634"/>
      <c r="J138" s="634" t="str">
        <f>IF($B137="","",VLOOKUP($B137,Reinforcements[],COLUMN(Reinforcements[[#Headers],[Threads Included (N) or Excluded (X) (Bottom)]])-1,FALSE))</f>
        <v/>
      </c>
      <c r="K138" s="634"/>
      <c r="L138" s="634" t="str">
        <f>IF($B137="","",VLOOKUP($B137,Reinforcements[],COLUMN(Reinforcements[[#Headers],[End Connection Bolt Spacing (in) (B)]])-1,FALSE))</f>
        <v/>
      </c>
      <c r="M138" s="634"/>
      <c r="N138" s="634" t="str">
        <f>IF($B137="","",VLOOKUP($B137,Reinforcements[],COLUMN(Reinforcements[[#Headers],[End Connection Edge Distance (in) (B)]])-1,FALSE))</f>
        <v/>
      </c>
      <c r="O138" s="634"/>
      <c r="P138" s="634" t="str">
        <f>IF($B137="","",VLOOKUP($B137,Reinforcements[],COLUMN(Reinforcements[[#Headers],[Bottom Weld Grade (ksi)]])-1,FALSE))</f>
        <v/>
      </c>
      <c r="Q138" s="634"/>
      <c r="R138" s="634" t="str">
        <f>IF($B137="","",VLOOKUP($B137,Reinforcements[],COLUMN(Reinforcements[[#Headers],[Bottom Transverse (Horizontal) Weld]])-1,FALSE))</f>
        <v/>
      </c>
      <c r="S138" s="634"/>
      <c r="T138" s="634"/>
      <c r="U138" s="634" t="str">
        <f>IF($B137="","",VLOOKUP($B137,Reinforcements[],COLUMN(Reinforcements[[#Headers],[Bottom Transverse Weld Length]])-1,FALSE))</f>
        <v/>
      </c>
      <c r="V138" s="634"/>
      <c r="W138" s="634"/>
      <c r="X138" s="634" t="str">
        <f>IF($B137="","",VLOOKUP($B137,Reinforcements[],COLUMN(Reinforcements[[#Headers],[Bottom Transverse Weld Groove Depth (in)]])-1,FALSE))</f>
        <v/>
      </c>
      <c r="Y138" s="634"/>
      <c r="Z138" s="634"/>
      <c r="AA138" s="634" t="str">
        <f>IF($B137="","",VLOOKUP($B137,Reinforcements[],COLUMN(Reinforcements[[#Headers],[Bottom Transverse Weld Groove Angle (degrees)]])-1,FALSE))</f>
        <v/>
      </c>
      <c r="AB138" s="634"/>
      <c r="AC138" s="634"/>
      <c r="AD138" s="634" t="str">
        <f>IF($B137="","",VLOOKUP($B137,Reinforcements[],COLUMN(Reinforcements[[#Headers],[Bottom Transverse Weld Fillet Size (in)]])-1,FALSE))</f>
        <v/>
      </c>
      <c r="AE138" s="634"/>
      <c r="AF138" s="634" t="str">
        <f>IF($B137="","",VLOOKUP($B137,Reinforcements[],COLUMN(Reinforcements[[#Headers],[Bottom Longitudinal Weld Length]])-1,FALSE))</f>
        <v/>
      </c>
      <c r="AG138" s="634"/>
      <c r="AH138" s="634"/>
      <c r="AI138" s="635" t="str">
        <f>IF($B137="","",VLOOKUP($B137,Reinforcements[],COLUMN(Reinforcements[[#Headers],[Bottom Longitudinal Weld Fillet Size (in)]])-1,FALSE))</f>
        <v/>
      </c>
      <c r="AJ138" s="635"/>
      <c r="AK138" s="636"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36"/>
      <c r="AM138" s="637"/>
    </row>
    <row r="139" spans="2:39" ht="12.75" hidden="1" customHeight="1" x14ac:dyDescent="0.2">
      <c r="B139" s="638" t="str">
        <f>IF('Reinforcements'!B71="","",'Reinforcements'!B71)</f>
        <v/>
      </c>
      <c r="C139" s="639"/>
      <c r="D139" s="639"/>
      <c r="E139" s="639"/>
      <c r="F139" s="642" t="str">
        <f>IF($B139="","","Top")</f>
        <v/>
      </c>
      <c r="G139" s="629"/>
      <c r="H139" s="629" t="str">
        <f>IF($B139="","",VLOOKUP($B139,Reinforcements[],COLUMN(Reinforcements[[#Headers],['# of End Connection Bolts          (Top)]])-1,FALSE))</f>
        <v/>
      </c>
      <c r="I139" s="629"/>
      <c r="J139" s="629" t="str">
        <f>IF($B139="","",VLOOKUP($B139,Reinforcements[],COLUMN(Reinforcements[[#Headers],[Threads Included (N) or Excluded (X) (Top)]])-1,FALSE))</f>
        <v/>
      </c>
      <c r="K139" s="629"/>
      <c r="L139" s="629" t="str">
        <f>IF($B139="","",VLOOKUP($B139,Reinforcements[],COLUMN(Reinforcements[[#Headers],[End Connection Bolt Spacing (in) (T)]])-1,FALSE))</f>
        <v/>
      </c>
      <c r="M139" s="629"/>
      <c r="N139" s="629" t="str">
        <f>IF($B139="","",VLOOKUP($B139,Reinforcements[],COLUMN(Reinforcements[[#Headers],[End Connection Edge Distance (in) (T)]])-1,FALSE))</f>
        <v/>
      </c>
      <c r="O139" s="629"/>
      <c r="P139" s="629" t="str">
        <f>IF($B139="","",VLOOKUP($B139,Reinforcements[],COLUMN(Reinforcements[[#Headers],[Top Weld Grade (ksi)]])-1,FALSE))</f>
        <v/>
      </c>
      <c r="Q139" s="629"/>
      <c r="R139" s="629" t="str">
        <f>IF($B139="","",VLOOKUP($B139,Reinforcements[],COLUMN(Reinforcements[[#Headers],[Top Transverse (Horizontal) Weld]])-1,FALSE))</f>
        <v/>
      </c>
      <c r="S139" s="629"/>
      <c r="T139" s="629"/>
      <c r="U139" s="629" t="str">
        <f>IF($B139="","",VLOOKUP($B139,Reinforcements[],COLUMN(Reinforcements[[#Headers],[Top Transverse Weld Length]])-1,FALSE))</f>
        <v/>
      </c>
      <c r="V139" s="629"/>
      <c r="W139" s="629"/>
      <c r="X139" s="629" t="str">
        <f>IF($B139="","",VLOOKUP($B139,Reinforcements[],COLUMN(Reinforcements[[#Headers],[Top Transverse Weld Groove Depth (in)]])-1,FALSE))</f>
        <v/>
      </c>
      <c r="Y139" s="629"/>
      <c r="Z139" s="629"/>
      <c r="AA139" s="629" t="str">
        <f>IF($B139="","",VLOOKUP($B139,Reinforcements[],COLUMN(Reinforcements[[#Headers],[Top Transverse Weld Groove Angle (degrees)]])-1,FALSE))</f>
        <v/>
      </c>
      <c r="AB139" s="629"/>
      <c r="AC139" s="629"/>
      <c r="AD139" s="629" t="str">
        <f>IF($B139="","",VLOOKUP($B139,Reinforcements[],COLUMN(Reinforcements[[#Headers],[Top Transverse Weld Fillet Size (in)]])-1,FALSE))</f>
        <v/>
      </c>
      <c r="AE139" s="629"/>
      <c r="AF139" s="629" t="str">
        <f>IF($B139="","",VLOOKUP($B139,Reinforcements[],COLUMN(Reinforcements[[#Headers],[Top Longitudinal Weld Length]])-1,FALSE))</f>
        <v/>
      </c>
      <c r="AG139" s="629"/>
      <c r="AH139" s="629"/>
      <c r="AI139" s="630" t="str">
        <f>IF($B139="","",VLOOKUP($B139,Reinforcements[],COLUMN(Reinforcements[[#Headers],[Top Longitudinal Weld Fillet Size (in)]])-1,FALSE))</f>
        <v/>
      </c>
      <c r="AJ139" s="630"/>
      <c r="AK139" s="631"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31"/>
      <c r="AM139" s="632"/>
    </row>
    <row r="140" spans="2:39" ht="12.75" hidden="1" customHeight="1" x14ac:dyDescent="0.2">
      <c r="B140" s="640"/>
      <c r="C140" s="641"/>
      <c r="D140" s="641"/>
      <c r="E140" s="641"/>
      <c r="F140" s="633" t="str">
        <f>IF($B139="","","Bottom")</f>
        <v/>
      </c>
      <c r="G140" s="634"/>
      <c r="H140" s="634" t="str">
        <f>IF($B139="","",VLOOKUP($B139,Reinforcements[],COLUMN(Reinforcements[[#Headers],['# of End Connection Bolts          (Bottom)]])-1,FALSE))</f>
        <v/>
      </c>
      <c r="I140" s="634"/>
      <c r="J140" s="634" t="str">
        <f>IF($B139="","",VLOOKUP($B139,Reinforcements[],COLUMN(Reinforcements[[#Headers],[Threads Included (N) or Excluded (X) (Bottom)]])-1,FALSE))</f>
        <v/>
      </c>
      <c r="K140" s="634"/>
      <c r="L140" s="634" t="str">
        <f>IF($B139="","",VLOOKUP($B139,Reinforcements[],COLUMN(Reinforcements[[#Headers],[End Connection Bolt Spacing (in) (B)]])-1,FALSE))</f>
        <v/>
      </c>
      <c r="M140" s="634"/>
      <c r="N140" s="634" t="str">
        <f>IF($B139="","",VLOOKUP($B139,Reinforcements[],COLUMN(Reinforcements[[#Headers],[End Connection Edge Distance (in) (B)]])-1,FALSE))</f>
        <v/>
      </c>
      <c r="O140" s="634"/>
      <c r="P140" s="634" t="str">
        <f>IF($B139="","",VLOOKUP($B139,Reinforcements[],COLUMN(Reinforcements[[#Headers],[Bottom Weld Grade (ksi)]])-1,FALSE))</f>
        <v/>
      </c>
      <c r="Q140" s="634"/>
      <c r="R140" s="634" t="str">
        <f>IF($B139="","",VLOOKUP($B139,Reinforcements[],COLUMN(Reinforcements[[#Headers],[Bottom Transverse (Horizontal) Weld]])-1,FALSE))</f>
        <v/>
      </c>
      <c r="S140" s="634"/>
      <c r="T140" s="634"/>
      <c r="U140" s="634" t="str">
        <f>IF($B139="","",VLOOKUP($B139,Reinforcements[],COLUMN(Reinforcements[[#Headers],[Bottom Transverse Weld Length]])-1,FALSE))</f>
        <v/>
      </c>
      <c r="V140" s="634"/>
      <c r="W140" s="634"/>
      <c r="X140" s="634" t="str">
        <f>IF($B139="","",VLOOKUP($B139,Reinforcements[],COLUMN(Reinforcements[[#Headers],[Bottom Transverse Weld Groove Depth (in)]])-1,FALSE))</f>
        <v/>
      </c>
      <c r="Y140" s="634"/>
      <c r="Z140" s="634"/>
      <c r="AA140" s="634" t="str">
        <f>IF($B139="","",VLOOKUP($B139,Reinforcements[],COLUMN(Reinforcements[[#Headers],[Bottom Transverse Weld Groove Angle (degrees)]])-1,FALSE))</f>
        <v/>
      </c>
      <c r="AB140" s="634"/>
      <c r="AC140" s="634"/>
      <c r="AD140" s="634" t="str">
        <f>IF($B139="","",VLOOKUP($B139,Reinforcements[],COLUMN(Reinforcements[[#Headers],[Bottom Transverse Weld Fillet Size (in)]])-1,FALSE))</f>
        <v/>
      </c>
      <c r="AE140" s="634"/>
      <c r="AF140" s="634" t="str">
        <f>IF($B139="","",VLOOKUP($B139,Reinforcements[],COLUMN(Reinforcements[[#Headers],[Bottom Longitudinal Weld Length]])-1,FALSE))</f>
        <v/>
      </c>
      <c r="AG140" s="634"/>
      <c r="AH140" s="634"/>
      <c r="AI140" s="635" t="str">
        <f>IF($B139="","",VLOOKUP($B139,Reinforcements[],COLUMN(Reinforcements[[#Headers],[Bottom Longitudinal Weld Fillet Size (in)]])-1,FALSE))</f>
        <v/>
      </c>
      <c r="AJ140" s="635"/>
      <c r="AK140" s="636"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36"/>
      <c r="AM140" s="637"/>
    </row>
    <row r="141" spans="2:39" ht="12.75" hidden="1" customHeight="1" x14ac:dyDescent="0.2">
      <c r="B141" s="638" t="str">
        <f>IF('Reinforcements'!B72="","",'Reinforcements'!B72)</f>
        <v/>
      </c>
      <c r="C141" s="639"/>
      <c r="D141" s="639"/>
      <c r="E141" s="639"/>
      <c r="F141" s="642" t="str">
        <f>IF($B141="","","Top")</f>
        <v/>
      </c>
      <c r="G141" s="629"/>
      <c r="H141" s="629" t="str">
        <f>IF($B141="","",VLOOKUP($B141,Reinforcements[],COLUMN(Reinforcements[[#Headers],['# of End Connection Bolts          (Top)]])-1,FALSE))</f>
        <v/>
      </c>
      <c r="I141" s="629"/>
      <c r="J141" s="629" t="str">
        <f>IF($B141="","",VLOOKUP($B141,Reinforcements[],COLUMN(Reinforcements[[#Headers],[Threads Included (N) or Excluded (X) (Top)]])-1,FALSE))</f>
        <v/>
      </c>
      <c r="K141" s="629"/>
      <c r="L141" s="629" t="str">
        <f>IF($B141="","",VLOOKUP($B141,Reinforcements[],COLUMN(Reinforcements[[#Headers],[End Connection Bolt Spacing (in) (T)]])-1,FALSE))</f>
        <v/>
      </c>
      <c r="M141" s="629"/>
      <c r="N141" s="629" t="str">
        <f>IF($B141="","",VLOOKUP($B141,Reinforcements[],COLUMN(Reinforcements[[#Headers],[End Connection Edge Distance (in) (T)]])-1,FALSE))</f>
        <v/>
      </c>
      <c r="O141" s="629"/>
      <c r="P141" s="629" t="str">
        <f>IF($B141="","",VLOOKUP($B141,Reinforcements[],COLUMN(Reinforcements[[#Headers],[Top Weld Grade (ksi)]])-1,FALSE))</f>
        <v/>
      </c>
      <c r="Q141" s="629"/>
      <c r="R141" s="629" t="str">
        <f>IF($B141="","",VLOOKUP($B141,Reinforcements[],COLUMN(Reinforcements[[#Headers],[Top Transverse (Horizontal) Weld]])-1,FALSE))</f>
        <v/>
      </c>
      <c r="S141" s="629"/>
      <c r="T141" s="629"/>
      <c r="U141" s="629" t="str">
        <f>IF($B141="","",VLOOKUP($B141,Reinforcements[],COLUMN(Reinforcements[[#Headers],[Top Transverse Weld Length]])-1,FALSE))</f>
        <v/>
      </c>
      <c r="V141" s="629"/>
      <c r="W141" s="629"/>
      <c r="X141" s="629" t="str">
        <f>IF($B141="","",VLOOKUP($B141,Reinforcements[],COLUMN(Reinforcements[[#Headers],[Top Transverse Weld Groove Depth (in)]])-1,FALSE))</f>
        <v/>
      </c>
      <c r="Y141" s="629"/>
      <c r="Z141" s="629"/>
      <c r="AA141" s="629" t="str">
        <f>IF($B141="","",VLOOKUP($B141,Reinforcements[],COLUMN(Reinforcements[[#Headers],[Top Transverse Weld Groove Angle (degrees)]])-1,FALSE))</f>
        <v/>
      </c>
      <c r="AB141" s="629"/>
      <c r="AC141" s="629"/>
      <c r="AD141" s="629" t="str">
        <f>IF($B141="","",VLOOKUP($B141,Reinforcements[],COLUMN(Reinforcements[[#Headers],[Top Transverse Weld Fillet Size (in)]])-1,FALSE))</f>
        <v/>
      </c>
      <c r="AE141" s="629"/>
      <c r="AF141" s="629" t="str">
        <f>IF($B141="","",VLOOKUP($B141,Reinforcements[],COLUMN(Reinforcements[[#Headers],[Top Longitudinal Weld Length]])-1,FALSE))</f>
        <v/>
      </c>
      <c r="AG141" s="629"/>
      <c r="AH141" s="629"/>
      <c r="AI141" s="630" t="str">
        <f>IF($B141="","",VLOOKUP($B141,Reinforcements[],COLUMN(Reinforcements[[#Headers],[Top Longitudinal Weld Fillet Size (in)]])-1,FALSE))</f>
        <v/>
      </c>
      <c r="AJ141" s="630"/>
      <c r="AK141" s="631"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31"/>
      <c r="AM141" s="632"/>
    </row>
    <row r="142" spans="2:39" ht="12.75" hidden="1" customHeight="1" x14ac:dyDescent="0.2">
      <c r="B142" s="640"/>
      <c r="C142" s="641"/>
      <c r="D142" s="641"/>
      <c r="E142" s="641"/>
      <c r="F142" s="633" t="str">
        <f>IF($B141="","","Bottom")</f>
        <v/>
      </c>
      <c r="G142" s="634"/>
      <c r="H142" s="634" t="str">
        <f>IF($B141="","",VLOOKUP($B141,Reinforcements[],COLUMN(Reinforcements[[#Headers],['# of End Connection Bolts          (Bottom)]])-1,FALSE))</f>
        <v/>
      </c>
      <c r="I142" s="634"/>
      <c r="J142" s="634" t="str">
        <f>IF($B141="","",VLOOKUP($B141,Reinforcements[],COLUMN(Reinforcements[[#Headers],[Threads Included (N) or Excluded (X) (Bottom)]])-1,FALSE))</f>
        <v/>
      </c>
      <c r="K142" s="634"/>
      <c r="L142" s="634" t="str">
        <f>IF($B141="","",VLOOKUP($B141,Reinforcements[],COLUMN(Reinforcements[[#Headers],[End Connection Bolt Spacing (in) (B)]])-1,FALSE))</f>
        <v/>
      </c>
      <c r="M142" s="634"/>
      <c r="N142" s="634" t="str">
        <f>IF($B141="","",VLOOKUP($B141,Reinforcements[],COLUMN(Reinforcements[[#Headers],[End Connection Edge Distance (in) (B)]])-1,FALSE))</f>
        <v/>
      </c>
      <c r="O142" s="634"/>
      <c r="P142" s="634" t="str">
        <f>IF($B141="","",VLOOKUP($B141,Reinforcements[],COLUMN(Reinforcements[[#Headers],[Bottom Weld Grade (ksi)]])-1,FALSE))</f>
        <v/>
      </c>
      <c r="Q142" s="634"/>
      <c r="R142" s="634" t="str">
        <f>IF($B141="","",VLOOKUP($B141,Reinforcements[],COLUMN(Reinforcements[[#Headers],[Bottom Transverse (Horizontal) Weld]])-1,FALSE))</f>
        <v/>
      </c>
      <c r="S142" s="634"/>
      <c r="T142" s="634"/>
      <c r="U142" s="634" t="str">
        <f>IF($B141="","",VLOOKUP($B141,Reinforcements[],COLUMN(Reinforcements[[#Headers],[Bottom Transverse Weld Length]])-1,FALSE))</f>
        <v/>
      </c>
      <c r="V142" s="634"/>
      <c r="W142" s="634"/>
      <c r="X142" s="634" t="str">
        <f>IF($B141="","",VLOOKUP($B141,Reinforcements[],COLUMN(Reinforcements[[#Headers],[Bottom Transverse Weld Groove Depth (in)]])-1,FALSE))</f>
        <v/>
      </c>
      <c r="Y142" s="634"/>
      <c r="Z142" s="634"/>
      <c r="AA142" s="634" t="str">
        <f>IF($B141="","",VLOOKUP($B141,Reinforcements[],COLUMN(Reinforcements[[#Headers],[Bottom Transverse Weld Groove Angle (degrees)]])-1,FALSE))</f>
        <v/>
      </c>
      <c r="AB142" s="634"/>
      <c r="AC142" s="634"/>
      <c r="AD142" s="634" t="str">
        <f>IF($B141="","",VLOOKUP($B141,Reinforcements[],COLUMN(Reinforcements[[#Headers],[Bottom Transverse Weld Fillet Size (in)]])-1,FALSE))</f>
        <v/>
      </c>
      <c r="AE142" s="634"/>
      <c r="AF142" s="634" t="str">
        <f>IF($B141="","",VLOOKUP($B141,Reinforcements[],COLUMN(Reinforcements[[#Headers],[Bottom Longitudinal Weld Length]])-1,FALSE))</f>
        <v/>
      </c>
      <c r="AG142" s="634"/>
      <c r="AH142" s="634"/>
      <c r="AI142" s="635" t="str">
        <f>IF($B141="","",VLOOKUP($B141,Reinforcements[],COLUMN(Reinforcements[[#Headers],[Bottom Longitudinal Weld Fillet Size (in)]])-1,FALSE))</f>
        <v/>
      </c>
      <c r="AJ142" s="635"/>
      <c r="AK142" s="636"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36"/>
      <c r="AM142" s="637"/>
    </row>
    <row r="143" spans="2:39" ht="12.75" hidden="1" customHeight="1" x14ac:dyDescent="0.2">
      <c r="B143" s="638" t="str">
        <f>IF('Reinforcements'!B73="","",'Reinforcements'!B73)</f>
        <v/>
      </c>
      <c r="C143" s="639"/>
      <c r="D143" s="639"/>
      <c r="E143" s="639"/>
      <c r="F143" s="642" t="str">
        <f>IF($B143="","","Top")</f>
        <v/>
      </c>
      <c r="G143" s="629"/>
      <c r="H143" s="629" t="str">
        <f>IF($B143="","",VLOOKUP($B143,Reinforcements[],COLUMN(Reinforcements[[#Headers],['# of End Connection Bolts          (Top)]])-1,FALSE))</f>
        <v/>
      </c>
      <c r="I143" s="629"/>
      <c r="J143" s="629" t="str">
        <f>IF($B143="","",VLOOKUP($B143,Reinforcements[],COLUMN(Reinforcements[[#Headers],[Threads Included (N) or Excluded (X) (Top)]])-1,FALSE))</f>
        <v/>
      </c>
      <c r="K143" s="629"/>
      <c r="L143" s="629" t="str">
        <f>IF($B143="","",VLOOKUP($B143,Reinforcements[],COLUMN(Reinforcements[[#Headers],[End Connection Bolt Spacing (in) (T)]])-1,FALSE))</f>
        <v/>
      </c>
      <c r="M143" s="629"/>
      <c r="N143" s="629" t="str">
        <f>IF($B143="","",VLOOKUP($B143,Reinforcements[],COLUMN(Reinforcements[[#Headers],[End Connection Edge Distance (in) (T)]])-1,FALSE))</f>
        <v/>
      </c>
      <c r="O143" s="629"/>
      <c r="P143" s="629" t="str">
        <f>IF($B143="","",VLOOKUP($B143,Reinforcements[],COLUMN(Reinforcements[[#Headers],[Top Weld Grade (ksi)]])-1,FALSE))</f>
        <v/>
      </c>
      <c r="Q143" s="629"/>
      <c r="R143" s="629" t="str">
        <f>IF($B143="","",VLOOKUP($B143,Reinforcements[],COLUMN(Reinforcements[[#Headers],[Top Transverse (Horizontal) Weld]])-1,FALSE))</f>
        <v/>
      </c>
      <c r="S143" s="629"/>
      <c r="T143" s="629"/>
      <c r="U143" s="629" t="str">
        <f>IF($B143="","",VLOOKUP($B143,Reinforcements[],COLUMN(Reinforcements[[#Headers],[Top Transverse Weld Length]])-1,FALSE))</f>
        <v/>
      </c>
      <c r="V143" s="629"/>
      <c r="W143" s="629"/>
      <c r="X143" s="629" t="str">
        <f>IF($B143="","",VLOOKUP($B143,Reinforcements[],COLUMN(Reinforcements[[#Headers],[Top Transverse Weld Groove Depth (in)]])-1,FALSE))</f>
        <v/>
      </c>
      <c r="Y143" s="629"/>
      <c r="Z143" s="629"/>
      <c r="AA143" s="629" t="str">
        <f>IF($B143="","",VLOOKUP($B143,Reinforcements[],COLUMN(Reinforcements[[#Headers],[Top Transverse Weld Groove Angle (degrees)]])-1,FALSE))</f>
        <v/>
      </c>
      <c r="AB143" s="629"/>
      <c r="AC143" s="629"/>
      <c r="AD143" s="629" t="str">
        <f>IF($B143="","",VLOOKUP($B143,Reinforcements[],COLUMN(Reinforcements[[#Headers],[Top Transverse Weld Fillet Size (in)]])-1,FALSE))</f>
        <v/>
      </c>
      <c r="AE143" s="629"/>
      <c r="AF143" s="629" t="str">
        <f>IF($B143="","",VLOOKUP($B143,Reinforcements[],COLUMN(Reinforcements[[#Headers],[Top Longitudinal Weld Length]])-1,FALSE))</f>
        <v/>
      </c>
      <c r="AG143" s="629"/>
      <c r="AH143" s="629"/>
      <c r="AI143" s="630" t="str">
        <f>IF($B143="","",VLOOKUP($B143,Reinforcements[],COLUMN(Reinforcements[[#Headers],[Top Longitudinal Weld Fillet Size (in)]])-1,FALSE))</f>
        <v/>
      </c>
      <c r="AJ143" s="630"/>
      <c r="AK143" s="631"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31"/>
      <c r="AM143" s="632"/>
    </row>
    <row r="144" spans="2:39" ht="12.75" hidden="1" customHeight="1" x14ac:dyDescent="0.2">
      <c r="B144" s="640"/>
      <c r="C144" s="641"/>
      <c r="D144" s="641"/>
      <c r="E144" s="641"/>
      <c r="F144" s="633" t="str">
        <f>IF($B143="","","Bottom")</f>
        <v/>
      </c>
      <c r="G144" s="634"/>
      <c r="H144" s="634" t="str">
        <f>IF($B143="","",VLOOKUP($B143,Reinforcements[],COLUMN(Reinforcements[[#Headers],['# of End Connection Bolts          (Bottom)]])-1,FALSE))</f>
        <v/>
      </c>
      <c r="I144" s="634"/>
      <c r="J144" s="634" t="str">
        <f>IF($B143="","",VLOOKUP($B143,Reinforcements[],COLUMN(Reinforcements[[#Headers],[Threads Included (N) or Excluded (X) (Bottom)]])-1,FALSE))</f>
        <v/>
      </c>
      <c r="K144" s="634"/>
      <c r="L144" s="634" t="str">
        <f>IF($B143="","",VLOOKUP($B143,Reinforcements[],COLUMN(Reinforcements[[#Headers],[End Connection Bolt Spacing (in) (B)]])-1,FALSE))</f>
        <v/>
      </c>
      <c r="M144" s="634"/>
      <c r="N144" s="634" t="str">
        <f>IF($B143="","",VLOOKUP($B143,Reinforcements[],COLUMN(Reinforcements[[#Headers],[End Connection Edge Distance (in) (B)]])-1,FALSE))</f>
        <v/>
      </c>
      <c r="O144" s="634"/>
      <c r="P144" s="634" t="str">
        <f>IF($B143="","",VLOOKUP($B143,Reinforcements[],COLUMN(Reinforcements[[#Headers],[Bottom Weld Grade (ksi)]])-1,FALSE))</f>
        <v/>
      </c>
      <c r="Q144" s="634"/>
      <c r="R144" s="634" t="str">
        <f>IF($B143="","",VLOOKUP($B143,Reinforcements[],COLUMN(Reinforcements[[#Headers],[Bottom Transverse (Horizontal) Weld]])-1,FALSE))</f>
        <v/>
      </c>
      <c r="S144" s="634"/>
      <c r="T144" s="634"/>
      <c r="U144" s="634" t="str">
        <f>IF($B143="","",VLOOKUP($B143,Reinforcements[],COLUMN(Reinforcements[[#Headers],[Bottom Transverse Weld Length]])-1,FALSE))</f>
        <v/>
      </c>
      <c r="V144" s="634"/>
      <c r="W144" s="634"/>
      <c r="X144" s="634" t="str">
        <f>IF($B143="","",VLOOKUP($B143,Reinforcements[],COLUMN(Reinforcements[[#Headers],[Bottom Transverse Weld Groove Depth (in)]])-1,FALSE))</f>
        <v/>
      </c>
      <c r="Y144" s="634"/>
      <c r="Z144" s="634"/>
      <c r="AA144" s="634" t="str">
        <f>IF($B143="","",VLOOKUP($B143,Reinforcements[],COLUMN(Reinforcements[[#Headers],[Bottom Transverse Weld Groove Angle (degrees)]])-1,FALSE))</f>
        <v/>
      </c>
      <c r="AB144" s="634"/>
      <c r="AC144" s="634"/>
      <c r="AD144" s="634" t="str">
        <f>IF($B143="","",VLOOKUP($B143,Reinforcements[],COLUMN(Reinforcements[[#Headers],[Bottom Transverse Weld Fillet Size (in)]])-1,FALSE))</f>
        <v/>
      </c>
      <c r="AE144" s="634"/>
      <c r="AF144" s="634" t="str">
        <f>IF($B143="","",VLOOKUP($B143,Reinforcements[],COLUMN(Reinforcements[[#Headers],[Bottom Longitudinal Weld Length]])-1,FALSE))</f>
        <v/>
      </c>
      <c r="AG144" s="634"/>
      <c r="AH144" s="634"/>
      <c r="AI144" s="635" t="str">
        <f>IF($B143="","",VLOOKUP($B143,Reinforcements[],COLUMN(Reinforcements[[#Headers],[Bottom Longitudinal Weld Fillet Size (in)]])-1,FALSE))</f>
        <v/>
      </c>
      <c r="AJ144" s="635"/>
      <c r="AK144" s="636"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36"/>
      <c r="AM144" s="637"/>
    </row>
    <row r="145" spans="2:39" ht="12.75" hidden="1" customHeight="1" x14ac:dyDescent="0.2">
      <c r="B145" s="638" t="str">
        <f>IF('Reinforcements'!B74="","",'Reinforcements'!B74)</f>
        <v/>
      </c>
      <c r="C145" s="639"/>
      <c r="D145" s="639"/>
      <c r="E145" s="639"/>
      <c r="F145" s="642" t="str">
        <f t="shared" ref="F145" si="5">IF($B145="","","Top")</f>
        <v/>
      </c>
      <c r="G145" s="629"/>
      <c r="H145" s="629" t="str">
        <f>IF($B145="","",VLOOKUP($B145,Reinforcements[],COLUMN(Reinforcements[[#Headers],['# of End Connection Bolts          (Top)]])-1,FALSE))</f>
        <v/>
      </c>
      <c r="I145" s="629"/>
      <c r="J145" s="629" t="str">
        <f>IF($B145="","",VLOOKUP($B145,Reinforcements[],COLUMN(Reinforcements[[#Headers],[Threads Included (N) or Excluded (X) (Top)]])-1,FALSE))</f>
        <v/>
      </c>
      <c r="K145" s="629"/>
      <c r="L145" s="629" t="str">
        <f>IF($B145="","",VLOOKUP($B145,Reinforcements[],COLUMN(Reinforcements[[#Headers],[End Connection Bolt Spacing (in) (T)]])-1,FALSE))</f>
        <v/>
      </c>
      <c r="M145" s="629"/>
      <c r="N145" s="629" t="str">
        <f>IF($B145="","",VLOOKUP($B145,Reinforcements[],COLUMN(Reinforcements[[#Headers],[End Connection Edge Distance (in) (T)]])-1,FALSE))</f>
        <v/>
      </c>
      <c r="O145" s="629"/>
      <c r="P145" s="629" t="str">
        <f>IF($B145="","",VLOOKUP($B145,Reinforcements[],COLUMN(Reinforcements[[#Headers],[Top Weld Grade (ksi)]])-1,FALSE))</f>
        <v/>
      </c>
      <c r="Q145" s="629"/>
      <c r="R145" s="629" t="str">
        <f>IF($B145="","",VLOOKUP($B145,Reinforcements[],COLUMN(Reinforcements[[#Headers],[Top Transverse (Horizontal) Weld]])-1,FALSE))</f>
        <v/>
      </c>
      <c r="S145" s="629"/>
      <c r="T145" s="629"/>
      <c r="U145" s="629" t="str">
        <f>IF($B145="","",VLOOKUP($B145,Reinforcements[],COLUMN(Reinforcements[[#Headers],[Top Transverse Weld Length]])-1,FALSE))</f>
        <v/>
      </c>
      <c r="V145" s="629"/>
      <c r="W145" s="629"/>
      <c r="X145" s="629" t="str">
        <f>IF($B145="","",VLOOKUP($B145,Reinforcements[],COLUMN(Reinforcements[[#Headers],[Top Transverse Weld Groove Depth (in)]])-1,FALSE))</f>
        <v/>
      </c>
      <c r="Y145" s="629"/>
      <c r="Z145" s="629"/>
      <c r="AA145" s="629" t="str">
        <f>IF($B145="","",VLOOKUP($B145,Reinforcements[],COLUMN(Reinforcements[[#Headers],[Top Transverse Weld Groove Angle (degrees)]])-1,FALSE))</f>
        <v/>
      </c>
      <c r="AB145" s="629"/>
      <c r="AC145" s="629"/>
      <c r="AD145" s="629" t="str">
        <f>IF($B145="","",VLOOKUP($B145,Reinforcements[],COLUMN(Reinforcements[[#Headers],[Top Transverse Weld Fillet Size (in)]])-1,FALSE))</f>
        <v/>
      </c>
      <c r="AE145" s="629"/>
      <c r="AF145" s="629" t="str">
        <f>IF($B145="","",VLOOKUP($B145,Reinforcements[],COLUMN(Reinforcements[[#Headers],[Top Longitudinal Weld Length]])-1,FALSE))</f>
        <v/>
      </c>
      <c r="AG145" s="629"/>
      <c r="AH145" s="629"/>
      <c r="AI145" s="630" t="str">
        <f>IF($B145="","",VLOOKUP($B145,Reinforcements[],COLUMN(Reinforcements[[#Headers],[Top Longitudinal Weld Fillet Size (in)]])-1,FALSE))</f>
        <v/>
      </c>
      <c r="AJ145" s="630"/>
      <c r="AK145" s="631"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31"/>
      <c r="AM145" s="632"/>
    </row>
    <row r="146" spans="2:39" ht="12.75" hidden="1" customHeight="1" x14ac:dyDescent="0.2">
      <c r="B146" s="640"/>
      <c r="C146" s="641"/>
      <c r="D146" s="641"/>
      <c r="E146" s="641"/>
      <c r="F146" s="633" t="str">
        <f t="shared" ref="F146" si="6">IF($B145="","","Bottom")</f>
        <v/>
      </c>
      <c r="G146" s="634"/>
      <c r="H146" s="634" t="str">
        <f>IF($B145="","",VLOOKUP($B145,Reinforcements[],COLUMN(Reinforcements[[#Headers],['# of End Connection Bolts          (Bottom)]])-1,FALSE))</f>
        <v/>
      </c>
      <c r="I146" s="634"/>
      <c r="J146" s="634" t="str">
        <f>IF($B145="","",VLOOKUP($B145,Reinforcements[],COLUMN(Reinforcements[[#Headers],[Threads Included (N) or Excluded (X) (Bottom)]])-1,FALSE))</f>
        <v/>
      </c>
      <c r="K146" s="634"/>
      <c r="L146" s="634" t="str">
        <f>IF($B145="","",VLOOKUP($B145,Reinforcements[],COLUMN(Reinforcements[[#Headers],[End Connection Bolt Spacing (in) (B)]])-1,FALSE))</f>
        <v/>
      </c>
      <c r="M146" s="634"/>
      <c r="N146" s="634" t="str">
        <f>IF($B145="","",VLOOKUP($B145,Reinforcements[],COLUMN(Reinforcements[[#Headers],[End Connection Edge Distance (in) (B)]])-1,FALSE))</f>
        <v/>
      </c>
      <c r="O146" s="634"/>
      <c r="P146" s="634" t="str">
        <f>IF($B145="","",VLOOKUP($B145,Reinforcements[],COLUMN(Reinforcements[[#Headers],[Bottom Weld Grade (ksi)]])-1,FALSE))</f>
        <v/>
      </c>
      <c r="Q146" s="634"/>
      <c r="R146" s="634" t="str">
        <f>IF($B145="","",VLOOKUP($B145,Reinforcements[],COLUMN(Reinforcements[[#Headers],[Bottom Transverse (Horizontal) Weld]])-1,FALSE))</f>
        <v/>
      </c>
      <c r="S146" s="634"/>
      <c r="T146" s="634"/>
      <c r="U146" s="634" t="str">
        <f>IF($B145="","",VLOOKUP($B145,Reinforcements[],COLUMN(Reinforcements[[#Headers],[Bottom Transverse Weld Length]])-1,FALSE))</f>
        <v/>
      </c>
      <c r="V146" s="634"/>
      <c r="W146" s="634"/>
      <c r="X146" s="634" t="str">
        <f>IF($B145="","",VLOOKUP($B145,Reinforcements[],COLUMN(Reinforcements[[#Headers],[Bottom Transverse Weld Groove Depth (in)]])-1,FALSE))</f>
        <v/>
      </c>
      <c r="Y146" s="634"/>
      <c r="Z146" s="634"/>
      <c r="AA146" s="634" t="str">
        <f>IF($B145="","",VLOOKUP($B145,Reinforcements[],COLUMN(Reinforcements[[#Headers],[Bottom Transverse Weld Groove Angle (degrees)]])-1,FALSE))</f>
        <v/>
      </c>
      <c r="AB146" s="634"/>
      <c r="AC146" s="634"/>
      <c r="AD146" s="634" t="str">
        <f>IF($B145="","",VLOOKUP($B145,Reinforcements[],COLUMN(Reinforcements[[#Headers],[Bottom Transverse Weld Fillet Size (in)]])-1,FALSE))</f>
        <v/>
      </c>
      <c r="AE146" s="634"/>
      <c r="AF146" s="634" t="str">
        <f>IF($B145="","",VLOOKUP($B145,Reinforcements[],COLUMN(Reinforcements[[#Headers],[Bottom Longitudinal Weld Length]])-1,FALSE))</f>
        <v/>
      </c>
      <c r="AG146" s="634"/>
      <c r="AH146" s="634"/>
      <c r="AI146" s="635" t="str">
        <f>IF($B145="","",VLOOKUP($B145,Reinforcements[],COLUMN(Reinforcements[[#Headers],[Bottom Longitudinal Weld Fillet Size (in)]])-1,FALSE))</f>
        <v/>
      </c>
      <c r="AJ146" s="635"/>
      <c r="AK146" s="636"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36"/>
      <c r="AM146" s="637"/>
    </row>
    <row r="147" spans="2:39" ht="12.75" hidden="1" customHeight="1" x14ac:dyDescent="0.2">
      <c r="B147" s="638" t="str">
        <f>IF('Reinforcements'!B75="","",'Reinforcements'!B75)</f>
        <v/>
      </c>
      <c r="C147" s="639"/>
      <c r="D147" s="639"/>
      <c r="E147" s="639"/>
      <c r="F147" s="642" t="str">
        <f t="shared" ref="F147" si="7">IF($B147="","","Top")</f>
        <v/>
      </c>
      <c r="G147" s="629"/>
      <c r="H147" s="629" t="str">
        <f>IF($B147="","",VLOOKUP($B147,Reinforcements[],COLUMN(Reinforcements[[#Headers],['# of End Connection Bolts          (Top)]])-1,FALSE))</f>
        <v/>
      </c>
      <c r="I147" s="629"/>
      <c r="J147" s="629" t="str">
        <f>IF($B147="","",VLOOKUP($B147,Reinforcements[],COLUMN(Reinforcements[[#Headers],[Threads Included (N) or Excluded (X) (Top)]])-1,FALSE))</f>
        <v/>
      </c>
      <c r="K147" s="629"/>
      <c r="L147" s="629" t="str">
        <f>IF($B147="","",VLOOKUP($B147,Reinforcements[],COLUMN(Reinforcements[[#Headers],[End Connection Bolt Spacing (in) (T)]])-1,FALSE))</f>
        <v/>
      </c>
      <c r="M147" s="629"/>
      <c r="N147" s="629" t="str">
        <f>IF($B147="","",VLOOKUP($B147,Reinforcements[],COLUMN(Reinforcements[[#Headers],[End Connection Edge Distance (in) (T)]])-1,FALSE))</f>
        <v/>
      </c>
      <c r="O147" s="629"/>
      <c r="P147" s="629" t="str">
        <f>IF($B147="","",VLOOKUP($B147,Reinforcements[],COLUMN(Reinforcements[[#Headers],[Top Weld Grade (ksi)]])-1,FALSE))</f>
        <v/>
      </c>
      <c r="Q147" s="629"/>
      <c r="R147" s="629" t="str">
        <f>IF($B147="","",VLOOKUP($B147,Reinforcements[],COLUMN(Reinforcements[[#Headers],[Top Transverse (Horizontal) Weld]])-1,FALSE))</f>
        <v/>
      </c>
      <c r="S147" s="629"/>
      <c r="T147" s="629"/>
      <c r="U147" s="629" t="str">
        <f>IF($B147="","",VLOOKUP($B147,Reinforcements[],COLUMN(Reinforcements[[#Headers],[Top Transverse Weld Length]])-1,FALSE))</f>
        <v/>
      </c>
      <c r="V147" s="629"/>
      <c r="W147" s="629"/>
      <c r="X147" s="629" t="str">
        <f>IF($B147="","",VLOOKUP($B147,Reinforcements[],COLUMN(Reinforcements[[#Headers],[Top Transverse Weld Groove Depth (in)]])-1,FALSE))</f>
        <v/>
      </c>
      <c r="Y147" s="629"/>
      <c r="Z147" s="629"/>
      <c r="AA147" s="629" t="str">
        <f>IF($B147="","",VLOOKUP($B147,Reinforcements[],COLUMN(Reinforcements[[#Headers],[Top Transverse Weld Groove Angle (degrees)]])-1,FALSE))</f>
        <v/>
      </c>
      <c r="AB147" s="629"/>
      <c r="AC147" s="629"/>
      <c r="AD147" s="629" t="str">
        <f>IF($B147="","",VLOOKUP($B147,Reinforcements[],COLUMN(Reinforcements[[#Headers],[Top Transverse Weld Fillet Size (in)]])-1,FALSE))</f>
        <v/>
      </c>
      <c r="AE147" s="629"/>
      <c r="AF147" s="629" t="str">
        <f>IF($B147="","",VLOOKUP($B147,Reinforcements[],COLUMN(Reinforcements[[#Headers],[Top Longitudinal Weld Length]])-1,FALSE))</f>
        <v/>
      </c>
      <c r="AG147" s="629"/>
      <c r="AH147" s="629"/>
      <c r="AI147" s="630" t="str">
        <f>IF($B147="","",VLOOKUP($B147,Reinforcements[],COLUMN(Reinforcements[[#Headers],[Top Longitudinal Weld Fillet Size (in)]])-1,FALSE))</f>
        <v/>
      </c>
      <c r="AJ147" s="630"/>
      <c r="AK147" s="631"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31"/>
      <c r="AM147" s="632"/>
    </row>
    <row r="148" spans="2:39" ht="12.75" hidden="1" customHeight="1" x14ac:dyDescent="0.2">
      <c r="B148" s="640"/>
      <c r="C148" s="641"/>
      <c r="D148" s="641"/>
      <c r="E148" s="641"/>
      <c r="F148" s="633" t="str">
        <f t="shared" ref="F148" si="8">IF($B147="","","Bottom")</f>
        <v/>
      </c>
      <c r="G148" s="634"/>
      <c r="H148" s="634" t="str">
        <f>IF($B147="","",VLOOKUP($B147,Reinforcements[],COLUMN(Reinforcements[[#Headers],['# of End Connection Bolts          (Bottom)]])-1,FALSE))</f>
        <v/>
      </c>
      <c r="I148" s="634"/>
      <c r="J148" s="634" t="str">
        <f>IF($B147="","",VLOOKUP($B147,Reinforcements[],COLUMN(Reinforcements[[#Headers],[Threads Included (N) or Excluded (X) (Bottom)]])-1,FALSE))</f>
        <v/>
      </c>
      <c r="K148" s="634"/>
      <c r="L148" s="634" t="str">
        <f>IF($B147="","",VLOOKUP($B147,Reinforcements[],COLUMN(Reinforcements[[#Headers],[End Connection Bolt Spacing (in) (B)]])-1,FALSE))</f>
        <v/>
      </c>
      <c r="M148" s="634"/>
      <c r="N148" s="634" t="str">
        <f>IF($B147="","",VLOOKUP($B147,Reinforcements[],COLUMN(Reinforcements[[#Headers],[End Connection Edge Distance (in) (B)]])-1,FALSE))</f>
        <v/>
      </c>
      <c r="O148" s="634"/>
      <c r="P148" s="634" t="str">
        <f>IF($B147="","",VLOOKUP($B147,Reinforcements[],COLUMN(Reinforcements[[#Headers],[Bottom Weld Grade (ksi)]])-1,FALSE))</f>
        <v/>
      </c>
      <c r="Q148" s="634"/>
      <c r="R148" s="634" t="str">
        <f>IF($B147="","",VLOOKUP($B147,Reinforcements[],COLUMN(Reinforcements[[#Headers],[Bottom Transverse (Horizontal) Weld]])-1,FALSE))</f>
        <v/>
      </c>
      <c r="S148" s="634"/>
      <c r="T148" s="634"/>
      <c r="U148" s="634" t="str">
        <f>IF($B147="","",VLOOKUP($B147,Reinforcements[],COLUMN(Reinforcements[[#Headers],[Bottom Transverse Weld Length]])-1,FALSE))</f>
        <v/>
      </c>
      <c r="V148" s="634"/>
      <c r="W148" s="634"/>
      <c r="X148" s="634" t="str">
        <f>IF($B147="","",VLOOKUP($B147,Reinforcements[],COLUMN(Reinforcements[[#Headers],[Bottom Transverse Weld Groove Depth (in)]])-1,FALSE))</f>
        <v/>
      </c>
      <c r="Y148" s="634"/>
      <c r="Z148" s="634"/>
      <c r="AA148" s="634" t="str">
        <f>IF($B147="","",VLOOKUP($B147,Reinforcements[],COLUMN(Reinforcements[[#Headers],[Bottom Transverse Weld Groove Angle (degrees)]])-1,FALSE))</f>
        <v/>
      </c>
      <c r="AB148" s="634"/>
      <c r="AC148" s="634"/>
      <c r="AD148" s="634" t="str">
        <f>IF($B147="","",VLOOKUP($B147,Reinforcements[],COLUMN(Reinforcements[[#Headers],[Bottom Transverse Weld Fillet Size (in)]])-1,FALSE))</f>
        <v/>
      </c>
      <c r="AE148" s="634"/>
      <c r="AF148" s="634" t="str">
        <f>IF($B147="","",VLOOKUP($B147,Reinforcements[],COLUMN(Reinforcements[[#Headers],[Bottom Longitudinal Weld Length]])-1,FALSE))</f>
        <v/>
      </c>
      <c r="AG148" s="634"/>
      <c r="AH148" s="634"/>
      <c r="AI148" s="635" t="str">
        <f>IF($B147="","",VLOOKUP($B147,Reinforcements[],COLUMN(Reinforcements[[#Headers],[Bottom Longitudinal Weld Fillet Size (in)]])-1,FALSE))</f>
        <v/>
      </c>
      <c r="AJ148" s="635"/>
      <c r="AK148" s="636"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36"/>
      <c r="AM148" s="637"/>
    </row>
    <row r="149" spans="2:39" ht="12.75" hidden="1" customHeight="1" x14ac:dyDescent="0.2">
      <c r="B149" s="638" t="str">
        <f>IF('Reinforcements'!B76="","",'Reinforcements'!B76)</f>
        <v/>
      </c>
      <c r="C149" s="639"/>
      <c r="D149" s="639"/>
      <c r="E149" s="639"/>
      <c r="F149" s="642" t="str">
        <f t="shared" ref="F149" si="9">IF($B149="","","Top")</f>
        <v/>
      </c>
      <c r="G149" s="629"/>
      <c r="H149" s="629" t="str">
        <f>IF($B149="","",VLOOKUP($B149,Reinforcements[],COLUMN(Reinforcements[[#Headers],['# of End Connection Bolts          (Top)]])-1,FALSE))</f>
        <v/>
      </c>
      <c r="I149" s="629"/>
      <c r="J149" s="629" t="str">
        <f>IF($B149="","",VLOOKUP($B149,Reinforcements[],COLUMN(Reinforcements[[#Headers],[Threads Included (N) or Excluded (X) (Top)]])-1,FALSE))</f>
        <v/>
      </c>
      <c r="K149" s="629"/>
      <c r="L149" s="629" t="str">
        <f>IF($B149="","",VLOOKUP($B149,Reinforcements[],COLUMN(Reinforcements[[#Headers],[End Connection Bolt Spacing (in) (T)]])-1,FALSE))</f>
        <v/>
      </c>
      <c r="M149" s="629"/>
      <c r="N149" s="629" t="str">
        <f>IF($B149="","",VLOOKUP($B149,Reinforcements[],COLUMN(Reinforcements[[#Headers],[End Connection Edge Distance (in) (T)]])-1,FALSE))</f>
        <v/>
      </c>
      <c r="O149" s="629"/>
      <c r="P149" s="629" t="str">
        <f>IF($B149="","",VLOOKUP($B149,Reinforcements[],COLUMN(Reinforcements[[#Headers],[Top Weld Grade (ksi)]])-1,FALSE))</f>
        <v/>
      </c>
      <c r="Q149" s="629"/>
      <c r="R149" s="629" t="str">
        <f>IF($B149="","",VLOOKUP($B149,Reinforcements[],COLUMN(Reinforcements[[#Headers],[Top Transverse (Horizontal) Weld]])-1,FALSE))</f>
        <v/>
      </c>
      <c r="S149" s="629"/>
      <c r="T149" s="629"/>
      <c r="U149" s="629" t="str">
        <f>IF($B149="","",VLOOKUP($B149,Reinforcements[],COLUMN(Reinforcements[[#Headers],[Top Transverse Weld Length]])-1,FALSE))</f>
        <v/>
      </c>
      <c r="V149" s="629"/>
      <c r="W149" s="629"/>
      <c r="X149" s="629" t="str">
        <f>IF($B149="","",VLOOKUP($B149,Reinforcements[],COLUMN(Reinforcements[[#Headers],[Top Transverse Weld Groove Depth (in)]])-1,FALSE))</f>
        <v/>
      </c>
      <c r="Y149" s="629"/>
      <c r="Z149" s="629"/>
      <c r="AA149" s="629" t="str">
        <f>IF($B149="","",VLOOKUP($B149,Reinforcements[],COLUMN(Reinforcements[[#Headers],[Top Transverse Weld Groove Angle (degrees)]])-1,FALSE))</f>
        <v/>
      </c>
      <c r="AB149" s="629"/>
      <c r="AC149" s="629"/>
      <c r="AD149" s="629" t="str">
        <f>IF($B149="","",VLOOKUP($B149,Reinforcements[],COLUMN(Reinforcements[[#Headers],[Top Transverse Weld Fillet Size (in)]])-1,FALSE))</f>
        <v/>
      </c>
      <c r="AE149" s="629"/>
      <c r="AF149" s="629" t="str">
        <f>IF($B149="","",VLOOKUP($B149,Reinforcements[],COLUMN(Reinforcements[[#Headers],[Top Longitudinal Weld Length]])-1,FALSE))</f>
        <v/>
      </c>
      <c r="AG149" s="629"/>
      <c r="AH149" s="629"/>
      <c r="AI149" s="630" t="str">
        <f>IF($B149="","",VLOOKUP($B149,Reinforcements[],COLUMN(Reinforcements[[#Headers],[Top Longitudinal Weld Fillet Size (in)]])-1,FALSE))</f>
        <v/>
      </c>
      <c r="AJ149" s="630"/>
      <c r="AK149" s="631"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31"/>
      <c r="AM149" s="632"/>
    </row>
    <row r="150" spans="2:39" ht="12.75" hidden="1" customHeight="1" x14ac:dyDescent="0.2">
      <c r="B150" s="640"/>
      <c r="C150" s="641"/>
      <c r="D150" s="641"/>
      <c r="E150" s="641"/>
      <c r="F150" s="633" t="str">
        <f t="shared" ref="F150" si="10">IF($B149="","","Bottom")</f>
        <v/>
      </c>
      <c r="G150" s="634"/>
      <c r="H150" s="634" t="str">
        <f>IF($B149="","",VLOOKUP($B149,Reinforcements[],COLUMN(Reinforcements[[#Headers],['# of End Connection Bolts          (Bottom)]])-1,FALSE))</f>
        <v/>
      </c>
      <c r="I150" s="634"/>
      <c r="J150" s="634" t="str">
        <f>IF($B149="","",VLOOKUP($B149,Reinforcements[],COLUMN(Reinforcements[[#Headers],[Threads Included (N) or Excluded (X) (Bottom)]])-1,FALSE))</f>
        <v/>
      </c>
      <c r="K150" s="634"/>
      <c r="L150" s="634" t="str">
        <f>IF($B149="","",VLOOKUP($B149,Reinforcements[],COLUMN(Reinforcements[[#Headers],[End Connection Bolt Spacing (in) (B)]])-1,FALSE))</f>
        <v/>
      </c>
      <c r="M150" s="634"/>
      <c r="N150" s="634" t="str">
        <f>IF($B149="","",VLOOKUP($B149,Reinforcements[],COLUMN(Reinforcements[[#Headers],[End Connection Edge Distance (in) (B)]])-1,FALSE))</f>
        <v/>
      </c>
      <c r="O150" s="634"/>
      <c r="P150" s="634" t="str">
        <f>IF($B149="","",VLOOKUP($B149,Reinforcements[],COLUMN(Reinforcements[[#Headers],[Bottom Weld Grade (ksi)]])-1,FALSE))</f>
        <v/>
      </c>
      <c r="Q150" s="634"/>
      <c r="R150" s="634" t="str">
        <f>IF($B149="","",VLOOKUP($B149,Reinforcements[],COLUMN(Reinforcements[[#Headers],[Bottom Transverse (Horizontal) Weld]])-1,FALSE))</f>
        <v/>
      </c>
      <c r="S150" s="634"/>
      <c r="T150" s="634"/>
      <c r="U150" s="634" t="str">
        <f>IF($B149="","",VLOOKUP($B149,Reinforcements[],COLUMN(Reinforcements[[#Headers],[Bottom Transverse Weld Length]])-1,FALSE))</f>
        <v/>
      </c>
      <c r="V150" s="634"/>
      <c r="W150" s="634"/>
      <c r="X150" s="634" t="str">
        <f>IF($B149="","",VLOOKUP($B149,Reinforcements[],COLUMN(Reinforcements[[#Headers],[Bottom Transverse Weld Groove Depth (in)]])-1,FALSE))</f>
        <v/>
      </c>
      <c r="Y150" s="634"/>
      <c r="Z150" s="634"/>
      <c r="AA150" s="634" t="str">
        <f>IF($B149="","",VLOOKUP($B149,Reinforcements[],COLUMN(Reinforcements[[#Headers],[Bottom Transverse Weld Groove Angle (degrees)]])-1,FALSE))</f>
        <v/>
      </c>
      <c r="AB150" s="634"/>
      <c r="AC150" s="634"/>
      <c r="AD150" s="634" t="str">
        <f>IF($B149="","",VLOOKUP($B149,Reinforcements[],COLUMN(Reinforcements[[#Headers],[Bottom Transverse Weld Fillet Size (in)]])-1,FALSE))</f>
        <v/>
      </c>
      <c r="AE150" s="634"/>
      <c r="AF150" s="634" t="str">
        <f>IF($B149="","",VLOOKUP($B149,Reinforcements[],COLUMN(Reinforcements[[#Headers],[Bottom Longitudinal Weld Length]])-1,FALSE))</f>
        <v/>
      </c>
      <c r="AG150" s="634"/>
      <c r="AH150" s="634"/>
      <c r="AI150" s="635" t="str">
        <f>IF($B149="","",VLOOKUP($B149,Reinforcements[],COLUMN(Reinforcements[[#Headers],[Bottom Longitudinal Weld Fillet Size (in)]])-1,FALSE))</f>
        <v/>
      </c>
      <c r="AJ150" s="635"/>
      <c r="AK150" s="636"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36"/>
      <c r="AM150" s="637"/>
    </row>
    <row r="151" spans="2:39" ht="12.75" hidden="1" customHeight="1" x14ac:dyDescent="0.2">
      <c r="B151" s="638" t="str">
        <f>IF('Reinforcements'!B77="","",'Reinforcements'!B77)</f>
        <v/>
      </c>
      <c r="C151" s="639"/>
      <c r="D151" s="639"/>
      <c r="E151" s="639"/>
      <c r="F151" s="642" t="str">
        <f t="shared" ref="F151" si="11">IF($B151="","","Top")</f>
        <v/>
      </c>
      <c r="G151" s="629"/>
      <c r="H151" s="629" t="str">
        <f>IF($B151="","",VLOOKUP($B151,Reinforcements[],COLUMN(Reinforcements[[#Headers],['# of End Connection Bolts          (Top)]])-1,FALSE))</f>
        <v/>
      </c>
      <c r="I151" s="629"/>
      <c r="J151" s="629" t="str">
        <f>IF($B151="","",VLOOKUP($B151,Reinforcements[],COLUMN(Reinforcements[[#Headers],[Threads Included (N) or Excluded (X) (Top)]])-1,FALSE))</f>
        <v/>
      </c>
      <c r="K151" s="629"/>
      <c r="L151" s="629" t="str">
        <f>IF($B151="","",VLOOKUP($B151,Reinforcements[],COLUMN(Reinforcements[[#Headers],[End Connection Bolt Spacing (in) (T)]])-1,FALSE))</f>
        <v/>
      </c>
      <c r="M151" s="629"/>
      <c r="N151" s="629" t="str">
        <f>IF($B151="","",VLOOKUP($B151,Reinforcements[],COLUMN(Reinforcements[[#Headers],[End Connection Edge Distance (in) (T)]])-1,FALSE))</f>
        <v/>
      </c>
      <c r="O151" s="629"/>
      <c r="P151" s="629" t="str">
        <f>IF($B151="","",VLOOKUP($B151,Reinforcements[],COLUMN(Reinforcements[[#Headers],[Top Weld Grade (ksi)]])-1,FALSE))</f>
        <v/>
      </c>
      <c r="Q151" s="629"/>
      <c r="R151" s="629" t="str">
        <f>IF($B151="","",VLOOKUP($B151,Reinforcements[],COLUMN(Reinforcements[[#Headers],[Top Transverse (Horizontal) Weld]])-1,FALSE))</f>
        <v/>
      </c>
      <c r="S151" s="629"/>
      <c r="T151" s="629"/>
      <c r="U151" s="629" t="str">
        <f>IF($B151="","",VLOOKUP($B151,Reinforcements[],COLUMN(Reinforcements[[#Headers],[Top Transverse Weld Length]])-1,FALSE))</f>
        <v/>
      </c>
      <c r="V151" s="629"/>
      <c r="W151" s="629"/>
      <c r="X151" s="629" t="str">
        <f>IF($B151="","",VLOOKUP($B151,Reinforcements[],COLUMN(Reinforcements[[#Headers],[Top Transverse Weld Groove Depth (in)]])-1,FALSE))</f>
        <v/>
      </c>
      <c r="Y151" s="629"/>
      <c r="Z151" s="629"/>
      <c r="AA151" s="629" t="str">
        <f>IF($B151="","",VLOOKUP($B151,Reinforcements[],COLUMN(Reinforcements[[#Headers],[Top Transverse Weld Groove Angle (degrees)]])-1,FALSE))</f>
        <v/>
      </c>
      <c r="AB151" s="629"/>
      <c r="AC151" s="629"/>
      <c r="AD151" s="629" t="str">
        <f>IF($B151="","",VLOOKUP($B151,Reinforcements[],COLUMN(Reinforcements[[#Headers],[Top Transverse Weld Fillet Size (in)]])-1,FALSE))</f>
        <v/>
      </c>
      <c r="AE151" s="629"/>
      <c r="AF151" s="629" t="str">
        <f>IF($B151="","",VLOOKUP($B151,Reinforcements[],COLUMN(Reinforcements[[#Headers],[Top Longitudinal Weld Length]])-1,FALSE))</f>
        <v/>
      </c>
      <c r="AG151" s="629"/>
      <c r="AH151" s="629"/>
      <c r="AI151" s="630" t="str">
        <f>IF($B151="","",VLOOKUP($B151,Reinforcements[],COLUMN(Reinforcements[[#Headers],[Top Longitudinal Weld Fillet Size (in)]])-1,FALSE))</f>
        <v/>
      </c>
      <c r="AJ151" s="630"/>
      <c r="AK151" s="631"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31"/>
      <c r="AM151" s="632"/>
    </row>
    <row r="152" spans="2:39" ht="12.75" hidden="1" customHeight="1" x14ac:dyDescent="0.2">
      <c r="B152" s="640"/>
      <c r="C152" s="641"/>
      <c r="D152" s="641"/>
      <c r="E152" s="641"/>
      <c r="F152" s="633" t="str">
        <f t="shared" ref="F152" si="12">IF($B151="","","Bottom")</f>
        <v/>
      </c>
      <c r="G152" s="634"/>
      <c r="H152" s="634" t="str">
        <f>IF($B151="","",VLOOKUP($B151,Reinforcements[],COLUMN(Reinforcements[[#Headers],['# of End Connection Bolts          (Bottom)]])-1,FALSE))</f>
        <v/>
      </c>
      <c r="I152" s="634"/>
      <c r="J152" s="634" t="str">
        <f>IF($B151="","",VLOOKUP($B151,Reinforcements[],COLUMN(Reinforcements[[#Headers],[Threads Included (N) or Excluded (X) (Bottom)]])-1,FALSE))</f>
        <v/>
      </c>
      <c r="K152" s="634"/>
      <c r="L152" s="634" t="str">
        <f>IF($B151="","",VLOOKUP($B151,Reinforcements[],COLUMN(Reinforcements[[#Headers],[End Connection Bolt Spacing (in) (B)]])-1,FALSE))</f>
        <v/>
      </c>
      <c r="M152" s="634"/>
      <c r="N152" s="634" t="str">
        <f>IF($B151="","",VLOOKUP($B151,Reinforcements[],COLUMN(Reinforcements[[#Headers],[End Connection Edge Distance (in) (B)]])-1,FALSE))</f>
        <v/>
      </c>
      <c r="O152" s="634"/>
      <c r="P152" s="634" t="str">
        <f>IF($B151="","",VLOOKUP($B151,Reinforcements[],COLUMN(Reinforcements[[#Headers],[Bottom Weld Grade (ksi)]])-1,FALSE))</f>
        <v/>
      </c>
      <c r="Q152" s="634"/>
      <c r="R152" s="634" t="str">
        <f>IF($B151="","",VLOOKUP($B151,Reinforcements[],COLUMN(Reinforcements[[#Headers],[Bottom Transverse (Horizontal) Weld]])-1,FALSE))</f>
        <v/>
      </c>
      <c r="S152" s="634"/>
      <c r="T152" s="634"/>
      <c r="U152" s="634" t="str">
        <f>IF($B151="","",VLOOKUP($B151,Reinforcements[],COLUMN(Reinforcements[[#Headers],[Bottom Transverse Weld Length]])-1,FALSE))</f>
        <v/>
      </c>
      <c r="V152" s="634"/>
      <c r="W152" s="634"/>
      <c r="X152" s="634" t="str">
        <f>IF($B151="","",VLOOKUP($B151,Reinforcements[],COLUMN(Reinforcements[[#Headers],[Bottom Transverse Weld Groove Depth (in)]])-1,FALSE))</f>
        <v/>
      </c>
      <c r="Y152" s="634"/>
      <c r="Z152" s="634"/>
      <c r="AA152" s="634" t="str">
        <f>IF($B151="","",VLOOKUP($B151,Reinforcements[],COLUMN(Reinforcements[[#Headers],[Bottom Transverse Weld Groove Angle (degrees)]])-1,FALSE))</f>
        <v/>
      </c>
      <c r="AB152" s="634"/>
      <c r="AC152" s="634"/>
      <c r="AD152" s="634" t="str">
        <f>IF($B151="","",VLOOKUP($B151,Reinforcements[],COLUMN(Reinforcements[[#Headers],[Bottom Transverse Weld Fillet Size (in)]])-1,FALSE))</f>
        <v/>
      </c>
      <c r="AE152" s="634"/>
      <c r="AF152" s="634" t="str">
        <f>IF($B151="","",VLOOKUP($B151,Reinforcements[],COLUMN(Reinforcements[[#Headers],[Bottom Longitudinal Weld Length]])-1,FALSE))</f>
        <v/>
      </c>
      <c r="AG152" s="634"/>
      <c r="AH152" s="634"/>
      <c r="AI152" s="635" t="str">
        <f>IF($B151="","",VLOOKUP($B151,Reinforcements[],COLUMN(Reinforcements[[#Headers],[Bottom Longitudinal Weld Fillet Size (in)]])-1,FALSE))</f>
        <v/>
      </c>
      <c r="AJ152" s="635"/>
      <c r="AK152" s="636"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36"/>
      <c r="AM152" s="637"/>
    </row>
    <row r="153" spans="2:39" ht="12.75" hidden="1" customHeight="1" x14ac:dyDescent="0.2">
      <c r="B153" s="638" t="str">
        <f>IF('Reinforcements'!B78="","",'Reinforcements'!B78)</f>
        <v/>
      </c>
      <c r="C153" s="639"/>
      <c r="D153" s="639"/>
      <c r="E153" s="639"/>
      <c r="F153" s="642" t="str">
        <f t="shared" ref="F153" si="13">IF($B153="","","Top")</f>
        <v/>
      </c>
      <c r="G153" s="629"/>
      <c r="H153" s="629" t="str">
        <f>IF($B153="","",VLOOKUP($B153,Reinforcements[],COLUMN(Reinforcements[[#Headers],['# of End Connection Bolts          (Top)]])-1,FALSE))</f>
        <v/>
      </c>
      <c r="I153" s="629"/>
      <c r="J153" s="629" t="str">
        <f>IF($B153="","",VLOOKUP($B153,Reinforcements[],COLUMN(Reinforcements[[#Headers],[Threads Included (N) or Excluded (X) (Top)]])-1,FALSE))</f>
        <v/>
      </c>
      <c r="K153" s="629"/>
      <c r="L153" s="629" t="str">
        <f>IF($B153="","",VLOOKUP($B153,Reinforcements[],COLUMN(Reinforcements[[#Headers],[End Connection Bolt Spacing (in) (T)]])-1,FALSE))</f>
        <v/>
      </c>
      <c r="M153" s="629"/>
      <c r="N153" s="629" t="str">
        <f>IF($B153="","",VLOOKUP($B153,Reinforcements[],COLUMN(Reinforcements[[#Headers],[End Connection Edge Distance (in) (T)]])-1,FALSE))</f>
        <v/>
      </c>
      <c r="O153" s="629"/>
      <c r="P153" s="629" t="str">
        <f>IF($B153="","",VLOOKUP($B153,Reinforcements[],COLUMN(Reinforcements[[#Headers],[Top Weld Grade (ksi)]])-1,FALSE))</f>
        <v/>
      </c>
      <c r="Q153" s="629"/>
      <c r="R153" s="629" t="str">
        <f>IF($B153="","",VLOOKUP($B153,Reinforcements[],COLUMN(Reinforcements[[#Headers],[Top Transverse (Horizontal) Weld]])-1,FALSE))</f>
        <v/>
      </c>
      <c r="S153" s="629"/>
      <c r="T153" s="629"/>
      <c r="U153" s="629" t="str">
        <f>IF($B153="","",VLOOKUP($B153,Reinforcements[],COLUMN(Reinforcements[[#Headers],[Top Transverse Weld Length]])-1,FALSE))</f>
        <v/>
      </c>
      <c r="V153" s="629"/>
      <c r="W153" s="629"/>
      <c r="X153" s="629" t="str">
        <f>IF($B153="","",VLOOKUP($B153,Reinforcements[],COLUMN(Reinforcements[[#Headers],[Top Transverse Weld Groove Depth (in)]])-1,FALSE))</f>
        <v/>
      </c>
      <c r="Y153" s="629"/>
      <c r="Z153" s="629"/>
      <c r="AA153" s="629" t="str">
        <f>IF($B153="","",VLOOKUP($B153,Reinforcements[],COLUMN(Reinforcements[[#Headers],[Top Transverse Weld Groove Angle (degrees)]])-1,FALSE))</f>
        <v/>
      </c>
      <c r="AB153" s="629"/>
      <c r="AC153" s="629"/>
      <c r="AD153" s="629" t="str">
        <f>IF($B153="","",VLOOKUP($B153,Reinforcements[],COLUMN(Reinforcements[[#Headers],[Top Transverse Weld Fillet Size (in)]])-1,FALSE))</f>
        <v/>
      </c>
      <c r="AE153" s="629"/>
      <c r="AF153" s="629" t="str">
        <f>IF($B153="","",VLOOKUP($B153,Reinforcements[],COLUMN(Reinforcements[[#Headers],[Top Longitudinal Weld Length]])-1,FALSE))</f>
        <v/>
      </c>
      <c r="AG153" s="629"/>
      <c r="AH153" s="629"/>
      <c r="AI153" s="630" t="str">
        <f>IF($B153="","",VLOOKUP($B153,Reinforcements[],COLUMN(Reinforcements[[#Headers],[Top Longitudinal Weld Fillet Size (in)]])-1,FALSE))</f>
        <v/>
      </c>
      <c r="AJ153" s="630"/>
      <c r="AK153" s="631"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31"/>
      <c r="AM153" s="632"/>
    </row>
    <row r="154" spans="2:39" ht="12.75" hidden="1" customHeight="1" x14ac:dyDescent="0.2">
      <c r="B154" s="640"/>
      <c r="C154" s="641"/>
      <c r="D154" s="641"/>
      <c r="E154" s="641"/>
      <c r="F154" s="633" t="str">
        <f t="shared" ref="F154" si="14">IF($B153="","","Bottom")</f>
        <v/>
      </c>
      <c r="G154" s="634"/>
      <c r="H154" s="634" t="str">
        <f>IF($B153="","",VLOOKUP($B153,Reinforcements[],COLUMN(Reinforcements[[#Headers],['# of End Connection Bolts          (Bottom)]])-1,FALSE))</f>
        <v/>
      </c>
      <c r="I154" s="634"/>
      <c r="J154" s="634" t="str">
        <f>IF($B153="","",VLOOKUP($B153,Reinforcements[],COLUMN(Reinforcements[[#Headers],[Threads Included (N) or Excluded (X) (Bottom)]])-1,FALSE))</f>
        <v/>
      </c>
      <c r="K154" s="634"/>
      <c r="L154" s="634" t="str">
        <f>IF($B153="","",VLOOKUP($B153,Reinforcements[],COLUMN(Reinforcements[[#Headers],[End Connection Bolt Spacing (in) (B)]])-1,FALSE))</f>
        <v/>
      </c>
      <c r="M154" s="634"/>
      <c r="N154" s="634" t="str">
        <f>IF($B153="","",VLOOKUP($B153,Reinforcements[],COLUMN(Reinforcements[[#Headers],[End Connection Edge Distance (in) (B)]])-1,FALSE))</f>
        <v/>
      </c>
      <c r="O154" s="634"/>
      <c r="P154" s="634" t="str">
        <f>IF($B153="","",VLOOKUP($B153,Reinforcements[],COLUMN(Reinforcements[[#Headers],[Bottom Weld Grade (ksi)]])-1,FALSE))</f>
        <v/>
      </c>
      <c r="Q154" s="634"/>
      <c r="R154" s="634" t="str">
        <f>IF($B153="","",VLOOKUP($B153,Reinforcements[],COLUMN(Reinforcements[[#Headers],[Bottom Transverse (Horizontal) Weld]])-1,FALSE))</f>
        <v/>
      </c>
      <c r="S154" s="634"/>
      <c r="T154" s="634"/>
      <c r="U154" s="634" t="str">
        <f>IF($B153="","",VLOOKUP($B153,Reinforcements[],COLUMN(Reinforcements[[#Headers],[Bottom Transverse Weld Length]])-1,FALSE))</f>
        <v/>
      </c>
      <c r="V154" s="634"/>
      <c r="W154" s="634"/>
      <c r="X154" s="634" t="str">
        <f>IF($B153="","",VLOOKUP($B153,Reinforcements[],COLUMN(Reinforcements[[#Headers],[Bottom Transverse Weld Groove Depth (in)]])-1,FALSE))</f>
        <v/>
      </c>
      <c r="Y154" s="634"/>
      <c r="Z154" s="634"/>
      <c r="AA154" s="634" t="str">
        <f>IF($B153="","",VLOOKUP($B153,Reinforcements[],COLUMN(Reinforcements[[#Headers],[Bottom Transverse Weld Groove Angle (degrees)]])-1,FALSE))</f>
        <v/>
      </c>
      <c r="AB154" s="634"/>
      <c r="AC154" s="634"/>
      <c r="AD154" s="634" t="str">
        <f>IF($B153="","",VLOOKUP($B153,Reinforcements[],COLUMN(Reinforcements[[#Headers],[Bottom Transverse Weld Fillet Size (in)]])-1,FALSE))</f>
        <v/>
      </c>
      <c r="AE154" s="634"/>
      <c r="AF154" s="634" t="str">
        <f>IF($B153="","",VLOOKUP($B153,Reinforcements[],COLUMN(Reinforcements[[#Headers],[Bottom Longitudinal Weld Length]])-1,FALSE))</f>
        <v/>
      </c>
      <c r="AG154" s="634"/>
      <c r="AH154" s="634"/>
      <c r="AI154" s="635" t="str">
        <f>IF($B153="","",VLOOKUP($B153,Reinforcements[],COLUMN(Reinforcements[[#Headers],[Bottom Longitudinal Weld Fillet Size (in)]])-1,FALSE))</f>
        <v/>
      </c>
      <c r="AJ154" s="635"/>
      <c r="AK154" s="636"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36"/>
      <c r="AM154" s="637"/>
    </row>
    <row r="155" spans="2:39" ht="12.75" hidden="1" customHeight="1" x14ac:dyDescent="0.2">
      <c r="B155" s="638" t="str">
        <f>IF('Reinforcements'!B79="","",'Reinforcements'!B79)</f>
        <v/>
      </c>
      <c r="C155" s="639"/>
      <c r="D155" s="639"/>
      <c r="E155" s="639"/>
      <c r="F155" s="642" t="str">
        <f t="shared" ref="F155" si="15">IF($B155="","","Top")</f>
        <v/>
      </c>
      <c r="G155" s="629"/>
      <c r="H155" s="629" t="str">
        <f>IF($B155="","",VLOOKUP($B155,Reinforcements[],COLUMN(Reinforcements[[#Headers],['# of End Connection Bolts          (Top)]])-1,FALSE))</f>
        <v/>
      </c>
      <c r="I155" s="629"/>
      <c r="J155" s="629" t="str">
        <f>IF($B155="","",VLOOKUP($B155,Reinforcements[],COLUMN(Reinforcements[[#Headers],[Threads Included (N) or Excluded (X) (Top)]])-1,FALSE))</f>
        <v/>
      </c>
      <c r="K155" s="629"/>
      <c r="L155" s="629" t="str">
        <f>IF($B155="","",VLOOKUP($B155,Reinforcements[],COLUMN(Reinforcements[[#Headers],[End Connection Bolt Spacing (in) (T)]])-1,FALSE))</f>
        <v/>
      </c>
      <c r="M155" s="629"/>
      <c r="N155" s="629" t="str">
        <f>IF($B155="","",VLOOKUP($B155,Reinforcements[],COLUMN(Reinforcements[[#Headers],[End Connection Edge Distance (in) (T)]])-1,FALSE))</f>
        <v/>
      </c>
      <c r="O155" s="629"/>
      <c r="P155" s="629" t="str">
        <f>IF($B155="","",VLOOKUP($B155,Reinforcements[],COLUMN(Reinforcements[[#Headers],[Top Weld Grade (ksi)]])-1,FALSE))</f>
        <v/>
      </c>
      <c r="Q155" s="629"/>
      <c r="R155" s="629" t="str">
        <f>IF($B155="","",VLOOKUP($B155,Reinforcements[],COLUMN(Reinforcements[[#Headers],[Top Transverse (Horizontal) Weld]])-1,FALSE))</f>
        <v/>
      </c>
      <c r="S155" s="629"/>
      <c r="T155" s="629"/>
      <c r="U155" s="629" t="str">
        <f>IF($B155="","",VLOOKUP($B155,Reinforcements[],COLUMN(Reinforcements[[#Headers],[Top Transverse Weld Length]])-1,FALSE))</f>
        <v/>
      </c>
      <c r="V155" s="629"/>
      <c r="W155" s="629"/>
      <c r="X155" s="629" t="str">
        <f>IF($B155="","",VLOOKUP($B155,Reinforcements[],COLUMN(Reinforcements[[#Headers],[Top Transverse Weld Groove Depth (in)]])-1,FALSE))</f>
        <v/>
      </c>
      <c r="Y155" s="629"/>
      <c r="Z155" s="629"/>
      <c r="AA155" s="629" t="str">
        <f>IF($B155="","",VLOOKUP($B155,Reinforcements[],COLUMN(Reinforcements[[#Headers],[Top Transverse Weld Groove Angle (degrees)]])-1,FALSE))</f>
        <v/>
      </c>
      <c r="AB155" s="629"/>
      <c r="AC155" s="629"/>
      <c r="AD155" s="629" t="str">
        <f>IF($B155="","",VLOOKUP($B155,Reinforcements[],COLUMN(Reinforcements[[#Headers],[Top Transverse Weld Fillet Size (in)]])-1,FALSE))</f>
        <v/>
      </c>
      <c r="AE155" s="629"/>
      <c r="AF155" s="629" t="str">
        <f>IF($B155="","",VLOOKUP($B155,Reinforcements[],COLUMN(Reinforcements[[#Headers],[Top Longitudinal Weld Length]])-1,FALSE))</f>
        <v/>
      </c>
      <c r="AG155" s="629"/>
      <c r="AH155" s="629"/>
      <c r="AI155" s="630" t="str">
        <f>IF($B155="","",VLOOKUP($B155,Reinforcements[],COLUMN(Reinforcements[[#Headers],[Top Longitudinal Weld Fillet Size (in)]])-1,FALSE))</f>
        <v/>
      </c>
      <c r="AJ155" s="630"/>
      <c r="AK155" s="631"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31"/>
      <c r="AM155" s="632"/>
    </row>
    <row r="156" spans="2:39" ht="12.75" hidden="1" customHeight="1" x14ac:dyDescent="0.2">
      <c r="B156" s="640"/>
      <c r="C156" s="641"/>
      <c r="D156" s="641"/>
      <c r="E156" s="641"/>
      <c r="F156" s="633" t="str">
        <f t="shared" ref="F156" si="16">IF($B155="","","Bottom")</f>
        <v/>
      </c>
      <c r="G156" s="634"/>
      <c r="H156" s="634" t="str">
        <f>IF($B155="","",VLOOKUP($B155,Reinforcements[],COLUMN(Reinforcements[[#Headers],['# of End Connection Bolts          (Bottom)]])-1,FALSE))</f>
        <v/>
      </c>
      <c r="I156" s="634"/>
      <c r="J156" s="634" t="str">
        <f>IF($B155="","",VLOOKUP($B155,Reinforcements[],COLUMN(Reinforcements[[#Headers],[Threads Included (N) or Excluded (X) (Bottom)]])-1,FALSE))</f>
        <v/>
      </c>
      <c r="K156" s="634"/>
      <c r="L156" s="634" t="str">
        <f>IF($B155="","",VLOOKUP($B155,Reinforcements[],COLUMN(Reinforcements[[#Headers],[End Connection Bolt Spacing (in) (B)]])-1,FALSE))</f>
        <v/>
      </c>
      <c r="M156" s="634"/>
      <c r="N156" s="634" t="str">
        <f>IF($B155="","",VLOOKUP($B155,Reinforcements[],COLUMN(Reinforcements[[#Headers],[End Connection Edge Distance (in) (B)]])-1,FALSE))</f>
        <v/>
      </c>
      <c r="O156" s="634"/>
      <c r="P156" s="634" t="str">
        <f>IF($B155="","",VLOOKUP($B155,Reinforcements[],COLUMN(Reinforcements[[#Headers],[Bottom Weld Grade (ksi)]])-1,FALSE))</f>
        <v/>
      </c>
      <c r="Q156" s="634"/>
      <c r="R156" s="634" t="str">
        <f>IF($B155="","",VLOOKUP($B155,Reinforcements[],COLUMN(Reinforcements[[#Headers],[Bottom Transverse (Horizontal) Weld]])-1,FALSE))</f>
        <v/>
      </c>
      <c r="S156" s="634"/>
      <c r="T156" s="634"/>
      <c r="U156" s="634" t="str">
        <f>IF($B155="","",VLOOKUP($B155,Reinforcements[],COLUMN(Reinforcements[[#Headers],[Bottom Transverse Weld Length]])-1,FALSE))</f>
        <v/>
      </c>
      <c r="V156" s="634"/>
      <c r="W156" s="634"/>
      <c r="X156" s="634" t="str">
        <f>IF($B155="","",VLOOKUP($B155,Reinforcements[],COLUMN(Reinforcements[[#Headers],[Bottom Transverse Weld Groove Depth (in)]])-1,FALSE))</f>
        <v/>
      </c>
      <c r="Y156" s="634"/>
      <c r="Z156" s="634"/>
      <c r="AA156" s="634" t="str">
        <f>IF($B155="","",VLOOKUP($B155,Reinforcements[],COLUMN(Reinforcements[[#Headers],[Bottom Transverse Weld Groove Angle (degrees)]])-1,FALSE))</f>
        <v/>
      </c>
      <c r="AB156" s="634"/>
      <c r="AC156" s="634"/>
      <c r="AD156" s="634" t="str">
        <f>IF($B155="","",VLOOKUP($B155,Reinforcements[],COLUMN(Reinforcements[[#Headers],[Bottom Transverse Weld Fillet Size (in)]])-1,FALSE))</f>
        <v/>
      </c>
      <c r="AE156" s="634"/>
      <c r="AF156" s="634" t="str">
        <f>IF($B155="","",VLOOKUP($B155,Reinforcements[],COLUMN(Reinforcements[[#Headers],[Bottom Longitudinal Weld Length]])-1,FALSE))</f>
        <v/>
      </c>
      <c r="AG156" s="634"/>
      <c r="AH156" s="634"/>
      <c r="AI156" s="635" t="str">
        <f>IF($B155="","",VLOOKUP($B155,Reinforcements[],COLUMN(Reinforcements[[#Headers],[Bottom Longitudinal Weld Fillet Size (in)]])-1,FALSE))</f>
        <v/>
      </c>
      <c r="AJ156" s="635"/>
      <c r="AK156" s="636"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36"/>
      <c r="AM156" s="637"/>
    </row>
    <row r="157" spans="2:39" ht="12.75" hidden="1" customHeight="1" x14ac:dyDescent="0.2">
      <c r="B157" s="638" t="str">
        <f>IF('Reinforcements'!B80="","",'Reinforcements'!B80)</f>
        <v/>
      </c>
      <c r="C157" s="639"/>
      <c r="D157" s="639"/>
      <c r="E157" s="639"/>
      <c r="F157" s="642" t="str">
        <f t="shared" ref="F157" si="17">IF($B157="","","Top")</f>
        <v/>
      </c>
      <c r="G157" s="629"/>
      <c r="H157" s="629" t="str">
        <f>IF($B157="","",VLOOKUP($B157,Reinforcements[],COLUMN(Reinforcements[[#Headers],['# of End Connection Bolts          (Top)]])-1,FALSE))</f>
        <v/>
      </c>
      <c r="I157" s="629"/>
      <c r="J157" s="629" t="str">
        <f>IF($B157="","",VLOOKUP($B157,Reinforcements[],COLUMN(Reinforcements[[#Headers],[Threads Included (N) or Excluded (X) (Top)]])-1,FALSE))</f>
        <v/>
      </c>
      <c r="K157" s="629"/>
      <c r="L157" s="629" t="str">
        <f>IF($B157="","",VLOOKUP($B157,Reinforcements[],COLUMN(Reinforcements[[#Headers],[End Connection Bolt Spacing (in) (T)]])-1,FALSE))</f>
        <v/>
      </c>
      <c r="M157" s="629"/>
      <c r="N157" s="629" t="str">
        <f>IF($B157="","",VLOOKUP($B157,Reinforcements[],COLUMN(Reinforcements[[#Headers],[End Connection Edge Distance (in) (T)]])-1,FALSE))</f>
        <v/>
      </c>
      <c r="O157" s="629"/>
      <c r="P157" s="629" t="str">
        <f>IF($B157="","",VLOOKUP($B157,Reinforcements[],COLUMN(Reinforcements[[#Headers],[Top Weld Grade (ksi)]])-1,FALSE))</f>
        <v/>
      </c>
      <c r="Q157" s="629"/>
      <c r="R157" s="629" t="str">
        <f>IF($B157="","",VLOOKUP($B157,Reinforcements[],COLUMN(Reinforcements[[#Headers],[Top Transverse (Horizontal) Weld]])-1,FALSE))</f>
        <v/>
      </c>
      <c r="S157" s="629"/>
      <c r="T157" s="629"/>
      <c r="U157" s="629" t="str">
        <f>IF($B157="","",VLOOKUP($B157,Reinforcements[],COLUMN(Reinforcements[[#Headers],[Top Transverse Weld Length]])-1,FALSE))</f>
        <v/>
      </c>
      <c r="V157" s="629"/>
      <c r="W157" s="629"/>
      <c r="X157" s="629" t="str">
        <f>IF($B157="","",VLOOKUP($B157,Reinforcements[],COLUMN(Reinforcements[[#Headers],[Top Transverse Weld Groove Depth (in)]])-1,FALSE))</f>
        <v/>
      </c>
      <c r="Y157" s="629"/>
      <c r="Z157" s="629"/>
      <c r="AA157" s="629" t="str">
        <f>IF($B157="","",VLOOKUP($B157,Reinforcements[],COLUMN(Reinforcements[[#Headers],[Top Transverse Weld Groove Angle (degrees)]])-1,FALSE))</f>
        <v/>
      </c>
      <c r="AB157" s="629"/>
      <c r="AC157" s="629"/>
      <c r="AD157" s="629" t="str">
        <f>IF($B157="","",VLOOKUP($B157,Reinforcements[],COLUMN(Reinforcements[[#Headers],[Top Transverse Weld Fillet Size (in)]])-1,FALSE))</f>
        <v/>
      </c>
      <c r="AE157" s="629"/>
      <c r="AF157" s="629" t="str">
        <f>IF($B157="","",VLOOKUP($B157,Reinforcements[],COLUMN(Reinforcements[[#Headers],[Top Longitudinal Weld Length]])-1,FALSE))</f>
        <v/>
      </c>
      <c r="AG157" s="629"/>
      <c r="AH157" s="629"/>
      <c r="AI157" s="630" t="str">
        <f>IF($B157="","",VLOOKUP($B157,Reinforcements[],COLUMN(Reinforcements[[#Headers],[Top Longitudinal Weld Fillet Size (in)]])-1,FALSE))</f>
        <v/>
      </c>
      <c r="AJ157" s="630"/>
      <c r="AK157" s="631"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31"/>
      <c r="AM157" s="632"/>
    </row>
    <row r="158" spans="2:39" ht="12.75" hidden="1" customHeight="1" x14ac:dyDescent="0.2">
      <c r="B158" s="640"/>
      <c r="C158" s="641"/>
      <c r="D158" s="641"/>
      <c r="E158" s="641"/>
      <c r="F158" s="633" t="str">
        <f t="shared" ref="F158" si="18">IF($B157="","","Bottom")</f>
        <v/>
      </c>
      <c r="G158" s="634"/>
      <c r="H158" s="634" t="str">
        <f>IF($B157="","",VLOOKUP($B157,Reinforcements[],COLUMN(Reinforcements[[#Headers],['# of End Connection Bolts          (Bottom)]])-1,FALSE))</f>
        <v/>
      </c>
      <c r="I158" s="634"/>
      <c r="J158" s="634" t="str">
        <f>IF($B157="","",VLOOKUP($B157,Reinforcements[],COLUMN(Reinforcements[[#Headers],[Threads Included (N) or Excluded (X) (Bottom)]])-1,FALSE))</f>
        <v/>
      </c>
      <c r="K158" s="634"/>
      <c r="L158" s="634" t="str">
        <f>IF($B157="","",VLOOKUP($B157,Reinforcements[],COLUMN(Reinforcements[[#Headers],[End Connection Bolt Spacing (in) (B)]])-1,FALSE))</f>
        <v/>
      </c>
      <c r="M158" s="634"/>
      <c r="N158" s="634" t="str">
        <f>IF($B157="","",VLOOKUP($B157,Reinforcements[],COLUMN(Reinforcements[[#Headers],[End Connection Edge Distance (in) (B)]])-1,FALSE))</f>
        <v/>
      </c>
      <c r="O158" s="634"/>
      <c r="P158" s="634" t="str">
        <f>IF($B157="","",VLOOKUP($B157,Reinforcements[],COLUMN(Reinforcements[[#Headers],[Bottom Weld Grade (ksi)]])-1,FALSE))</f>
        <v/>
      </c>
      <c r="Q158" s="634"/>
      <c r="R158" s="634" t="str">
        <f>IF($B157="","",VLOOKUP($B157,Reinforcements[],COLUMN(Reinforcements[[#Headers],[Bottom Transverse (Horizontal) Weld]])-1,FALSE))</f>
        <v/>
      </c>
      <c r="S158" s="634"/>
      <c r="T158" s="634"/>
      <c r="U158" s="634" t="str">
        <f>IF($B157="","",VLOOKUP($B157,Reinforcements[],COLUMN(Reinforcements[[#Headers],[Bottom Transverse Weld Length]])-1,FALSE))</f>
        <v/>
      </c>
      <c r="V158" s="634"/>
      <c r="W158" s="634"/>
      <c r="X158" s="634" t="str">
        <f>IF($B157="","",VLOOKUP($B157,Reinforcements[],COLUMN(Reinforcements[[#Headers],[Bottom Transverse Weld Groove Depth (in)]])-1,FALSE))</f>
        <v/>
      </c>
      <c r="Y158" s="634"/>
      <c r="Z158" s="634"/>
      <c r="AA158" s="634" t="str">
        <f>IF($B157="","",VLOOKUP($B157,Reinforcements[],COLUMN(Reinforcements[[#Headers],[Bottom Transverse Weld Groove Angle (degrees)]])-1,FALSE))</f>
        <v/>
      </c>
      <c r="AB158" s="634"/>
      <c r="AC158" s="634"/>
      <c r="AD158" s="634" t="str">
        <f>IF($B157="","",VLOOKUP($B157,Reinforcements[],COLUMN(Reinforcements[[#Headers],[Bottom Transverse Weld Fillet Size (in)]])-1,FALSE))</f>
        <v/>
      </c>
      <c r="AE158" s="634"/>
      <c r="AF158" s="634" t="str">
        <f>IF($B157="","",VLOOKUP($B157,Reinforcements[],COLUMN(Reinforcements[[#Headers],[Bottom Longitudinal Weld Length]])-1,FALSE))</f>
        <v/>
      </c>
      <c r="AG158" s="634"/>
      <c r="AH158" s="634"/>
      <c r="AI158" s="635" t="str">
        <f>IF($B157="","",VLOOKUP($B157,Reinforcements[],COLUMN(Reinforcements[[#Headers],[Bottom Longitudinal Weld Fillet Size (in)]])-1,FALSE))</f>
        <v/>
      </c>
      <c r="AJ158" s="635"/>
      <c r="AK158" s="636"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36"/>
      <c r="AM158" s="637"/>
    </row>
    <row r="159" spans="2:39" ht="12.75" hidden="1" customHeight="1" x14ac:dyDescent="0.2">
      <c r="B159" s="638" t="str">
        <f>IF('Reinforcements'!B81="","",'Reinforcements'!B81)</f>
        <v/>
      </c>
      <c r="C159" s="639"/>
      <c r="D159" s="639"/>
      <c r="E159" s="639"/>
      <c r="F159" s="642" t="str">
        <f t="shared" ref="F159" si="19">IF($B159="","","Top")</f>
        <v/>
      </c>
      <c r="G159" s="629"/>
      <c r="H159" s="629" t="str">
        <f>IF($B159="","",VLOOKUP($B159,Reinforcements[],COLUMN(Reinforcements[[#Headers],['# of End Connection Bolts          (Top)]])-1,FALSE))</f>
        <v/>
      </c>
      <c r="I159" s="629"/>
      <c r="J159" s="629" t="str">
        <f>IF($B159="","",VLOOKUP($B159,Reinforcements[],COLUMN(Reinforcements[[#Headers],[Threads Included (N) or Excluded (X) (Top)]])-1,FALSE))</f>
        <v/>
      </c>
      <c r="K159" s="629"/>
      <c r="L159" s="629" t="str">
        <f>IF($B159="","",VLOOKUP($B159,Reinforcements[],COLUMN(Reinforcements[[#Headers],[End Connection Bolt Spacing (in) (T)]])-1,FALSE))</f>
        <v/>
      </c>
      <c r="M159" s="629"/>
      <c r="N159" s="629" t="str">
        <f>IF($B159="","",VLOOKUP($B159,Reinforcements[],COLUMN(Reinforcements[[#Headers],[End Connection Edge Distance (in) (T)]])-1,FALSE))</f>
        <v/>
      </c>
      <c r="O159" s="629"/>
      <c r="P159" s="629" t="str">
        <f>IF($B159="","",VLOOKUP($B159,Reinforcements[],COLUMN(Reinforcements[[#Headers],[Top Weld Grade (ksi)]])-1,FALSE))</f>
        <v/>
      </c>
      <c r="Q159" s="629"/>
      <c r="R159" s="629" t="str">
        <f>IF($B159="","",VLOOKUP($B159,Reinforcements[],COLUMN(Reinforcements[[#Headers],[Top Transverse (Horizontal) Weld]])-1,FALSE))</f>
        <v/>
      </c>
      <c r="S159" s="629"/>
      <c r="T159" s="629"/>
      <c r="U159" s="629" t="str">
        <f>IF($B159="","",VLOOKUP($B159,Reinforcements[],COLUMN(Reinforcements[[#Headers],[Top Transverse Weld Length]])-1,FALSE))</f>
        <v/>
      </c>
      <c r="V159" s="629"/>
      <c r="W159" s="629"/>
      <c r="X159" s="629" t="str">
        <f>IF($B159="","",VLOOKUP($B159,Reinforcements[],COLUMN(Reinforcements[[#Headers],[Top Transverse Weld Groove Depth (in)]])-1,FALSE))</f>
        <v/>
      </c>
      <c r="Y159" s="629"/>
      <c r="Z159" s="629"/>
      <c r="AA159" s="629" t="str">
        <f>IF($B159="","",VLOOKUP($B159,Reinforcements[],COLUMN(Reinforcements[[#Headers],[Top Transverse Weld Groove Angle (degrees)]])-1,FALSE))</f>
        <v/>
      </c>
      <c r="AB159" s="629"/>
      <c r="AC159" s="629"/>
      <c r="AD159" s="629" t="str">
        <f>IF($B159="","",VLOOKUP($B159,Reinforcements[],COLUMN(Reinforcements[[#Headers],[Top Transverse Weld Fillet Size (in)]])-1,FALSE))</f>
        <v/>
      </c>
      <c r="AE159" s="629"/>
      <c r="AF159" s="629" t="str">
        <f>IF($B159="","",VLOOKUP($B159,Reinforcements[],COLUMN(Reinforcements[[#Headers],[Top Longitudinal Weld Length]])-1,FALSE))</f>
        <v/>
      </c>
      <c r="AG159" s="629"/>
      <c r="AH159" s="629"/>
      <c r="AI159" s="630" t="str">
        <f>IF($B159="","",VLOOKUP($B159,Reinforcements[],COLUMN(Reinforcements[[#Headers],[Top Longitudinal Weld Fillet Size (in)]])-1,FALSE))</f>
        <v/>
      </c>
      <c r="AJ159" s="630"/>
      <c r="AK159" s="631"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31"/>
      <c r="AM159" s="632"/>
    </row>
    <row r="160" spans="2:39" ht="12.75" hidden="1" customHeight="1" x14ac:dyDescent="0.2">
      <c r="B160" s="640"/>
      <c r="C160" s="641"/>
      <c r="D160" s="641"/>
      <c r="E160" s="641"/>
      <c r="F160" s="633" t="str">
        <f t="shared" ref="F160" si="20">IF($B159="","","Bottom")</f>
        <v/>
      </c>
      <c r="G160" s="634"/>
      <c r="H160" s="634" t="str">
        <f>IF($B159="","",VLOOKUP($B159,Reinforcements[],COLUMN(Reinforcements[[#Headers],['# of End Connection Bolts          (Bottom)]])-1,FALSE))</f>
        <v/>
      </c>
      <c r="I160" s="634"/>
      <c r="J160" s="634" t="str">
        <f>IF($B159="","",VLOOKUP($B159,Reinforcements[],COLUMN(Reinforcements[[#Headers],[Threads Included (N) or Excluded (X) (Bottom)]])-1,FALSE))</f>
        <v/>
      </c>
      <c r="K160" s="634"/>
      <c r="L160" s="634" t="str">
        <f>IF($B159="","",VLOOKUP($B159,Reinforcements[],COLUMN(Reinforcements[[#Headers],[End Connection Bolt Spacing (in) (B)]])-1,FALSE))</f>
        <v/>
      </c>
      <c r="M160" s="634"/>
      <c r="N160" s="634" t="str">
        <f>IF($B159="","",VLOOKUP($B159,Reinforcements[],COLUMN(Reinforcements[[#Headers],[End Connection Edge Distance (in) (B)]])-1,FALSE))</f>
        <v/>
      </c>
      <c r="O160" s="634"/>
      <c r="P160" s="634" t="str">
        <f>IF($B159="","",VLOOKUP($B159,Reinforcements[],COLUMN(Reinforcements[[#Headers],[Bottom Weld Grade (ksi)]])-1,FALSE))</f>
        <v/>
      </c>
      <c r="Q160" s="634"/>
      <c r="R160" s="634" t="str">
        <f>IF($B159="","",VLOOKUP($B159,Reinforcements[],COLUMN(Reinforcements[[#Headers],[Bottom Transverse (Horizontal) Weld]])-1,FALSE))</f>
        <v/>
      </c>
      <c r="S160" s="634"/>
      <c r="T160" s="634"/>
      <c r="U160" s="634" t="str">
        <f>IF($B159="","",VLOOKUP($B159,Reinforcements[],COLUMN(Reinforcements[[#Headers],[Bottom Transverse Weld Length]])-1,FALSE))</f>
        <v/>
      </c>
      <c r="V160" s="634"/>
      <c r="W160" s="634"/>
      <c r="X160" s="634" t="str">
        <f>IF($B159="","",VLOOKUP($B159,Reinforcements[],COLUMN(Reinforcements[[#Headers],[Bottom Transverse Weld Groove Depth (in)]])-1,FALSE))</f>
        <v/>
      </c>
      <c r="Y160" s="634"/>
      <c r="Z160" s="634"/>
      <c r="AA160" s="634" t="str">
        <f>IF($B159="","",VLOOKUP($B159,Reinforcements[],COLUMN(Reinforcements[[#Headers],[Bottom Transverse Weld Groove Angle (degrees)]])-1,FALSE))</f>
        <v/>
      </c>
      <c r="AB160" s="634"/>
      <c r="AC160" s="634"/>
      <c r="AD160" s="634" t="str">
        <f>IF($B159="","",VLOOKUP($B159,Reinforcements[],COLUMN(Reinforcements[[#Headers],[Bottom Transverse Weld Fillet Size (in)]])-1,FALSE))</f>
        <v/>
      </c>
      <c r="AE160" s="634"/>
      <c r="AF160" s="634" t="str">
        <f>IF($B159="","",VLOOKUP($B159,Reinforcements[],COLUMN(Reinforcements[[#Headers],[Bottom Longitudinal Weld Length]])-1,FALSE))</f>
        <v/>
      </c>
      <c r="AG160" s="634"/>
      <c r="AH160" s="634"/>
      <c r="AI160" s="635" t="str">
        <f>IF($B159="","",VLOOKUP($B159,Reinforcements[],COLUMN(Reinforcements[[#Headers],[Bottom Longitudinal Weld Fillet Size (in)]])-1,FALSE))</f>
        <v/>
      </c>
      <c r="AJ160" s="635"/>
      <c r="AK160" s="636"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36"/>
      <c r="AM160" s="637"/>
    </row>
    <row r="161" spans="1:39" ht="12.75" hidden="1" customHeight="1" x14ac:dyDescent="0.2">
      <c r="B161" s="638" t="str">
        <f>IF('Reinforcements'!B82="","",'Reinforcements'!B82)</f>
        <v/>
      </c>
      <c r="C161" s="639"/>
      <c r="D161" s="639"/>
      <c r="E161" s="639"/>
      <c r="F161" s="642" t="str">
        <f t="shared" ref="F161:F163" si="21">IF($B161="","","Top")</f>
        <v/>
      </c>
      <c r="G161" s="629"/>
      <c r="H161" s="629" t="str">
        <f>IF($B161="","",VLOOKUP($B161,Reinforcements[],COLUMN(Reinforcements[[#Headers],['# of End Connection Bolts          (Top)]])-1,FALSE))</f>
        <v/>
      </c>
      <c r="I161" s="629"/>
      <c r="J161" s="629" t="str">
        <f>IF($B161="","",VLOOKUP($B161,Reinforcements[],COLUMN(Reinforcements[[#Headers],[Threads Included (N) or Excluded (X) (Top)]])-1,FALSE))</f>
        <v/>
      </c>
      <c r="K161" s="629"/>
      <c r="L161" s="629" t="str">
        <f>IF($B161="","",VLOOKUP($B161,Reinforcements[],COLUMN(Reinforcements[[#Headers],[End Connection Bolt Spacing (in) (T)]])-1,FALSE))</f>
        <v/>
      </c>
      <c r="M161" s="629"/>
      <c r="N161" s="629" t="str">
        <f>IF($B161="","",VLOOKUP($B161,Reinforcements[],COLUMN(Reinforcements[[#Headers],[End Connection Edge Distance (in) (T)]])-1,FALSE))</f>
        <v/>
      </c>
      <c r="O161" s="629"/>
      <c r="P161" s="629" t="str">
        <f>IF($B161="","",VLOOKUP($B161,Reinforcements[],COLUMN(Reinforcements[[#Headers],[Top Weld Grade (ksi)]])-1,FALSE))</f>
        <v/>
      </c>
      <c r="Q161" s="629"/>
      <c r="R161" s="629" t="str">
        <f>IF($B161="","",VLOOKUP($B161,Reinforcements[],COLUMN(Reinforcements[[#Headers],[Top Transverse (Horizontal) Weld]])-1,FALSE))</f>
        <v/>
      </c>
      <c r="S161" s="629"/>
      <c r="T161" s="629"/>
      <c r="U161" s="629" t="str">
        <f>IF($B161="","",VLOOKUP($B161,Reinforcements[],COLUMN(Reinforcements[[#Headers],[Top Transverse Weld Length]])-1,FALSE))</f>
        <v/>
      </c>
      <c r="V161" s="629"/>
      <c r="W161" s="629"/>
      <c r="X161" s="629" t="str">
        <f>IF($B161="","",VLOOKUP($B161,Reinforcements[],COLUMN(Reinforcements[[#Headers],[Top Transverse Weld Groove Depth (in)]])-1,FALSE))</f>
        <v/>
      </c>
      <c r="Y161" s="629"/>
      <c r="Z161" s="629"/>
      <c r="AA161" s="629" t="str">
        <f>IF($B161="","",VLOOKUP($B161,Reinforcements[],COLUMN(Reinforcements[[#Headers],[Top Transverse Weld Groove Angle (degrees)]])-1,FALSE))</f>
        <v/>
      </c>
      <c r="AB161" s="629"/>
      <c r="AC161" s="629"/>
      <c r="AD161" s="629" t="str">
        <f>IF($B161="","",VLOOKUP($B161,Reinforcements[],COLUMN(Reinforcements[[#Headers],[Top Transverse Weld Fillet Size (in)]])-1,FALSE))</f>
        <v/>
      </c>
      <c r="AE161" s="629"/>
      <c r="AF161" s="629" t="str">
        <f>IF($B161="","",VLOOKUP($B161,Reinforcements[],COLUMN(Reinforcements[[#Headers],[Top Longitudinal Weld Length]])-1,FALSE))</f>
        <v/>
      </c>
      <c r="AG161" s="629"/>
      <c r="AH161" s="629"/>
      <c r="AI161" s="630" t="str">
        <f>IF($B161="","",VLOOKUP($B161,Reinforcements[],COLUMN(Reinforcements[[#Headers],[Top Longitudinal Weld Fillet Size (in)]])-1,FALSE))</f>
        <v/>
      </c>
      <c r="AJ161" s="630"/>
      <c r="AK161" s="631"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31"/>
      <c r="AM161" s="632"/>
    </row>
    <row r="162" spans="1:39" ht="12.75" hidden="1" customHeight="1" x14ac:dyDescent="0.2">
      <c r="B162" s="640"/>
      <c r="C162" s="641"/>
      <c r="D162" s="641"/>
      <c r="E162" s="641"/>
      <c r="F162" s="633" t="str">
        <f t="shared" ref="F162" si="22">IF($B161="","","Bottom")</f>
        <v/>
      </c>
      <c r="G162" s="634"/>
      <c r="H162" s="634" t="str">
        <f>IF($B161="","",VLOOKUP($B161,Reinforcements[],COLUMN(Reinforcements[[#Headers],['# of End Connection Bolts          (Bottom)]])-1,FALSE))</f>
        <v/>
      </c>
      <c r="I162" s="634"/>
      <c r="J162" s="634" t="str">
        <f>IF($B161="","",VLOOKUP($B161,Reinforcements[],COLUMN(Reinforcements[[#Headers],[Threads Included (N) or Excluded (X) (Bottom)]])-1,FALSE))</f>
        <v/>
      </c>
      <c r="K162" s="634"/>
      <c r="L162" s="634" t="str">
        <f>IF($B161="","",VLOOKUP($B161,Reinforcements[],COLUMN(Reinforcements[[#Headers],[End Connection Bolt Spacing (in) (B)]])-1,FALSE))</f>
        <v/>
      </c>
      <c r="M162" s="634"/>
      <c r="N162" s="634" t="str">
        <f>IF($B161="","",VLOOKUP($B161,Reinforcements[],COLUMN(Reinforcements[[#Headers],[End Connection Edge Distance (in) (B)]])-1,FALSE))</f>
        <v/>
      </c>
      <c r="O162" s="634"/>
      <c r="P162" s="634" t="str">
        <f>IF($B161="","",VLOOKUP($B161,Reinforcements[],COLUMN(Reinforcements[[#Headers],[Bottom Weld Grade (ksi)]])-1,FALSE))</f>
        <v/>
      </c>
      <c r="Q162" s="634"/>
      <c r="R162" s="634" t="str">
        <f>IF($B161="","",VLOOKUP($B161,Reinforcements[],COLUMN(Reinforcements[[#Headers],[Bottom Transverse (Horizontal) Weld]])-1,FALSE))</f>
        <v/>
      </c>
      <c r="S162" s="634"/>
      <c r="T162" s="634"/>
      <c r="U162" s="634" t="str">
        <f>IF($B161="","",VLOOKUP($B161,Reinforcements[],COLUMN(Reinforcements[[#Headers],[Bottom Transverse Weld Length]])-1,FALSE))</f>
        <v/>
      </c>
      <c r="V162" s="634"/>
      <c r="W162" s="634"/>
      <c r="X162" s="634" t="str">
        <f>IF($B161="","",VLOOKUP($B161,Reinforcements[],COLUMN(Reinforcements[[#Headers],[Bottom Transverse Weld Groove Depth (in)]])-1,FALSE))</f>
        <v/>
      </c>
      <c r="Y162" s="634"/>
      <c r="Z162" s="634"/>
      <c r="AA162" s="634" t="str">
        <f>IF($B161="","",VLOOKUP($B161,Reinforcements[],COLUMN(Reinforcements[[#Headers],[Bottom Transverse Weld Groove Angle (degrees)]])-1,FALSE))</f>
        <v/>
      </c>
      <c r="AB162" s="634"/>
      <c r="AC162" s="634"/>
      <c r="AD162" s="634" t="str">
        <f>IF($B161="","",VLOOKUP($B161,Reinforcements[],COLUMN(Reinforcements[[#Headers],[Bottom Transverse Weld Fillet Size (in)]])-1,FALSE))</f>
        <v/>
      </c>
      <c r="AE162" s="634"/>
      <c r="AF162" s="634" t="str">
        <f>IF($B161="","",VLOOKUP($B161,Reinforcements[],COLUMN(Reinforcements[[#Headers],[Bottom Longitudinal Weld Length]])-1,FALSE))</f>
        <v/>
      </c>
      <c r="AG162" s="634"/>
      <c r="AH162" s="634"/>
      <c r="AI162" s="635" t="str">
        <f>IF($B161="","",VLOOKUP($B161,Reinforcements[],COLUMN(Reinforcements[[#Headers],[Bottom Longitudinal Weld Fillet Size (in)]])-1,FALSE))</f>
        <v/>
      </c>
      <c r="AJ162" s="635"/>
      <c r="AK162" s="636"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36"/>
      <c r="AM162" s="637"/>
    </row>
    <row r="163" spans="1:39" ht="12.75" hidden="1" customHeight="1" x14ac:dyDescent="0.2">
      <c r="B163" s="638" t="str">
        <f>IF('Reinforcements'!B83="","",'Reinforcements'!B83)</f>
        <v/>
      </c>
      <c r="C163" s="639"/>
      <c r="D163" s="639"/>
      <c r="E163" s="639"/>
      <c r="F163" s="642" t="str">
        <f t="shared" si="21"/>
        <v/>
      </c>
      <c r="G163" s="629"/>
      <c r="H163" s="629" t="str">
        <f>IF($B163="","",VLOOKUP($B163,Reinforcements[],COLUMN(Reinforcements[[#Headers],['# of End Connection Bolts          (Top)]])-1,FALSE))</f>
        <v/>
      </c>
      <c r="I163" s="629"/>
      <c r="J163" s="629" t="str">
        <f>IF($B163="","",VLOOKUP($B163,Reinforcements[],COLUMN(Reinforcements[[#Headers],[Threads Included (N) or Excluded (X) (Top)]])-1,FALSE))</f>
        <v/>
      </c>
      <c r="K163" s="629"/>
      <c r="L163" s="629" t="str">
        <f>IF($B163="","",VLOOKUP($B163,Reinforcements[],COLUMN(Reinforcements[[#Headers],[End Connection Bolt Spacing (in) (T)]])-1,FALSE))</f>
        <v/>
      </c>
      <c r="M163" s="629"/>
      <c r="N163" s="629" t="str">
        <f>IF($B163="","",VLOOKUP($B163,Reinforcements[],COLUMN(Reinforcements[[#Headers],[End Connection Edge Distance (in) (T)]])-1,FALSE))</f>
        <v/>
      </c>
      <c r="O163" s="629"/>
      <c r="P163" s="629" t="str">
        <f>IF($B163="","",VLOOKUP($B163,Reinforcements[],COLUMN(Reinforcements[[#Headers],[Top Weld Grade (ksi)]])-1,FALSE))</f>
        <v/>
      </c>
      <c r="Q163" s="629"/>
      <c r="R163" s="629" t="str">
        <f>IF($B163="","",VLOOKUP($B163,Reinforcements[],COLUMN(Reinforcements[[#Headers],[Top Transverse (Horizontal) Weld]])-1,FALSE))</f>
        <v/>
      </c>
      <c r="S163" s="629"/>
      <c r="T163" s="629"/>
      <c r="U163" s="629" t="str">
        <f>IF($B163="","",VLOOKUP($B163,Reinforcements[],COLUMN(Reinforcements[[#Headers],[Top Transverse Weld Length]])-1,FALSE))</f>
        <v/>
      </c>
      <c r="V163" s="629"/>
      <c r="W163" s="629"/>
      <c r="X163" s="629" t="str">
        <f>IF($B163="","",VLOOKUP($B163,Reinforcements[],COLUMN(Reinforcements[[#Headers],[Top Transverse Weld Groove Depth (in)]])-1,FALSE))</f>
        <v/>
      </c>
      <c r="Y163" s="629"/>
      <c r="Z163" s="629"/>
      <c r="AA163" s="629" t="str">
        <f>IF($B163="","",VLOOKUP($B163,Reinforcements[],COLUMN(Reinforcements[[#Headers],[Top Transverse Weld Groove Angle (degrees)]])-1,FALSE))</f>
        <v/>
      </c>
      <c r="AB163" s="629"/>
      <c r="AC163" s="629"/>
      <c r="AD163" s="629" t="str">
        <f>IF($B163="","",VLOOKUP($B163,Reinforcements[],COLUMN(Reinforcements[[#Headers],[Top Transverse Weld Fillet Size (in)]])-1,FALSE))</f>
        <v/>
      </c>
      <c r="AE163" s="629"/>
      <c r="AF163" s="629" t="str">
        <f>IF($B163="","",VLOOKUP($B163,Reinforcements[],COLUMN(Reinforcements[[#Headers],[Top Longitudinal Weld Length]])-1,FALSE))</f>
        <v/>
      </c>
      <c r="AG163" s="629"/>
      <c r="AH163" s="629"/>
      <c r="AI163" s="630" t="str">
        <f>IF($B163="","",VLOOKUP($B163,Reinforcements[],COLUMN(Reinforcements[[#Headers],[Top Longitudinal Weld Fillet Size (in)]])-1,FALSE))</f>
        <v/>
      </c>
      <c r="AJ163" s="630"/>
      <c r="AK163" s="631"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31"/>
      <c r="AM163" s="632"/>
    </row>
    <row r="164" spans="1:39" ht="12.75" hidden="1" customHeight="1" x14ac:dyDescent="0.2">
      <c r="A164" s="62">
        <f>COUNTIF(B119:B164,"")-23</f>
        <v>23</v>
      </c>
      <c r="B164" s="640"/>
      <c r="C164" s="641"/>
      <c r="D164" s="641"/>
      <c r="E164" s="641"/>
      <c r="F164" s="633" t="str">
        <f t="shared" ref="F164" si="23">IF($B163="","","Bottom")</f>
        <v/>
      </c>
      <c r="G164" s="634"/>
      <c r="H164" s="634" t="str">
        <f>IF($B163="","",VLOOKUP($B163,Reinforcements[],COLUMN(Reinforcements[[#Headers],['# of End Connection Bolts          (Bottom)]])-1,FALSE))</f>
        <v/>
      </c>
      <c r="I164" s="634"/>
      <c r="J164" s="634" t="str">
        <f>IF($B163="","",VLOOKUP($B163,Reinforcements[],COLUMN(Reinforcements[[#Headers],[Threads Included (N) or Excluded (X) (Bottom)]])-1,FALSE))</f>
        <v/>
      </c>
      <c r="K164" s="634"/>
      <c r="L164" s="634" t="str">
        <f>IF($B163="","",VLOOKUP($B163,Reinforcements[],COLUMN(Reinforcements[[#Headers],[End Connection Bolt Spacing (in) (B)]])-1,FALSE))</f>
        <v/>
      </c>
      <c r="M164" s="634"/>
      <c r="N164" s="634" t="str">
        <f>IF($B163="","",VLOOKUP($B163,Reinforcements[],COLUMN(Reinforcements[[#Headers],[End Connection Edge Distance (in) (B)]])-1,FALSE))</f>
        <v/>
      </c>
      <c r="O164" s="634"/>
      <c r="P164" s="634" t="str">
        <f>IF($B163="","",VLOOKUP($B163,Reinforcements[],COLUMN(Reinforcements[[#Headers],[Bottom Weld Grade (ksi)]])-1,FALSE))</f>
        <v/>
      </c>
      <c r="Q164" s="634"/>
      <c r="R164" s="634" t="str">
        <f>IF($B163="","",VLOOKUP($B163,Reinforcements[],COLUMN(Reinforcements[[#Headers],[Bottom Transverse (Horizontal) Weld]])-1,FALSE))</f>
        <v/>
      </c>
      <c r="S164" s="634"/>
      <c r="T164" s="634"/>
      <c r="U164" s="634" t="str">
        <f>IF($B163="","",VLOOKUP($B163,Reinforcements[],COLUMN(Reinforcements[[#Headers],[Bottom Transverse Weld Length]])-1,FALSE))</f>
        <v/>
      </c>
      <c r="V164" s="634"/>
      <c r="W164" s="634"/>
      <c r="X164" s="634" t="str">
        <f>IF($B163="","",VLOOKUP($B163,Reinforcements[],COLUMN(Reinforcements[[#Headers],[Bottom Transverse Weld Groove Depth (in)]])-1,FALSE))</f>
        <v/>
      </c>
      <c r="Y164" s="634"/>
      <c r="Z164" s="634"/>
      <c r="AA164" s="634" t="str">
        <f>IF($B163="","",VLOOKUP($B163,Reinforcements[],COLUMN(Reinforcements[[#Headers],[Bottom Transverse Weld Groove Angle (degrees)]])-1,FALSE))</f>
        <v/>
      </c>
      <c r="AB164" s="634"/>
      <c r="AC164" s="634"/>
      <c r="AD164" s="634" t="str">
        <f>IF($B163="","",VLOOKUP($B163,Reinforcements[],COLUMN(Reinforcements[[#Headers],[Bottom Transverse Weld Fillet Size (in)]])-1,FALSE))</f>
        <v/>
      </c>
      <c r="AE164" s="634"/>
      <c r="AF164" s="634" t="str">
        <f>IF($B163="","",VLOOKUP($B163,Reinforcements[],COLUMN(Reinforcements[[#Headers],[Bottom Longitudinal Weld Length]])-1,FALSE))</f>
        <v/>
      </c>
      <c r="AG164" s="634"/>
      <c r="AH164" s="634"/>
      <c r="AI164" s="635" t="str">
        <f>IF($B163="","",VLOOKUP($B163,Reinforcements[],COLUMN(Reinforcements[[#Headers],[Bottom Longitudinal Weld Fillet Size (in)]])-1,FALSE))</f>
        <v/>
      </c>
      <c r="AJ164" s="635"/>
      <c r="AK164" s="636"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36"/>
      <c r="AM164" s="637"/>
    </row>
    <row r="173" spans="1:39" x14ac:dyDescent="0.2">
      <c r="T173" s="66" t="s">
        <v>973</v>
      </c>
    </row>
  </sheetData>
  <sheetProtection algorithmName="SHA-512" hashValue="ZBbk454zhnSzxNXwn2sEnMjgelk5kI5HTsOpvc/X+djB65GxckMOZEUPjKM0iAp7slO6caZHVV4t3teWvCKCGQ==" saltValue="VSAueNuPzUf9UJyC1Ke1Pg=="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48" priority="74" stopIfTrue="1">
      <formula>AND(U$20="")</formula>
    </cfRule>
  </conditionalFormatting>
  <conditionalFormatting sqref="C85:C114 E85:E114 G85:G114 I85:I114 Q85:Q114 AI85:AI114 AF85:AF114 AD85:AD114 Y85:Y114 AB85:AB114 L85:L114 T85:T114 L119">
    <cfRule type="containsErrors" dxfId="447" priority="73">
      <formula>ISERROR(C85)</formula>
    </cfRule>
  </conditionalFormatting>
  <conditionalFormatting sqref="AI85:AI114">
    <cfRule type="cellIs" dxfId="446" priority="72" operator="equal">
      <formula>0</formula>
    </cfRule>
  </conditionalFormatting>
  <conditionalFormatting sqref="C115">
    <cfRule type="containsErrors" dxfId="445" priority="67">
      <formula>ISERROR(C115)</formula>
    </cfRule>
  </conditionalFormatting>
  <conditionalFormatting sqref="U52:AF81">
    <cfRule type="expression" dxfId="444" priority="45" stopIfTrue="1">
      <formula>AND(U52&lt;&gt;"")</formula>
    </cfRule>
  </conditionalFormatting>
  <conditionalFormatting sqref="U52:AF81">
    <cfRule type="expression" dxfId="443" priority="44" stopIfTrue="1">
      <formula>AND(U$20="")</formula>
    </cfRule>
  </conditionalFormatting>
  <conditionalFormatting sqref="AG52:AL81">
    <cfRule type="expression" dxfId="442" priority="43" stopIfTrue="1">
      <formula>AND(AG52&lt;&gt;"")</formula>
    </cfRule>
  </conditionalFormatting>
  <conditionalFormatting sqref="AG52:AL81">
    <cfRule type="expression" dxfId="441" priority="42" stopIfTrue="1">
      <formula>AND(AG$20="")</formula>
    </cfRule>
  </conditionalFormatting>
  <conditionalFormatting sqref="U21:AL50">
    <cfRule type="expression" dxfId="440" priority="38">
      <formula>AND(U$20="")</formula>
    </cfRule>
    <cfRule type="expression" dxfId="439" priority="39">
      <formula>AND(U21&lt;&gt;"")</formula>
    </cfRule>
  </conditionalFormatting>
  <conditionalFormatting sqref="L120">
    <cfRule type="containsErrors" dxfId="438" priority="37">
      <formula>ISERROR(L120)</formula>
    </cfRule>
  </conditionalFormatting>
  <conditionalFormatting sqref="AA119">
    <cfRule type="containsErrors" dxfId="437" priority="29">
      <formula>ISERROR(AA119)</formula>
    </cfRule>
  </conditionalFormatting>
  <conditionalFormatting sqref="AA120">
    <cfRule type="containsErrors" dxfId="436" priority="27">
      <formula>ISERROR(AA120)</formula>
    </cfRule>
  </conditionalFormatting>
  <conditionalFormatting sqref="AI119">
    <cfRule type="containsErrors" dxfId="435" priority="24">
      <formula>ISERROR(AI119)</formula>
    </cfRule>
  </conditionalFormatting>
  <conditionalFormatting sqref="AI120">
    <cfRule type="containsErrors" dxfId="434" priority="23">
      <formula>ISERROR(AI120)</formula>
    </cfRule>
  </conditionalFormatting>
  <conditionalFormatting sqref="AF119">
    <cfRule type="containsErrors" dxfId="433" priority="22">
      <formula>ISERROR(AF119)</formula>
    </cfRule>
  </conditionalFormatting>
  <conditionalFormatting sqref="AF120">
    <cfRule type="containsErrors" dxfId="432" priority="21">
      <formula>ISERROR(AF120)</formula>
    </cfRule>
  </conditionalFormatting>
  <conditionalFormatting sqref="L121 L123 L125 L127 L129 L131 L133 L135 L137 L139 L141 L143 L145 L147 L149 L151 L153 L155 L157 L159 L161 L163">
    <cfRule type="containsErrors" dxfId="431" priority="8">
      <formula>ISERROR(L121)</formula>
    </cfRule>
  </conditionalFormatting>
  <conditionalFormatting sqref="L122 L124 L126 L128 L130 L132 L134 L136 L138 L140 L142 L144 L146 L148 L150 L152 L154 L156 L158 L160 L162 L164">
    <cfRule type="containsErrors" dxfId="430" priority="7">
      <formula>ISERROR(L122)</formula>
    </cfRule>
  </conditionalFormatting>
  <conditionalFormatting sqref="AA121 AA123 AA125 AA127 AA129 AA131 AA133 AA135 AA137 AA139 AA141 AA143 AA145 AA147 AA149 AA151 AA153 AA155 AA157 AA159 AA161 AA163">
    <cfRule type="containsErrors" dxfId="429" priority="6">
      <formula>ISERROR(AA121)</formula>
    </cfRule>
  </conditionalFormatting>
  <conditionalFormatting sqref="AA122 AA124 AA126 AA128 AA130 AA132 AA134 AA136 AA138 AA140 AA142 AA144 AA146 AA148 AA150 AA152 AA154 AA156 AA158 AA160 AA162 AA164">
    <cfRule type="containsErrors" dxfId="428" priority="5">
      <formula>ISERROR(AA122)</formula>
    </cfRule>
  </conditionalFormatting>
  <conditionalFormatting sqref="AI121 AI123 AI125 AI127 AI129 AI131 AI133 AI135 AI137 AI139 AI141 AI143 AI145 AI147 AI149 AI151 AI153 AI155 AI157 AI159 AI161 AI163">
    <cfRule type="containsErrors" dxfId="427" priority="4">
      <formula>ISERROR(AI121)</formula>
    </cfRule>
  </conditionalFormatting>
  <conditionalFormatting sqref="AI122 AI124 AI126 AI128 AI130 AI132 AI134 AI136 AI138 AI140 AI142 AI144 AI146 AI148 AI150 AI152 AI154 AI156 AI158 AI160 AI162 AI164">
    <cfRule type="containsErrors" dxfId="426" priority="3">
      <formula>ISERROR(AI122)</formula>
    </cfRule>
  </conditionalFormatting>
  <conditionalFormatting sqref="AF121 AF123 AF125 AF127 AF129 AF131 AF133 AF135 AF137 AF139 AF141 AF143 AF145 AF147 AF149 AF151 AF153 AF155 AF157 AF159 AF161 AF163">
    <cfRule type="containsErrors" dxfId="425" priority="2">
      <formula>ISERROR(AF121)</formula>
    </cfRule>
  </conditionalFormatting>
  <conditionalFormatting sqref="AF122 AF124 AF126 AF128 AF130 AF132 AF134 AF136 AF138 AF140 AF142 AF144 AF146 AF148 AF150 AF152 AF154 AF156 AF158 AF160 AF162 AF164">
    <cfRule type="containsErrors" dxfId="424"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45" t="str">
        <f>IF('Macro References'!$A$20=TRUE,'Macro References'!C22,"")</f>
        <v/>
      </c>
      <c r="D2" s="745"/>
      <c r="E2" s="745"/>
      <c r="F2" s="745"/>
      <c r="G2" s="745"/>
      <c r="H2" s="745"/>
      <c r="I2" s="745"/>
      <c r="J2" s="745"/>
      <c r="K2" s="745"/>
      <c r="L2" s="749" t="str">
        <f>IF('Macro References'!$A$20=TRUE,'Macro References'!C21,"")</f>
        <v>TNX Geometry Input</v>
      </c>
      <c r="M2" s="749"/>
      <c r="N2" s="749"/>
      <c r="O2" s="749"/>
      <c r="P2" s="749"/>
      <c r="Q2" s="749"/>
      <c r="R2" s="749"/>
      <c r="S2" s="749"/>
      <c r="T2" s="749"/>
      <c r="U2" s="749"/>
      <c r="V2" s="749"/>
      <c r="W2" s="749"/>
      <c r="X2" s="749"/>
      <c r="Y2" s="749"/>
      <c r="Z2" s="749"/>
      <c r="AA2" s="749"/>
      <c r="AB2" s="749"/>
      <c r="AC2" s="749"/>
      <c r="AD2" s="749"/>
      <c r="AE2" s="749"/>
      <c r="AF2" s="749"/>
      <c r="AG2" s="749"/>
      <c r="AH2" s="749"/>
      <c r="AI2" s="749"/>
      <c r="AJ2" s="749"/>
      <c r="AK2" s="749"/>
      <c r="AL2" s="749"/>
      <c r="AM2" s="749"/>
      <c r="AN2" s="749"/>
      <c r="AO2" s="749"/>
      <c r="AP2" s="749"/>
      <c r="AQ2" s="749"/>
      <c r="AR2" s="749"/>
      <c r="AS2" s="749"/>
      <c r="AT2" s="749"/>
      <c r="AU2" s="749"/>
      <c r="AV2" s="749"/>
      <c r="AW2" s="749"/>
      <c r="AX2" s="749"/>
      <c r="AY2" s="38"/>
      <c r="AZ2" s="745" t="str">
        <f>IF('Macro References'!$A$20=TRUE,'Macro References'!C23,"")</f>
        <v>Analysis Results</v>
      </c>
      <c r="BA2" s="745"/>
      <c r="BB2" s="745"/>
      <c r="BC2" s="745"/>
      <c r="BD2" s="745"/>
      <c r="BE2" s="745"/>
      <c r="BF2" s="745"/>
      <c r="BG2" s="745"/>
      <c r="BH2" s="745"/>
      <c r="BI2" s="745"/>
      <c r="BJ2" s="745"/>
      <c r="BK2" s="745"/>
      <c r="BL2" s="745"/>
      <c r="BM2" s="745"/>
      <c r="BN2" s="745"/>
      <c r="BO2" s="745"/>
      <c r="BP2" s="745"/>
      <c r="BQ2" s="745"/>
      <c r="BR2" s="745"/>
      <c r="BS2" s="745"/>
      <c r="BT2" s="745"/>
      <c r="BU2" s="38"/>
      <c r="BV2" s="66"/>
      <c r="BW2"/>
      <c r="BX2"/>
      <c r="BY2"/>
      <c r="BZ2" s="66"/>
      <c r="CA2"/>
      <c r="CB2"/>
      <c r="CC2"/>
      <c r="CD2"/>
      <c r="CE2"/>
      <c r="CF2"/>
      <c r="CG2"/>
      <c r="CH2"/>
      <c r="CI2"/>
      <c r="CJ2"/>
      <c r="CK2"/>
      <c r="CL2"/>
      <c r="CM2"/>
      <c r="CN2" s="813" t="str">
        <f>IF('Macro References'!$A$20=TRUE,'Macro References'!C24,"")</f>
        <v>Additional Calculations</v>
      </c>
      <c r="CO2" s="813"/>
      <c r="CP2" s="813"/>
      <c r="CQ2" s="813"/>
      <c r="CR2" s="813"/>
      <c r="CS2" s="813"/>
      <c r="CT2" s="813"/>
      <c r="CU2" s="813"/>
      <c r="CV2" s="813"/>
      <c r="CW2" s="813"/>
      <c r="CX2" s="813"/>
      <c r="CY2" s="813"/>
      <c r="CZ2" s="813"/>
      <c r="DA2" s="813"/>
      <c r="DB2" s="813"/>
      <c r="DC2" s="813"/>
      <c r="DD2" s="813"/>
      <c r="DE2" s="813"/>
      <c r="DF2" s="813"/>
      <c r="DG2" s="813"/>
      <c r="DH2" s="813"/>
      <c r="DI2" s="813"/>
      <c r="DJ2" s="813"/>
      <c r="DK2" s="813"/>
      <c r="DL2" s="813"/>
      <c r="DM2" s="813"/>
      <c r="DN2" s="813"/>
      <c r="DO2" s="813"/>
      <c r="DP2" s="813"/>
      <c r="DQ2" s="813"/>
      <c r="DR2" s="813"/>
      <c r="DS2" s="813"/>
      <c r="DT2" s="813"/>
      <c r="DU2" s="813"/>
      <c r="DV2" s="813"/>
      <c r="DW2" s="813"/>
      <c r="DX2" s="813"/>
      <c r="DY2" s="813"/>
      <c r="DZ2" s="813"/>
      <c r="EA2" s="813"/>
      <c r="EB2" s="813"/>
      <c r="EC2" s="813"/>
      <c r="ED2" s="813"/>
      <c r="EE2" s="813"/>
      <c r="EF2" s="813"/>
      <c r="EG2" s="813"/>
      <c r="EH2" s="813"/>
      <c r="EI2" s="813"/>
      <c r="EJ2" s="813"/>
      <c r="EK2" s="813"/>
      <c r="EL2" s="813"/>
      <c r="EM2" s="813"/>
      <c r="EN2" s="813"/>
      <c r="EO2" s="813"/>
      <c r="EP2" s="813"/>
      <c r="EQ2" s="813"/>
      <c r="ER2" s="813"/>
      <c r="ES2" s="813"/>
      <c r="ET2" s="813"/>
      <c r="EU2" s="813"/>
      <c r="EV2" s="813"/>
      <c r="EW2" s="813"/>
      <c r="EX2" s="813"/>
      <c r="EY2" s="813"/>
      <c r="EZ2" s="813"/>
      <c r="FA2" s="813"/>
      <c r="FB2" s="813"/>
      <c r="FC2" s="813"/>
      <c r="FD2" s="813"/>
      <c r="FE2" s="813"/>
      <c r="FF2" s="813"/>
      <c r="FG2" s="813"/>
      <c r="FH2" s="813"/>
      <c r="FI2" s="813"/>
      <c r="FJ2" s="813"/>
      <c r="FK2" s="813"/>
      <c r="FL2" s="813"/>
      <c r="FM2" s="813"/>
      <c r="FN2" s="813"/>
      <c r="FO2" s="813"/>
    </row>
    <row r="3" spans="2:177" ht="21" customHeight="1" thickBot="1" x14ac:dyDescent="0.3">
      <c r="C3" s="770" t="s">
        <v>97</v>
      </c>
      <c r="D3" s="770"/>
      <c r="E3" s="770"/>
      <c r="F3" s="770"/>
      <c r="G3" s="61">
        <v>5</v>
      </c>
      <c r="I3" s="760" t="s">
        <v>65</v>
      </c>
      <c r="J3" s="761"/>
      <c r="K3" s="762"/>
      <c r="BV3" s="25">
        <f>COLUMN(BV2)</f>
        <v>74</v>
      </c>
      <c r="CM3" s="25">
        <f>COLUMN(CM2)</f>
        <v>91</v>
      </c>
      <c r="CN3" s="814" t="s">
        <v>201</v>
      </c>
      <c r="CO3" s="740" t="s">
        <v>191</v>
      </c>
      <c r="CP3" s="741"/>
      <c r="CQ3" s="741"/>
      <c r="CR3" s="741"/>
      <c r="CS3" s="741"/>
      <c r="CT3" s="741"/>
      <c r="CU3" s="741"/>
      <c r="CV3" s="741"/>
      <c r="CW3" s="742"/>
      <c r="CX3" s="743" t="s">
        <v>192</v>
      </c>
      <c r="CY3" s="741"/>
      <c r="CZ3" s="741"/>
      <c r="DA3" s="741"/>
      <c r="DB3" s="741"/>
      <c r="DC3" s="741"/>
      <c r="DD3" s="741"/>
      <c r="DE3" s="741"/>
      <c r="DF3" s="741"/>
      <c r="DG3" s="810" t="str">
        <f>"% Capacity"&amp;IF(AND(Rev="H",Calculations!$F$27=TRUE),"*","")</f>
        <v>% Capacity*</v>
      </c>
      <c r="DH3" s="811"/>
      <c r="DI3" s="811"/>
      <c r="DJ3" s="811"/>
      <c r="DK3" s="811"/>
      <c r="DL3" s="811"/>
      <c r="DM3" s="811"/>
      <c r="DN3" s="811"/>
      <c r="DO3" s="811"/>
      <c r="DP3" s="811"/>
      <c r="DQ3" s="811"/>
      <c r="DR3" s="811"/>
      <c r="DS3" s="811"/>
      <c r="DT3" s="811"/>
      <c r="DU3" s="811"/>
      <c r="DV3" s="811"/>
      <c r="DW3" s="811"/>
      <c r="DX3" s="811"/>
      <c r="DY3" s="811"/>
      <c r="DZ3" s="811"/>
      <c r="EA3" s="811"/>
      <c r="EB3" s="811"/>
      <c r="EC3" s="811"/>
      <c r="ED3" s="811"/>
      <c r="EE3" s="811"/>
      <c r="EF3" s="811"/>
      <c r="EG3" s="811"/>
      <c r="EH3" s="811"/>
      <c r="EI3" s="811"/>
      <c r="EJ3" s="811"/>
      <c r="EK3" s="811"/>
      <c r="EL3" s="810" t="s">
        <v>381</v>
      </c>
      <c r="EM3" s="811"/>
      <c r="EN3" s="811"/>
      <c r="EO3" s="811"/>
      <c r="EP3" s="811"/>
      <c r="EQ3" s="811"/>
      <c r="ER3" s="811"/>
      <c r="ES3" s="811"/>
      <c r="ET3" s="811"/>
      <c r="EU3" s="811"/>
      <c r="EV3" s="811"/>
      <c r="EW3" s="811"/>
      <c r="EX3" s="811"/>
      <c r="EY3" s="811"/>
      <c r="EZ3" s="811"/>
      <c r="FA3" s="811"/>
      <c r="FB3" s="811"/>
      <c r="FC3" s="811"/>
      <c r="FD3" s="811"/>
      <c r="FE3" s="811"/>
      <c r="FF3" s="811"/>
      <c r="FG3" s="811"/>
      <c r="FH3" s="811"/>
      <c r="FI3" s="811"/>
      <c r="FJ3" s="811"/>
      <c r="FK3" s="811"/>
      <c r="FL3" s="811"/>
      <c r="FM3" s="811"/>
      <c r="FN3" s="811"/>
      <c r="FO3" s="812"/>
      <c r="FP3" s="135"/>
      <c r="FQ3" s="719" t="s">
        <v>348</v>
      </c>
      <c r="FR3" s="720"/>
      <c r="FS3" s="721"/>
      <c r="FU3" s="69" t="b">
        <v>0</v>
      </c>
    </row>
    <row r="4" spans="2:177" ht="30" customHeight="1" thickBot="1" x14ac:dyDescent="0.3">
      <c r="C4" s="3"/>
      <c r="D4" s="751" t="s">
        <v>210</v>
      </c>
      <c r="E4" s="751"/>
      <c r="F4" s="751"/>
      <c r="G4" s="751"/>
      <c r="H4" s="751"/>
      <c r="I4" s="31" t="s">
        <v>126</v>
      </c>
      <c r="J4" s="31" t="s">
        <v>124</v>
      </c>
      <c r="K4" s="32" t="s">
        <v>125</v>
      </c>
      <c r="L4" s="763" t="s">
        <v>1</v>
      </c>
      <c r="M4" s="764"/>
      <c r="N4" s="764"/>
      <c r="O4" s="765"/>
      <c r="P4" s="751" t="s">
        <v>11</v>
      </c>
      <c r="Q4" s="751"/>
      <c r="R4" s="751"/>
      <c r="S4" s="751"/>
      <c r="T4" s="751" t="s">
        <v>2</v>
      </c>
      <c r="U4" s="751"/>
      <c r="V4" s="751"/>
      <c r="W4" s="751"/>
      <c r="X4" s="751" t="s">
        <v>3</v>
      </c>
      <c r="Y4" s="751"/>
      <c r="Z4" s="751"/>
      <c r="AA4" s="751"/>
      <c r="AB4" s="754" t="s">
        <v>66</v>
      </c>
      <c r="AC4" s="755"/>
      <c r="AD4" s="755"/>
      <c r="AE4" s="756"/>
      <c r="AF4" s="751" t="s">
        <v>4</v>
      </c>
      <c r="AG4" s="751"/>
      <c r="AH4" s="751"/>
      <c r="AI4" s="751"/>
      <c r="AJ4" s="754" t="s">
        <v>122</v>
      </c>
      <c r="AK4" s="755"/>
      <c r="AL4" s="755"/>
      <c r="AM4" s="756"/>
      <c r="AN4" s="751" t="s">
        <v>5</v>
      </c>
      <c r="AO4" s="751"/>
      <c r="AP4" s="751"/>
      <c r="AQ4" s="751"/>
      <c r="AR4" s="751" t="s">
        <v>10</v>
      </c>
      <c r="AS4" s="751"/>
      <c r="AT4" s="751"/>
      <c r="AU4" s="754"/>
      <c r="AV4" s="750" t="s">
        <v>121</v>
      </c>
      <c r="AW4" s="751"/>
      <c r="AX4" s="751"/>
      <c r="AZ4" s="788" t="s">
        <v>7</v>
      </c>
      <c r="BA4" s="789"/>
      <c r="BB4" s="789"/>
      <c r="BC4" s="790"/>
      <c r="BD4" s="783" t="s">
        <v>71</v>
      </c>
      <c r="BE4" s="783"/>
      <c r="BF4" s="783"/>
      <c r="BG4" s="784" t="s">
        <v>72</v>
      </c>
      <c r="BH4" s="784"/>
      <c r="BI4" s="784"/>
      <c r="BJ4" s="784"/>
      <c r="BK4" s="784"/>
      <c r="BL4" s="784" t="s">
        <v>73</v>
      </c>
      <c r="BM4" s="784"/>
      <c r="BN4" s="784"/>
      <c r="BO4" s="784"/>
      <c r="BP4" s="783" t="s">
        <v>6</v>
      </c>
      <c r="BQ4" s="783"/>
      <c r="BR4" s="784" t="s">
        <v>8</v>
      </c>
      <c r="BS4" s="784"/>
      <c r="BT4" s="784"/>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15"/>
      <c r="CO4" s="737" t="s">
        <v>165</v>
      </c>
      <c r="CP4" s="737"/>
      <c r="CQ4" s="738"/>
      <c r="CR4" s="736" t="s">
        <v>180</v>
      </c>
      <c r="CS4" s="737"/>
      <c r="CT4" s="738"/>
      <c r="CU4" s="736" t="s">
        <v>134</v>
      </c>
      <c r="CV4" s="737"/>
      <c r="CW4" s="739"/>
      <c r="CX4" s="805" t="s">
        <v>165</v>
      </c>
      <c r="CY4" s="737"/>
      <c r="CZ4" s="738"/>
      <c r="DA4" s="736" t="s">
        <v>180</v>
      </c>
      <c r="DB4" s="737"/>
      <c r="DC4" s="738"/>
      <c r="DD4" s="736" t="s">
        <v>134</v>
      </c>
      <c r="DE4" s="737"/>
      <c r="DF4" s="739"/>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6" t="str">
        <f>Ht</f>
        <v/>
      </c>
      <c r="E5" s="767"/>
      <c r="F5" s="17" t="str">
        <f>IF(D5="","","-")</f>
        <v/>
      </c>
      <c r="G5" s="768"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9"/>
      <c r="I5" s="228"/>
      <c r="J5" s="228"/>
      <c r="K5" s="228"/>
      <c r="L5" s="717" t="str">
        <f t="shared" ref="L5:L36" si="0">IF(D5="","",D5-G5+IF(P5="",0,P5))</f>
        <v/>
      </c>
      <c r="M5" s="717"/>
      <c r="N5" s="717"/>
      <c r="O5" s="717"/>
      <c r="P5" s="717" t="str">
        <f>IF(OR(G5=0,G5=""),"",IF(VLOOKUP(G5,'Geometry 2'!$C$4:$AI$14,1,TRUE)=VLOOKUP(G6,'Geometry 2'!$C$4:$AI$14,1,TRUE),"",IF(VLOOKUP(G5,'Geometry 2'!$C$4:$AI$14,33,TRUE)&lt;&gt;"n/a",MIN(G5,VLOOKUP(G5,'Geometry 2'!$C$4:$AI$14,1,TRUE))-VLOOKUP(G5,'Geometry 2'!$C$4:$AI$14,33,TRUE),"check")))</f>
        <v/>
      </c>
      <c r="Q5" s="717"/>
      <c r="R5" s="717"/>
      <c r="S5" s="717"/>
      <c r="T5" s="717" t="str">
        <f>IF($G5="","",VLOOKUP($G5,'Geometry 2'!$E$4:$AH$14,11,TRUE))</f>
        <v/>
      </c>
      <c r="U5" s="717"/>
      <c r="V5" s="717"/>
      <c r="W5" s="717"/>
      <c r="X5" s="716" t="str">
        <f>IF($G5="","",VLOOKUP($G5,'Geometry 2'!$E$4:$AJ$14,19,TRUE)-12*VLOOKUP($G5,'Geometry 2'!$E$4:$AJ$14,32,TRUE)*($D5-VLOOKUP($G5,'Geometry 2'!$E$5:$AH$14,1,TRUE)))</f>
        <v/>
      </c>
      <c r="Y5" s="716"/>
      <c r="Z5" s="716"/>
      <c r="AA5" s="716"/>
      <c r="AB5" s="757" t="str">
        <f>IF($G5="","",VLOOKUP($G5,'Geometry 2'!$E$4:$AJ$14,19,TRUE)-12*VLOOKUP($G5,'Geometry 2'!$E$4:$AJ$14,32,TRUE)*($G5-VLOOKUP($G5,'Geometry 2'!$E$5:$AH$14,1,TRUE)))</f>
        <v/>
      </c>
      <c r="AC5" s="758"/>
      <c r="AD5" s="758"/>
      <c r="AE5" s="759"/>
      <c r="AF5" s="716" t="str">
        <f>IF($G5="","",VLOOKUP($G5,'Geometry 2'!$E$4:$AJ$14,19,TRUE)-12*VLOOKUP($G5,'Geometry 2'!$E$4:$AJ$14,32,TRUE)*($G5-IF($P5="",0,$P5)-VLOOKUP($G5,'Geometry 2'!$E$5:$AH$14,1,TRUE)))</f>
        <v/>
      </c>
      <c r="AG5" s="716"/>
      <c r="AH5" s="716"/>
      <c r="AI5" s="716"/>
      <c r="AJ5" s="746" t="str">
        <f>IF($G5="","",VLOOKUP($G5,'Geometry 2'!$E$4:$AH$14,23,TRUE))</f>
        <v/>
      </c>
      <c r="AK5" s="747"/>
      <c r="AL5" s="747"/>
      <c r="AM5" s="748"/>
      <c r="AN5" s="717"/>
      <c r="AO5" s="717"/>
      <c r="AP5" s="717"/>
      <c r="AQ5" s="717"/>
      <c r="AR5" s="717" t="str">
        <f>IF($G5="","",VLOOKUP($G5,'Geometry 2'!$E$4:$AH$14,27,TRUE))</f>
        <v/>
      </c>
      <c r="AS5" s="717"/>
      <c r="AT5" s="717"/>
      <c r="AU5" s="718"/>
      <c r="AV5" s="715"/>
      <c r="AW5" s="716"/>
      <c r="AX5" s="716"/>
      <c r="AZ5" s="787" t="str">
        <f>IF(G5="","",CONCATENATE(ROUND(D5,2)," ",F5," ",ROUND(G5,2)))</f>
        <v/>
      </c>
      <c r="BA5" s="787"/>
      <c r="BB5" s="787"/>
      <c r="BC5" s="787"/>
      <c r="BD5" s="787"/>
      <c r="BE5" s="787"/>
      <c r="BF5" s="787"/>
      <c r="BG5" s="722" t="str">
        <f t="shared" ref="BG5:BG22" si="1">IF(AZ5="","","TP"&amp;ROUND(AF5,3)&amp;"x"&amp;ROUND(X5,3)&amp;"x"&amp;ROUND(AN5,4))</f>
        <v/>
      </c>
      <c r="BH5" s="723"/>
      <c r="BI5" s="723"/>
      <c r="BJ5" s="723"/>
      <c r="BK5" s="724"/>
      <c r="BL5" s="787"/>
      <c r="BM5" s="787"/>
      <c r="BN5" s="787"/>
      <c r="BO5" s="787"/>
      <c r="BP5" s="785"/>
      <c r="BQ5" s="786"/>
      <c r="BR5" s="787" t="str">
        <f>IF(BP5="","",IF(OR(AND(Rev="H",Calculations!$F$27=TRUE),AND(Rev&lt;&gt;"H",Calculations!$F$30=TRUE)),IF(BP5&lt;=1,"Pass","Fail"),IF(BP5&lt;=1.05,"Pass","Fail")))</f>
        <v/>
      </c>
      <c r="BS5" s="787"/>
      <c r="BT5" s="78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98"/>
      <c r="CP5" s="799"/>
      <c r="CQ5" s="800"/>
      <c r="CR5" s="798"/>
      <c r="CS5" s="799"/>
      <c r="CT5" s="800"/>
      <c r="CU5" s="801" t="str">
        <f>IF(CO5="","",IF(CR5="n/a",CO5,CO5+CR5))</f>
        <v/>
      </c>
      <c r="CV5" s="802"/>
      <c r="CW5" s="802"/>
      <c r="CX5" s="803"/>
      <c r="CY5" s="803"/>
      <c r="CZ5" s="804"/>
      <c r="DA5" s="726"/>
      <c r="DB5" s="727"/>
      <c r="DC5" s="732"/>
      <c r="DD5" s="726" t="str">
        <f>IF(CX5="","",IF(DA5="n/a",CX5,CX5+DA5))</f>
        <v/>
      </c>
      <c r="DE5" s="727"/>
      <c r="DF5" s="728"/>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6" t="str">
        <f>IF(OR(G5=0,G5=""),"",G5)</f>
        <v/>
      </c>
      <c r="E6" s="767"/>
      <c r="F6" s="17" t="str">
        <f t="shared" ref="F6:F69" si="2">IF(D6="","","-")</f>
        <v/>
      </c>
      <c r="G6" s="768"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9"/>
      <c r="I6" s="228"/>
      <c r="J6" s="228"/>
      <c r="K6" s="228"/>
      <c r="L6" s="717" t="str">
        <f t="shared" si="0"/>
        <v/>
      </c>
      <c r="M6" s="717"/>
      <c r="N6" s="717"/>
      <c r="O6" s="717"/>
      <c r="P6" s="717" t="str">
        <f>IF(OR(G6=0,G6=""),"",IF(VLOOKUP(G6,'Geometry 2'!$C$4:$AI$14,1,TRUE)=VLOOKUP(G7,'Geometry 2'!$C$4:$AI$14,1,TRUE),"",IF(VLOOKUP(G6,'Geometry 2'!$C$4:$AI$14,33,TRUE)&lt;&gt;"n/a",MIN(G6,VLOOKUP(G6,'Geometry 2'!$C$4:$AI$14,1,TRUE))-VLOOKUP(G6,'Geometry 2'!$C$4:$AI$14,33,TRUE),"check")))</f>
        <v/>
      </c>
      <c r="Q6" s="717"/>
      <c r="R6" s="717"/>
      <c r="S6" s="717"/>
      <c r="T6" s="717" t="str">
        <f>IF($G6="","",VLOOKUP($G6,'Geometry 2'!$E$4:$AH$14,11,TRUE))</f>
        <v/>
      </c>
      <c r="U6" s="717"/>
      <c r="V6" s="717"/>
      <c r="W6" s="717"/>
      <c r="X6" s="716" t="str">
        <f>IF($G6="","",VLOOKUP($G6,'Geometry 2'!$E$4:$AJ$14,19,TRUE)-12*VLOOKUP($G6,'Geometry 2'!$E$4:$AJ$14,32,TRUE)*($D6-VLOOKUP($G6,'Geometry 2'!$E$5:$AH$14,1,TRUE)))</f>
        <v/>
      </c>
      <c r="Y6" s="716"/>
      <c r="Z6" s="716"/>
      <c r="AA6" s="716"/>
      <c r="AB6" s="757" t="str">
        <f>IF($G6="","",VLOOKUP($G6,'Geometry 2'!$E$4:$AJ$14,19,TRUE)-12*VLOOKUP($G6,'Geometry 2'!$E$4:$AJ$14,32,TRUE)*($G6-VLOOKUP($G6,'Geometry 2'!$E$5:$AH$14,1,TRUE)))</f>
        <v/>
      </c>
      <c r="AC6" s="758"/>
      <c r="AD6" s="758"/>
      <c r="AE6" s="759"/>
      <c r="AF6" s="716" t="str">
        <f>IF($G6="","",VLOOKUP($G6,'Geometry 2'!$E$4:$AJ$14,19,TRUE)-12*VLOOKUP($G6,'Geometry 2'!$E$4:$AJ$14,32,TRUE)*($G6-IF($P6="",0,$P6)-VLOOKUP($G6,'Geometry 2'!$E$5:$AH$14,1,TRUE)))</f>
        <v/>
      </c>
      <c r="AG6" s="716"/>
      <c r="AH6" s="716"/>
      <c r="AI6" s="716"/>
      <c r="AJ6" s="746" t="str">
        <f>IF($G6="","",VLOOKUP($G6,'Geometry 2'!$E$4:$AH$14,23,TRUE))</f>
        <v/>
      </c>
      <c r="AK6" s="747"/>
      <c r="AL6" s="747"/>
      <c r="AM6" s="748"/>
      <c r="AN6" s="717"/>
      <c r="AO6" s="717"/>
      <c r="AP6" s="717"/>
      <c r="AQ6" s="717"/>
      <c r="AR6" s="717" t="str">
        <f>IF($G6="","",VLOOKUP($G6,'Geometry 2'!$E$4:$AH$14,27,TRUE))</f>
        <v/>
      </c>
      <c r="AS6" s="717"/>
      <c r="AT6" s="717"/>
      <c r="AU6" s="718"/>
      <c r="AV6" s="715"/>
      <c r="AW6" s="716"/>
      <c r="AX6" s="716"/>
      <c r="AZ6" s="722" t="str">
        <f>IF(G6="","",CONCATENATE(ROUND(D6,2)," ",F6," ",ROUND(G6,2)))</f>
        <v/>
      </c>
      <c r="BA6" s="723"/>
      <c r="BB6" s="723"/>
      <c r="BC6" s="724"/>
      <c r="BD6" s="722"/>
      <c r="BE6" s="723"/>
      <c r="BF6" s="723"/>
      <c r="BG6" s="722" t="str">
        <f t="shared" si="1"/>
        <v/>
      </c>
      <c r="BH6" s="723"/>
      <c r="BI6" s="723"/>
      <c r="BJ6" s="723"/>
      <c r="BK6" s="724"/>
      <c r="BL6" s="722"/>
      <c r="BM6" s="723"/>
      <c r="BN6" s="723"/>
      <c r="BO6" s="723"/>
      <c r="BP6" s="725"/>
      <c r="BQ6" s="725"/>
      <c r="BR6" s="722" t="str">
        <f>IF(BP6="","",IF(OR(AND(Rev="H",Calculations!$F$27=TRUE),AND(Rev&lt;&gt;"H",Calculations!$F$30=TRUE)),IF(BP6&lt;=1,"Pass","Fail"),IF(BP6&lt;=1.05,"Pass","Fail")))</f>
        <v/>
      </c>
      <c r="BS6" s="723"/>
      <c r="BT6" s="724"/>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91"/>
      <c r="CP6" s="792"/>
      <c r="CQ6" s="793"/>
      <c r="CR6" s="791"/>
      <c r="CS6" s="792"/>
      <c r="CT6" s="793"/>
      <c r="CU6" s="794" t="str">
        <f>IF(CO6="","",IF(CR6="n/a",CO6,CO6+CR6))</f>
        <v/>
      </c>
      <c r="CV6" s="795"/>
      <c r="CW6" s="795"/>
      <c r="CX6" s="796"/>
      <c r="CY6" s="796"/>
      <c r="CZ6" s="797"/>
      <c r="DA6" s="733"/>
      <c r="DB6" s="734"/>
      <c r="DC6" s="735"/>
      <c r="DD6" s="729" t="str">
        <f>IF(CX6="","",IF(DA6="n/a",CX6,CX6+DA6))</f>
        <v/>
      </c>
      <c r="DE6" s="730"/>
      <c r="DF6" s="731"/>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6" t="str">
        <f t="shared" ref="D7:D70" si="4">IF(OR(G6=0,G6=""),"",G6)</f>
        <v/>
      </c>
      <c r="E7" s="767"/>
      <c r="F7" s="17" t="str">
        <f t="shared" si="2"/>
        <v/>
      </c>
      <c r="G7" s="768"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9"/>
      <c r="I7" s="228"/>
      <c r="J7" s="228"/>
      <c r="K7" s="228"/>
      <c r="L7" s="717" t="str">
        <f t="shared" si="0"/>
        <v/>
      </c>
      <c r="M7" s="717"/>
      <c r="N7" s="717"/>
      <c r="O7" s="717"/>
      <c r="P7" s="717" t="str">
        <f>IF(OR(G7=0,G7=""),"",IF(VLOOKUP(G7,'Geometry 2'!$C$4:$AI$14,1,TRUE)=VLOOKUP(G8,'Geometry 2'!$C$4:$AI$14,1,TRUE),"",IF(VLOOKUP(G7,'Geometry 2'!$C$4:$AI$14,33,TRUE)&lt;&gt;"n/a",MIN(G7,VLOOKUP(G7,'Geometry 2'!$C$4:$AI$14,1,TRUE))-VLOOKUP(G7,'Geometry 2'!$C$4:$AI$14,33,TRUE),"check")))</f>
        <v/>
      </c>
      <c r="Q7" s="717"/>
      <c r="R7" s="717"/>
      <c r="S7" s="717"/>
      <c r="T7" s="717" t="str">
        <f>IF($G7="","",VLOOKUP($G7,'Geometry 2'!$E$4:$AH$14,11,TRUE))</f>
        <v/>
      </c>
      <c r="U7" s="717"/>
      <c r="V7" s="717"/>
      <c r="W7" s="717"/>
      <c r="X7" s="716" t="str">
        <f>IF($G7="","",VLOOKUP($G7,'Geometry 2'!$E$4:$AJ$14,19,TRUE)-12*VLOOKUP($G7,'Geometry 2'!$E$4:$AJ$14,32,TRUE)*($D7-VLOOKUP($G7,'Geometry 2'!$E$5:$AH$14,1,TRUE)))</f>
        <v/>
      </c>
      <c r="Y7" s="716"/>
      <c r="Z7" s="716"/>
      <c r="AA7" s="716"/>
      <c r="AB7" s="757" t="str">
        <f>IF($G7="","",VLOOKUP($G7,'Geometry 2'!$E$4:$AJ$14,19,TRUE)-12*VLOOKUP($G7,'Geometry 2'!$E$4:$AJ$14,32,TRUE)*($G7-VLOOKUP($G7,'Geometry 2'!$E$5:$AH$14,1,TRUE)))</f>
        <v/>
      </c>
      <c r="AC7" s="758"/>
      <c r="AD7" s="758"/>
      <c r="AE7" s="759"/>
      <c r="AF7" s="716" t="str">
        <f>IF($G7="","",VLOOKUP($G7,'Geometry 2'!$E$4:$AJ$14,19,TRUE)-12*VLOOKUP($G7,'Geometry 2'!$E$4:$AJ$14,32,TRUE)*($G7-IF($P7="",0,$P7)-VLOOKUP($G7,'Geometry 2'!$E$5:$AH$14,1,TRUE)))</f>
        <v/>
      </c>
      <c r="AG7" s="716"/>
      <c r="AH7" s="716"/>
      <c r="AI7" s="716"/>
      <c r="AJ7" s="746" t="str">
        <f>IF($G7="","",VLOOKUP($G7,'Geometry 2'!$E$4:$AH$14,23,TRUE))</f>
        <v/>
      </c>
      <c r="AK7" s="747"/>
      <c r="AL7" s="747"/>
      <c r="AM7" s="748"/>
      <c r="AN7" s="717"/>
      <c r="AO7" s="717"/>
      <c r="AP7" s="717"/>
      <c r="AQ7" s="717"/>
      <c r="AR7" s="717" t="str">
        <f>IF($G7="","",VLOOKUP($G7,'Geometry 2'!$E$4:$AH$14,27,TRUE))</f>
        <v/>
      </c>
      <c r="AS7" s="717"/>
      <c r="AT7" s="717"/>
      <c r="AU7" s="718"/>
      <c r="AV7" s="715"/>
      <c r="AW7" s="716"/>
      <c r="AX7" s="716"/>
      <c r="AZ7" s="722" t="str">
        <f t="shared" ref="AZ7:AZ70" si="5">IF(G7="","",CONCATENATE(ROUND(D7,2)," ",F7," ",ROUND(G7,2)))</f>
        <v/>
      </c>
      <c r="BA7" s="723"/>
      <c r="BB7" s="723"/>
      <c r="BC7" s="724"/>
      <c r="BD7" s="722"/>
      <c r="BE7" s="723"/>
      <c r="BF7" s="723"/>
      <c r="BG7" s="722" t="str">
        <f t="shared" si="1"/>
        <v/>
      </c>
      <c r="BH7" s="723"/>
      <c r="BI7" s="723"/>
      <c r="BJ7" s="723"/>
      <c r="BK7" s="724"/>
      <c r="BL7" s="722"/>
      <c r="BM7" s="723"/>
      <c r="BN7" s="723"/>
      <c r="BO7" s="723"/>
      <c r="BP7" s="725"/>
      <c r="BQ7" s="725"/>
      <c r="BR7" s="722" t="str">
        <f>IF(BP7="","",IF(OR(AND(Rev="H",Calculations!$F$27=TRUE),AND(Rev&lt;&gt;"H",Calculations!$F$30=TRUE)),IF(BP7&lt;=1,"Pass","Fail"),IF(BP7&lt;=1.05,"Pass","Fail")))</f>
        <v/>
      </c>
      <c r="BS7" s="723"/>
      <c r="BT7" s="724"/>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98"/>
      <c r="CP7" s="799"/>
      <c r="CQ7" s="800"/>
      <c r="CR7" s="798"/>
      <c r="CS7" s="799"/>
      <c r="CT7" s="800"/>
      <c r="CU7" s="801" t="str">
        <f t="shared" ref="CU7:CU70" si="7">IF(CO7="","",IF(CR7="n/a",CO7,CO7+CR7))</f>
        <v/>
      </c>
      <c r="CV7" s="802"/>
      <c r="CW7" s="802"/>
      <c r="CX7" s="803"/>
      <c r="CY7" s="803"/>
      <c r="CZ7" s="804"/>
      <c r="DA7" s="726"/>
      <c r="DB7" s="727"/>
      <c r="DC7" s="732"/>
      <c r="DD7" s="726" t="str">
        <f t="shared" ref="DD7:DD70" si="8">IF(CX7="","",IF(DA7="n/a",CX7,CX7+DA7))</f>
        <v/>
      </c>
      <c r="DE7" s="727"/>
      <c r="DF7" s="728"/>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6" t="str">
        <f t="shared" si="4"/>
        <v/>
      </c>
      <c r="E8" s="767"/>
      <c r="F8" s="17" t="str">
        <f t="shared" si="2"/>
        <v/>
      </c>
      <c r="G8" s="768"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9"/>
      <c r="I8" s="228"/>
      <c r="J8" s="228"/>
      <c r="K8" s="228"/>
      <c r="L8" s="717" t="str">
        <f t="shared" si="0"/>
        <v/>
      </c>
      <c r="M8" s="717"/>
      <c r="N8" s="717"/>
      <c r="O8" s="717"/>
      <c r="P8" s="717" t="str">
        <f>IF(OR(G8=0,G8=""),"",IF(VLOOKUP(G8,'Geometry 2'!$C$4:$AI$14,1,TRUE)=VLOOKUP(G9,'Geometry 2'!$C$4:$AI$14,1,TRUE),"",IF(VLOOKUP(G8,'Geometry 2'!$C$4:$AI$14,33,TRUE)&lt;&gt;"n/a",MIN(G8,VLOOKUP(G8,'Geometry 2'!$C$4:$AI$14,1,TRUE))-VLOOKUP(G8,'Geometry 2'!$C$4:$AI$14,33,TRUE),"check")))</f>
        <v/>
      </c>
      <c r="Q8" s="717"/>
      <c r="R8" s="717"/>
      <c r="S8" s="717"/>
      <c r="T8" s="717" t="str">
        <f>IF($G8="","",VLOOKUP($G8,'Geometry 2'!$E$4:$AH$14,11,TRUE))</f>
        <v/>
      </c>
      <c r="U8" s="717"/>
      <c r="V8" s="717"/>
      <c r="W8" s="717"/>
      <c r="X8" s="716" t="str">
        <f>IF($G8="","",VLOOKUP($G8,'Geometry 2'!$E$4:$AJ$14,19,TRUE)-12*VLOOKUP($G8,'Geometry 2'!$E$4:$AJ$14,32,TRUE)*($D8-VLOOKUP($G8,'Geometry 2'!$E$5:$AH$14,1,TRUE)))</f>
        <v/>
      </c>
      <c r="Y8" s="716"/>
      <c r="Z8" s="716"/>
      <c r="AA8" s="716"/>
      <c r="AB8" s="757" t="str">
        <f>IF($G8="","",VLOOKUP($G8,'Geometry 2'!$E$4:$AJ$14,19,TRUE)-12*VLOOKUP($G8,'Geometry 2'!$E$4:$AJ$14,32,TRUE)*($G8-VLOOKUP($G8,'Geometry 2'!$E$5:$AH$14,1,TRUE)))</f>
        <v/>
      </c>
      <c r="AC8" s="758"/>
      <c r="AD8" s="758"/>
      <c r="AE8" s="759"/>
      <c r="AF8" s="716" t="str">
        <f>IF($G8="","",VLOOKUP($G8,'Geometry 2'!$E$4:$AJ$14,19,TRUE)-12*VLOOKUP($G8,'Geometry 2'!$E$4:$AJ$14,32,TRUE)*($G8-IF($P8="",0,$P8)-VLOOKUP($G8,'Geometry 2'!$E$5:$AH$14,1,TRUE)))</f>
        <v/>
      </c>
      <c r="AG8" s="716"/>
      <c r="AH8" s="716"/>
      <c r="AI8" s="716"/>
      <c r="AJ8" s="746" t="str">
        <f>IF($G8="","",VLOOKUP($G8,'Geometry 2'!$E$4:$AH$14,23,TRUE))</f>
        <v/>
      </c>
      <c r="AK8" s="747"/>
      <c r="AL8" s="747"/>
      <c r="AM8" s="748"/>
      <c r="AN8" s="717"/>
      <c r="AO8" s="717"/>
      <c r="AP8" s="717"/>
      <c r="AQ8" s="717"/>
      <c r="AR8" s="717" t="str">
        <f>IF($G8="","",VLOOKUP($G8,'Geometry 2'!$E$4:$AH$14,27,TRUE))</f>
        <v/>
      </c>
      <c r="AS8" s="717"/>
      <c r="AT8" s="717"/>
      <c r="AU8" s="718"/>
      <c r="AV8" s="715"/>
      <c r="AW8" s="716"/>
      <c r="AX8" s="716"/>
      <c r="AZ8" s="722" t="str">
        <f t="shared" si="5"/>
        <v/>
      </c>
      <c r="BA8" s="723"/>
      <c r="BB8" s="723"/>
      <c r="BC8" s="724"/>
      <c r="BD8" s="722"/>
      <c r="BE8" s="723"/>
      <c r="BF8" s="723"/>
      <c r="BG8" s="722" t="str">
        <f t="shared" si="1"/>
        <v/>
      </c>
      <c r="BH8" s="723"/>
      <c r="BI8" s="723"/>
      <c r="BJ8" s="723"/>
      <c r="BK8" s="724"/>
      <c r="BL8" s="722"/>
      <c r="BM8" s="723"/>
      <c r="BN8" s="723"/>
      <c r="BO8" s="723"/>
      <c r="BP8" s="725"/>
      <c r="BQ8" s="725"/>
      <c r="BR8" s="722" t="str">
        <f>IF(BP8="","",IF(OR(AND(Rev="H",Calculations!$F$27=TRUE),AND(Rev&lt;&gt;"H",Calculations!$F$30=TRUE)),IF(BP8&lt;=1,"Pass","Fail"),IF(BP8&lt;=1.05,"Pass","Fail")))</f>
        <v/>
      </c>
      <c r="BS8" s="723"/>
      <c r="BT8" s="724"/>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91"/>
      <c r="CP8" s="792"/>
      <c r="CQ8" s="793"/>
      <c r="CR8" s="791"/>
      <c r="CS8" s="792"/>
      <c r="CT8" s="793"/>
      <c r="CU8" s="794" t="str">
        <f t="shared" si="7"/>
        <v/>
      </c>
      <c r="CV8" s="795"/>
      <c r="CW8" s="795"/>
      <c r="CX8" s="796"/>
      <c r="CY8" s="796"/>
      <c r="CZ8" s="797"/>
      <c r="DA8" s="733"/>
      <c r="DB8" s="734"/>
      <c r="DC8" s="735"/>
      <c r="DD8" s="729" t="str">
        <f t="shared" si="8"/>
        <v/>
      </c>
      <c r="DE8" s="730"/>
      <c r="DF8" s="731"/>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6" t="str">
        <f t="shared" si="4"/>
        <v/>
      </c>
      <c r="E9" s="767"/>
      <c r="F9" s="17" t="str">
        <f t="shared" si="2"/>
        <v/>
      </c>
      <c r="G9" s="768"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9"/>
      <c r="I9" s="228"/>
      <c r="J9" s="228"/>
      <c r="K9" s="228"/>
      <c r="L9" s="717" t="str">
        <f t="shared" si="0"/>
        <v/>
      </c>
      <c r="M9" s="717"/>
      <c r="N9" s="717"/>
      <c r="O9" s="717"/>
      <c r="P9" s="717" t="str">
        <f>IF(OR(G9=0,G9=""),"",IF(VLOOKUP(G9,'Geometry 2'!$C$4:$AI$14,1,TRUE)=VLOOKUP(G10,'Geometry 2'!$C$4:$AI$14,1,TRUE),"",IF(VLOOKUP(G9,'Geometry 2'!$C$4:$AI$14,33,TRUE)&lt;&gt;"n/a",MIN(G9,VLOOKUP(G9,'Geometry 2'!$C$4:$AI$14,1,TRUE))-VLOOKUP(G9,'Geometry 2'!$C$4:$AI$14,33,TRUE),"check")))</f>
        <v/>
      </c>
      <c r="Q9" s="717"/>
      <c r="R9" s="717"/>
      <c r="S9" s="717"/>
      <c r="T9" s="717" t="str">
        <f>IF($G9="","",VLOOKUP($G9,'Geometry 2'!$E$4:$AH$14,11,TRUE))</f>
        <v/>
      </c>
      <c r="U9" s="717"/>
      <c r="V9" s="717"/>
      <c r="W9" s="717"/>
      <c r="X9" s="716" t="str">
        <f>IF($G9="","",VLOOKUP($G9,'Geometry 2'!$E$4:$AJ$14,19,TRUE)-12*VLOOKUP($G9,'Geometry 2'!$E$4:$AJ$14,32,TRUE)*($D9-VLOOKUP($G9,'Geometry 2'!$E$5:$AH$14,1,TRUE)))</f>
        <v/>
      </c>
      <c r="Y9" s="716"/>
      <c r="Z9" s="716"/>
      <c r="AA9" s="716"/>
      <c r="AB9" s="757" t="str">
        <f>IF($G9="","",VLOOKUP($G9,'Geometry 2'!$E$4:$AJ$14,19,TRUE)-12*VLOOKUP($G9,'Geometry 2'!$E$4:$AJ$14,32,TRUE)*($G9-VLOOKUP($G9,'Geometry 2'!$E$5:$AH$14,1,TRUE)))</f>
        <v/>
      </c>
      <c r="AC9" s="758"/>
      <c r="AD9" s="758"/>
      <c r="AE9" s="759"/>
      <c r="AF9" s="716" t="str">
        <f>IF($G9="","",VLOOKUP($G9,'Geometry 2'!$E$4:$AJ$14,19,TRUE)-12*VLOOKUP($G9,'Geometry 2'!$E$4:$AJ$14,32,TRUE)*($G9-IF($P9="",0,$P9)-VLOOKUP($G9,'Geometry 2'!$E$5:$AH$14,1,TRUE)))</f>
        <v/>
      </c>
      <c r="AG9" s="716"/>
      <c r="AH9" s="716"/>
      <c r="AI9" s="716"/>
      <c r="AJ9" s="746" t="str">
        <f>IF($G9="","",VLOOKUP($G9,'Geometry 2'!$E$4:$AH$14,23,TRUE))</f>
        <v/>
      </c>
      <c r="AK9" s="747"/>
      <c r="AL9" s="747"/>
      <c r="AM9" s="748"/>
      <c r="AN9" s="717"/>
      <c r="AO9" s="717"/>
      <c r="AP9" s="717"/>
      <c r="AQ9" s="717"/>
      <c r="AR9" s="717" t="str">
        <f>IF($G9="","",VLOOKUP($G9,'Geometry 2'!$E$4:$AH$14,27,TRUE))</f>
        <v/>
      </c>
      <c r="AS9" s="717"/>
      <c r="AT9" s="717"/>
      <c r="AU9" s="718"/>
      <c r="AV9" s="715"/>
      <c r="AW9" s="716"/>
      <c r="AX9" s="716"/>
      <c r="AZ9" s="722" t="str">
        <f t="shared" si="5"/>
        <v/>
      </c>
      <c r="BA9" s="723"/>
      <c r="BB9" s="723"/>
      <c r="BC9" s="724"/>
      <c r="BD9" s="722"/>
      <c r="BE9" s="723"/>
      <c r="BF9" s="723"/>
      <c r="BG9" s="722" t="str">
        <f t="shared" si="1"/>
        <v/>
      </c>
      <c r="BH9" s="723"/>
      <c r="BI9" s="723"/>
      <c r="BJ9" s="723"/>
      <c r="BK9" s="724"/>
      <c r="BL9" s="722"/>
      <c r="BM9" s="723"/>
      <c r="BN9" s="723"/>
      <c r="BO9" s="723"/>
      <c r="BP9" s="725"/>
      <c r="BQ9" s="725"/>
      <c r="BR9" s="722" t="str">
        <f>IF(BP9="","",IF(OR(AND(Rev="H",Calculations!$F$27=TRUE),AND(Rev&lt;&gt;"H",Calculations!$F$30=TRUE)),IF(BP9&lt;=1,"Pass","Fail"),IF(BP9&lt;=1.05,"Pass","Fail")))</f>
        <v/>
      </c>
      <c r="BS9" s="723"/>
      <c r="BT9" s="724"/>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98"/>
      <c r="CP9" s="799"/>
      <c r="CQ9" s="800"/>
      <c r="CR9" s="798"/>
      <c r="CS9" s="799"/>
      <c r="CT9" s="800"/>
      <c r="CU9" s="801" t="str">
        <f t="shared" si="7"/>
        <v/>
      </c>
      <c r="CV9" s="802"/>
      <c r="CW9" s="802"/>
      <c r="CX9" s="803"/>
      <c r="CY9" s="803"/>
      <c r="CZ9" s="804"/>
      <c r="DA9" s="726"/>
      <c r="DB9" s="727"/>
      <c r="DC9" s="732"/>
      <c r="DD9" s="726" t="str">
        <f t="shared" si="8"/>
        <v/>
      </c>
      <c r="DE9" s="727"/>
      <c r="DF9" s="728"/>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6" t="str">
        <f>IF(OR(G9=0,G9=""),"",G9)</f>
        <v/>
      </c>
      <c r="E10" s="767"/>
      <c r="F10" s="17" t="str">
        <f t="shared" si="2"/>
        <v/>
      </c>
      <c r="G10" s="768"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9"/>
      <c r="I10" s="228"/>
      <c r="J10" s="228"/>
      <c r="K10" s="228"/>
      <c r="L10" s="717" t="str">
        <f t="shared" si="0"/>
        <v/>
      </c>
      <c r="M10" s="717"/>
      <c r="N10" s="717"/>
      <c r="O10" s="717"/>
      <c r="P10" s="717" t="str">
        <f>IF(OR(G10=0,G10=""),"",IF(VLOOKUP(G10,'Geometry 2'!$C$4:$AI$14,1,TRUE)=VLOOKUP(G11,'Geometry 2'!$C$4:$AI$14,1,TRUE),"",IF(VLOOKUP(G10,'Geometry 2'!$C$4:$AI$14,33,TRUE)&lt;&gt;"n/a",MIN(G10,VLOOKUP(G10,'Geometry 2'!$C$4:$AI$14,1,TRUE))-VLOOKUP(G10,'Geometry 2'!$C$4:$AI$14,33,TRUE),"check")))</f>
        <v/>
      </c>
      <c r="Q10" s="717"/>
      <c r="R10" s="717"/>
      <c r="S10" s="717"/>
      <c r="T10" s="717" t="str">
        <f>IF($G10="","",VLOOKUP($G10,'Geometry 2'!$E$4:$AH$14,11,TRUE))</f>
        <v/>
      </c>
      <c r="U10" s="717"/>
      <c r="V10" s="717"/>
      <c r="W10" s="717"/>
      <c r="X10" s="716" t="str">
        <f>IF($G10="","",VLOOKUP($G10,'Geometry 2'!$E$4:$AJ$14,19,TRUE)-12*VLOOKUP($G10,'Geometry 2'!$E$4:$AJ$14,32,TRUE)*($D10-VLOOKUP($G10,'Geometry 2'!$E$5:$AH$14,1,TRUE)))</f>
        <v/>
      </c>
      <c r="Y10" s="716"/>
      <c r="Z10" s="716"/>
      <c r="AA10" s="716"/>
      <c r="AB10" s="757" t="str">
        <f>IF($G10="","",VLOOKUP($G10,'Geometry 2'!$E$4:$AJ$14,19,TRUE)-12*VLOOKUP($G10,'Geometry 2'!$E$4:$AJ$14,32,TRUE)*($G10-VLOOKUP($G10,'Geometry 2'!$E$5:$AH$14,1,TRUE)))</f>
        <v/>
      </c>
      <c r="AC10" s="758"/>
      <c r="AD10" s="758"/>
      <c r="AE10" s="759"/>
      <c r="AF10" s="716" t="str">
        <f>IF($G10="","",VLOOKUP($G10,'Geometry 2'!$E$4:$AJ$14,19,TRUE)-12*VLOOKUP($G10,'Geometry 2'!$E$4:$AJ$14,32,TRUE)*($G10-IF($P10="",0,$P10)-VLOOKUP($G10,'Geometry 2'!$E$5:$AH$14,1,TRUE)))</f>
        <v/>
      </c>
      <c r="AG10" s="716"/>
      <c r="AH10" s="716"/>
      <c r="AI10" s="716"/>
      <c r="AJ10" s="746" t="str">
        <f>IF($G10="","",VLOOKUP($G10,'Geometry 2'!$E$4:$AH$14,23,TRUE))</f>
        <v/>
      </c>
      <c r="AK10" s="747"/>
      <c r="AL10" s="747"/>
      <c r="AM10" s="748"/>
      <c r="AN10" s="717"/>
      <c r="AO10" s="717"/>
      <c r="AP10" s="717"/>
      <c r="AQ10" s="717"/>
      <c r="AR10" s="717" t="str">
        <f>IF($G10="","",VLOOKUP($G10,'Geometry 2'!$E$4:$AH$14,27,TRUE))</f>
        <v/>
      </c>
      <c r="AS10" s="717"/>
      <c r="AT10" s="717"/>
      <c r="AU10" s="718"/>
      <c r="AV10" s="715"/>
      <c r="AW10" s="716"/>
      <c r="AX10" s="716"/>
      <c r="AZ10" s="722" t="str">
        <f t="shared" si="5"/>
        <v/>
      </c>
      <c r="BA10" s="723"/>
      <c r="BB10" s="723"/>
      <c r="BC10" s="724"/>
      <c r="BD10" s="722"/>
      <c r="BE10" s="723"/>
      <c r="BF10" s="723"/>
      <c r="BG10" s="722" t="str">
        <f t="shared" si="1"/>
        <v/>
      </c>
      <c r="BH10" s="723"/>
      <c r="BI10" s="723"/>
      <c r="BJ10" s="723"/>
      <c r="BK10" s="724"/>
      <c r="BL10" s="722"/>
      <c r="BM10" s="723"/>
      <c r="BN10" s="723"/>
      <c r="BO10" s="723"/>
      <c r="BP10" s="725"/>
      <c r="BQ10" s="725"/>
      <c r="BR10" s="722" t="str">
        <f>IF(BP10="","",IF(OR(AND(Rev="H",Calculations!$F$27=TRUE),AND(Rev&lt;&gt;"H",Calculations!$F$30=TRUE)),IF(BP10&lt;=1,"Pass","Fail"),IF(BP10&lt;=1.05,"Pass","Fail")))</f>
        <v/>
      </c>
      <c r="BS10" s="723"/>
      <c r="BT10" s="724"/>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91"/>
      <c r="CP10" s="792"/>
      <c r="CQ10" s="793"/>
      <c r="CR10" s="791"/>
      <c r="CS10" s="792"/>
      <c r="CT10" s="793"/>
      <c r="CU10" s="794" t="str">
        <f t="shared" si="7"/>
        <v/>
      </c>
      <c r="CV10" s="795"/>
      <c r="CW10" s="795"/>
      <c r="CX10" s="796"/>
      <c r="CY10" s="796"/>
      <c r="CZ10" s="797"/>
      <c r="DA10" s="733"/>
      <c r="DB10" s="734"/>
      <c r="DC10" s="735"/>
      <c r="DD10" s="729" t="str">
        <f t="shared" si="8"/>
        <v/>
      </c>
      <c r="DE10" s="730"/>
      <c r="DF10" s="731"/>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6" t="str">
        <f>IF(OR(G10=0,G10=""),"",G10)</f>
        <v/>
      </c>
      <c r="E11" s="767"/>
      <c r="F11" s="17" t="str">
        <f t="shared" si="2"/>
        <v/>
      </c>
      <c r="G11" s="768"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9"/>
      <c r="I11" s="228"/>
      <c r="J11" s="228"/>
      <c r="K11" s="228"/>
      <c r="L11" s="717" t="str">
        <f t="shared" si="0"/>
        <v/>
      </c>
      <c r="M11" s="717"/>
      <c r="N11" s="717"/>
      <c r="O11" s="717"/>
      <c r="P11" s="717" t="str">
        <f>IF(OR(G11=0,G11=""),"",IF(VLOOKUP(G11,'Geometry 2'!$C$4:$AI$14,1,TRUE)=VLOOKUP(G12,'Geometry 2'!$C$4:$AI$14,1,TRUE),"",IF(VLOOKUP(G11,'Geometry 2'!$C$4:$AI$14,33,TRUE)&lt;&gt;"n/a",MIN(G11,VLOOKUP(G11,'Geometry 2'!$C$4:$AI$14,1,TRUE))-VLOOKUP(G11,'Geometry 2'!$C$4:$AI$14,33,TRUE),"check")))</f>
        <v/>
      </c>
      <c r="Q11" s="717"/>
      <c r="R11" s="717"/>
      <c r="S11" s="717"/>
      <c r="T11" s="717" t="str">
        <f>IF($G11="","",VLOOKUP($G11,'Geometry 2'!$E$4:$AH$14,11,TRUE))</f>
        <v/>
      </c>
      <c r="U11" s="717"/>
      <c r="V11" s="717"/>
      <c r="W11" s="717"/>
      <c r="X11" s="716" t="str">
        <f>IF($G11="","",VLOOKUP($G11,'Geometry 2'!$E$4:$AJ$14,19,TRUE)-12*VLOOKUP($G11,'Geometry 2'!$E$4:$AJ$14,32,TRUE)*($D11-VLOOKUP($G11,'Geometry 2'!$E$5:$AH$14,1,TRUE)))</f>
        <v/>
      </c>
      <c r="Y11" s="716"/>
      <c r="Z11" s="716"/>
      <c r="AA11" s="716"/>
      <c r="AB11" s="757" t="str">
        <f>IF($G11="","",VLOOKUP($G11,'Geometry 2'!$E$4:$AJ$14,19,TRUE)-12*VLOOKUP($G11,'Geometry 2'!$E$4:$AJ$14,32,TRUE)*($G11-VLOOKUP($G11,'Geometry 2'!$E$5:$AH$14,1,TRUE)))</f>
        <v/>
      </c>
      <c r="AC11" s="758"/>
      <c r="AD11" s="758"/>
      <c r="AE11" s="759"/>
      <c r="AF11" s="716" t="str">
        <f>IF($G11="","",VLOOKUP($G11,'Geometry 2'!$E$4:$AJ$14,19,TRUE)-12*VLOOKUP($G11,'Geometry 2'!$E$4:$AJ$14,32,TRUE)*($G11-IF($P11="",0,$P11)-VLOOKUP($G11,'Geometry 2'!$E$5:$AH$14,1,TRUE)))</f>
        <v/>
      </c>
      <c r="AG11" s="716"/>
      <c r="AH11" s="716"/>
      <c r="AI11" s="716"/>
      <c r="AJ11" s="746" t="str">
        <f>IF($G11="","",VLOOKUP($G11,'Geometry 2'!$E$4:$AH$14,23,TRUE))</f>
        <v/>
      </c>
      <c r="AK11" s="747"/>
      <c r="AL11" s="747"/>
      <c r="AM11" s="748"/>
      <c r="AN11" s="717"/>
      <c r="AO11" s="717"/>
      <c r="AP11" s="717"/>
      <c r="AQ11" s="717"/>
      <c r="AR11" s="717" t="str">
        <f>IF($G11="","",VLOOKUP($G11,'Geometry 2'!$E$4:$AH$14,27,TRUE))</f>
        <v/>
      </c>
      <c r="AS11" s="717"/>
      <c r="AT11" s="717"/>
      <c r="AU11" s="718"/>
      <c r="AV11" s="715"/>
      <c r="AW11" s="716"/>
      <c r="AX11" s="716"/>
      <c r="AZ11" s="722" t="str">
        <f t="shared" si="5"/>
        <v/>
      </c>
      <c r="BA11" s="723"/>
      <c r="BB11" s="723"/>
      <c r="BC11" s="724"/>
      <c r="BD11" s="722"/>
      <c r="BE11" s="723"/>
      <c r="BF11" s="723"/>
      <c r="BG11" s="722" t="str">
        <f t="shared" si="1"/>
        <v/>
      </c>
      <c r="BH11" s="723"/>
      <c r="BI11" s="723"/>
      <c r="BJ11" s="723"/>
      <c r="BK11" s="724"/>
      <c r="BL11" s="722"/>
      <c r="BM11" s="723"/>
      <c r="BN11" s="723"/>
      <c r="BO11" s="723"/>
      <c r="BP11" s="725"/>
      <c r="BQ11" s="725"/>
      <c r="BR11" s="722" t="str">
        <f>IF(BP11="","",IF(OR(AND(Rev="H",Calculations!$F$27=TRUE),AND(Rev&lt;&gt;"H",Calculations!$F$30=TRUE)),IF(BP11&lt;=1,"Pass","Fail"),IF(BP11&lt;=1.05,"Pass","Fail")))</f>
        <v/>
      </c>
      <c r="BS11" s="723"/>
      <c r="BT11" s="724"/>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98"/>
      <c r="CP11" s="799"/>
      <c r="CQ11" s="800"/>
      <c r="CR11" s="798"/>
      <c r="CS11" s="799"/>
      <c r="CT11" s="800"/>
      <c r="CU11" s="801" t="str">
        <f t="shared" si="7"/>
        <v/>
      </c>
      <c r="CV11" s="802"/>
      <c r="CW11" s="802"/>
      <c r="CX11" s="803"/>
      <c r="CY11" s="803"/>
      <c r="CZ11" s="804"/>
      <c r="DA11" s="726"/>
      <c r="DB11" s="727"/>
      <c r="DC11" s="732"/>
      <c r="DD11" s="726" t="str">
        <f t="shared" si="8"/>
        <v/>
      </c>
      <c r="DE11" s="727"/>
      <c r="DF11" s="728"/>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6" t="str">
        <f>IF(OR(G11=0,G11=""),"",G11)</f>
        <v/>
      </c>
      <c r="E12" s="767"/>
      <c r="F12" s="17" t="str">
        <f t="shared" si="2"/>
        <v/>
      </c>
      <c r="G12" s="768"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9"/>
      <c r="I12" s="228"/>
      <c r="J12" s="228"/>
      <c r="K12" s="228"/>
      <c r="L12" s="717" t="str">
        <f t="shared" si="0"/>
        <v/>
      </c>
      <c r="M12" s="717"/>
      <c r="N12" s="717"/>
      <c r="O12" s="717"/>
      <c r="P12" s="717" t="str">
        <f>IF(OR(G12=0,G12=""),"",IF(VLOOKUP(G12,'Geometry 2'!$C$4:$AI$14,1,TRUE)=VLOOKUP(G13,'Geometry 2'!$C$4:$AI$14,1,TRUE),"",IF(VLOOKUP(G12,'Geometry 2'!$C$4:$AI$14,33,TRUE)&lt;&gt;"n/a",MIN(G12,VLOOKUP(G12,'Geometry 2'!$C$4:$AI$14,1,TRUE))-VLOOKUP(G12,'Geometry 2'!$C$4:$AI$14,33,TRUE),"check")))</f>
        <v/>
      </c>
      <c r="Q12" s="717"/>
      <c r="R12" s="717"/>
      <c r="S12" s="717"/>
      <c r="T12" s="717" t="str">
        <f>IF($G12="","",VLOOKUP($G12,'Geometry 2'!$E$4:$AH$14,11,TRUE))</f>
        <v/>
      </c>
      <c r="U12" s="717"/>
      <c r="V12" s="717"/>
      <c r="W12" s="717"/>
      <c r="X12" s="716" t="str">
        <f>IF($G12="","",VLOOKUP($G12,'Geometry 2'!$E$4:$AJ$14,19,TRUE)-12*VLOOKUP($G12,'Geometry 2'!$E$4:$AJ$14,32,TRUE)*($D12-VLOOKUP($G12,'Geometry 2'!$E$5:$AH$14,1,TRUE)))</f>
        <v/>
      </c>
      <c r="Y12" s="716"/>
      <c r="Z12" s="716"/>
      <c r="AA12" s="716"/>
      <c r="AB12" s="757" t="str">
        <f>IF($G12="","",VLOOKUP($G12,'Geometry 2'!$E$4:$AJ$14,19,TRUE)-12*VLOOKUP($G12,'Geometry 2'!$E$4:$AJ$14,32,TRUE)*($G12-VLOOKUP($G12,'Geometry 2'!$E$5:$AH$14,1,TRUE)))</f>
        <v/>
      </c>
      <c r="AC12" s="758"/>
      <c r="AD12" s="758"/>
      <c r="AE12" s="759"/>
      <c r="AF12" s="716" t="str">
        <f>IF($G12="","",VLOOKUP($G12,'Geometry 2'!$E$4:$AJ$14,19,TRUE)-12*VLOOKUP($G12,'Geometry 2'!$E$4:$AJ$14,32,TRUE)*($G12-IF($P12="",0,$P12)-VLOOKUP($G12,'Geometry 2'!$E$5:$AH$14,1,TRUE)))</f>
        <v/>
      </c>
      <c r="AG12" s="716"/>
      <c r="AH12" s="716"/>
      <c r="AI12" s="716"/>
      <c r="AJ12" s="746" t="str">
        <f>IF($G12="","",VLOOKUP($G12,'Geometry 2'!$E$4:$AH$14,23,TRUE))</f>
        <v/>
      </c>
      <c r="AK12" s="747"/>
      <c r="AL12" s="747"/>
      <c r="AM12" s="748"/>
      <c r="AN12" s="717"/>
      <c r="AO12" s="717"/>
      <c r="AP12" s="717"/>
      <c r="AQ12" s="717"/>
      <c r="AR12" s="717" t="str">
        <f>IF($G12="","",VLOOKUP($G12,'Geometry 2'!$E$4:$AH$14,27,TRUE))</f>
        <v/>
      </c>
      <c r="AS12" s="717"/>
      <c r="AT12" s="717"/>
      <c r="AU12" s="718"/>
      <c r="AV12" s="715"/>
      <c r="AW12" s="716"/>
      <c r="AX12" s="716"/>
      <c r="AZ12" s="722" t="str">
        <f t="shared" si="5"/>
        <v/>
      </c>
      <c r="BA12" s="723"/>
      <c r="BB12" s="723"/>
      <c r="BC12" s="724"/>
      <c r="BD12" s="722"/>
      <c r="BE12" s="723"/>
      <c r="BF12" s="723"/>
      <c r="BG12" s="722" t="str">
        <f t="shared" si="1"/>
        <v/>
      </c>
      <c r="BH12" s="723"/>
      <c r="BI12" s="723"/>
      <c r="BJ12" s="723"/>
      <c r="BK12" s="724"/>
      <c r="BL12" s="722"/>
      <c r="BM12" s="723"/>
      <c r="BN12" s="723"/>
      <c r="BO12" s="723"/>
      <c r="BP12" s="725"/>
      <c r="BQ12" s="725"/>
      <c r="BR12" s="722" t="str">
        <f>IF(BP12="","",IF(OR(AND(Rev="H",Calculations!$F$27=TRUE),AND(Rev&lt;&gt;"H",Calculations!$F$30=TRUE)),IF(BP12&lt;=1,"Pass","Fail"),IF(BP12&lt;=1.05,"Pass","Fail")))</f>
        <v/>
      </c>
      <c r="BS12" s="723"/>
      <c r="BT12" s="724"/>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91"/>
      <c r="CP12" s="792"/>
      <c r="CQ12" s="793"/>
      <c r="CR12" s="791"/>
      <c r="CS12" s="792"/>
      <c r="CT12" s="793"/>
      <c r="CU12" s="794" t="str">
        <f t="shared" si="7"/>
        <v/>
      </c>
      <c r="CV12" s="795"/>
      <c r="CW12" s="795"/>
      <c r="CX12" s="796"/>
      <c r="CY12" s="796"/>
      <c r="CZ12" s="797"/>
      <c r="DA12" s="733"/>
      <c r="DB12" s="734"/>
      <c r="DC12" s="735"/>
      <c r="DD12" s="729" t="str">
        <f t="shared" si="8"/>
        <v/>
      </c>
      <c r="DE12" s="730"/>
      <c r="DF12" s="731"/>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6" t="str">
        <f>IF(OR(G12=0,G12=""),"",G12)</f>
        <v/>
      </c>
      <c r="E13" s="767"/>
      <c r="F13" s="17" t="str">
        <f t="shared" si="2"/>
        <v/>
      </c>
      <c r="G13" s="768"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9"/>
      <c r="I13" s="228"/>
      <c r="J13" s="228"/>
      <c r="K13" s="228"/>
      <c r="L13" s="717" t="str">
        <f t="shared" si="0"/>
        <v/>
      </c>
      <c r="M13" s="717"/>
      <c r="N13" s="717"/>
      <c r="O13" s="717"/>
      <c r="P13" s="717" t="str">
        <f>IF(OR(G13=0,G13=""),"",IF(VLOOKUP(G13,'Geometry 2'!$C$4:$AI$14,1,TRUE)=VLOOKUP(G14,'Geometry 2'!$C$4:$AI$14,1,TRUE),"",IF(VLOOKUP(G13,'Geometry 2'!$C$4:$AI$14,33,TRUE)&lt;&gt;"n/a",MIN(G13,VLOOKUP(G13,'Geometry 2'!$C$4:$AI$14,1,TRUE))-VLOOKUP(G13,'Geometry 2'!$C$4:$AI$14,33,TRUE),"check")))</f>
        <v/>
      </c>
      <c r="Q13" s="717"/>
      <c r="R13" s="717"/>
      <c r="S13" s="717"/>
      <c r="T13" s="717" t="str">
        <f>IF($G13="","",VLOOKUP($G13,'Geometry 2'!$E$4:$AH$14,11,TRUE))</f>
        <v/>
      </c>
      <c r="U13" s="717"/>
      <c r="V13" s="717"/>
      <c r="W13" s="717"/>
      <c r="X13" s="716" t="str">
        <f>IF($G13="","",VLOOKUP($G13,'Geometry 2'!$E$4:$AJ$14,19,TRUE)-12*VLOOKUP($G13,'Geometry 2'!$E$4:$AJ$14,32,TRUE)*($D13-VLOOKUP($G13,'Geometry 2'!$E$5:$AH$14,1,TRUE)))</f>
        <v/>
      </c>
      <c r="Y13" s="716"/>
      <c r="Z13" s="716"/>
      <c r="AA13" s="716"/>
      <c r="AB13" s="757" t="str">
        <f>IF($G13="","",VLOOKUP($G13,'Geometry 2'!$E$4:$AJ$14,19,TRUE)-12*VLOOKUP($G13,'Geometry 2'!$E$4:$AJ$14,32,TRUE)*($G13-VLOOKUP($G13,'Geometry 2'!$E$5:$AH$14,1,TRUE)))</f>
        <v/>
      </c>
      <c r="AC13" s="758"/>
      <c r="AD13" s="758"/>
      <c r="AE13" s="759"/>
      <c r="AF13" s="716" t="str">
        <f>IF($G13="","",VLOOKUP($G13,'Geometry 2'!$E$4:$AJ$14,19,TRUE)-12*VLOOKUP($G13,'Geometry 2'!$E$4:$AJ$14,32,TRUE)*($G13-IF($P13="",0,$P13)-VLOOKUP($G13,'Geometry 2'!$E$5:$AH$14,1,TRUE)))</f>
        <v/>
      </c>
      <c r="AG13" s="716"/>
      <c r="AH13" s="716"/>
      <c r="AI13" s="716"/>
      <c r="AJ13" s="746" t="str">
        <f>IF($G13="","",VLOOKUP($G13,'Geometry 2'!$E$4:$AH$14,23,TRUE))</f>
        <v/>
      </c>
      <c r="AK13" s="747"/>
      <c r="AL13" s="747"/>
      <c r="AM13" s="748"/>
      <c r="AN13" s="717"/>
      <c r="AO13" s="717"/>
      <c r="AP13" s="717"/>
      <c r="AQ13" s="717"/>
      <c r="AR13" s="717" t="str">
        <f>IF($G13="","",VLOOKUP($G13,'Geometry 2'!$E$4:$AH$14,27,TRUE))</f>
        <v/>
      </c>
      <c r="AS13" s="717"/>
      <c r="AT13" s="717"/>
      <c r="AU13" s="718"/>
      <c r="AV13" s="715"/>
      <c r="AW13" s="716"/>
      <c r="AX13" s="716"/>
      <c r="AZ13" s="722" t="str">
        <f t="shared" si="5"/>
        <v/>
      </c>
      <c r="BA13" s="723"/>
      <c r="BB13" s="723"/>
      <c r="BC13" s="724"/>
      <c r="BD13" s="722"/>
      <c r="BE13" s="723"/>
      <c r="BF13" s="723"/>
      <c r="BG13" s="722" t="str">
        <f t="shared" si="1"/>
        <v/>
      </c>
      <c r="BH13" s="723"/>
      <c r="BI13" s="723"/>
      <c r="BJ13" s="723"/>
      <c r="BK13" s="724"/>
      <c r="BL13" s="722"/>
      <c r="BM13" s="723"/>
      <c r="BN13" s="723"/>
      <c r="BO13" s="723"/>
      <c r="BP13" s="725"/>
      <c r="BQ13" s="725"/>
      <c r="BR13" s="722" t="str">
        <f>IF(BP13="","",IF(OR(AND(Rev="H",Calculations!$F$27=TRUE),AND(Rev&lt;&gt;"H",Calculations!$F$30=TRUE)),IF(BP13&lt;=1,"Pass","Fail"),IF(BP13&lt;=1.05,"Pass","Fail")))</f>
        <v/>
      </c>
      <c r="BS13" s="723"/>
      <c r="BT13" s="724"/>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98"/>
      <c r="CP13" s="799"/>
      <c r="CQ13" s="800"/>
      <c r="CR13" s="798"/>
      <c r="CS13" s="799"/>
      <c r="CT13" s="800"/>
      <c r="CU13" s="801" t="str">
        <f t="shared" si="7"/>
        <v/>
      </c>
      <c r="CV13" s="802"/>
      <c r="CW13" s="802"/>
      <c r="CX13" s="803"/>
      <c r="CY13" s="803"/>
      <c r="CZ13" s="804"/>
      <c r="DA13" s="726"/>
      <c r="DB13" s="727"/>
      <c r="DC13" s="732"/>
      <c r="DD13" s="726" t="str">
        <f t="shared" si="8"/>
        <v/>
      </c>
      <c r="DE13" s="727"/>
      <c r="DF13" s="728"/>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6" t="str">
        <f>IF(OR(G13=0,G13=""),"",G13)</f>
        <v/>
      </c>
      <c r="E14" s="767"/>
      <c r="F14" s="17" t="str">
        <f t="shared" si="2"/>
        <v/>
      </c>
      <c r="G14" s="768"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9"/>
      <c r="I14" s="228"/>
      <c r="J14" s="228"/>
      <c r="K14" s="228"/>
      <c r="L14" s="717" t="str">
        <f t="shared" si="0"/>
        <v/>
      </c>
      <c r="M14" s="717"/>
      <c r="N14" s="717"/>
      <c r="O14" s="717"/>
      <c r="P14" s="717" t="str">
        <f>IF(OR(G14=0,G14=""),"",IF(VLOOKUP(G14,'Geometry 2'!$C$4:$AI$14,1,TRUE)=VLOOKUP(G15,'Geometry 2'!$C$4:$AI$14,1,TRUE),"",IF(VLOOKUP(G14,'Geometry 2'!$C$4:$AI$14,33,TRUE)&lt;&gt;"n/a",MIN(G14,VLOOKUP(G14,'Geometry 2'!$C$4:$AI$14,1,TRUE))-VLOOKUP(G14,'Geometry 2'!$C$4:$AI$14,33,TRUE),"check")))</f>
        <v/>
      </c>
      <c r="Q14" s="717"/>
      <c r="R14" s="717"/>
      <c r="S14" s="717"/>
      <c r="T14" s="717" t="str">
        <f>IF($G14="","",VLOOKUP($G14,'Geometry 2'!$E$4:$AH$14,11,TRUE))</f>
        <v/>
      </c>
      <c r="U14" s="717"/>
      <c r="V14" s="717"/>
      <c r="W14" s="717"/>
      <c r="X14" s="716" t="str">
        <f>IF($G14="","",VLOOKUP($G14,'Geometry 2'!$E$4:$AJ$14,19,TRUE)-12*VLOOKUP($G14,'Geometry 2'!$E$4:$AJ$14,32,TRUE)*($D14-VLOOKUP($G14,'Geometry 2'!$E$5:$AH$14,1,TRUE)))</f>
        <v/>
      </c>
      <c r="Y14" s="716"/>
      <c r="Z14" s="716"/>
      <c r="AA14" s="716"/>
      <c r="AB14" s="757" t="str">
        <f>IF($G14="","",VLOOKUP($G14,'Geometry 2'!$E$4:$AJ$14,19,TRUE)-12*VLOOKUP($G14,'Geometry 2'!$E$4:$AJ$14,32,TRUE)*($G14-VLOOKUP($G14,'Geometry 2'!$E$5:$AH$14,1,TRUE)))</f>
        <v/>
      </c>
      <c r="AC14" s="758"/>
      <c r="AD14" s="758"/>
      <c r="AE14" s="759"/>
      <c r="AF14" s="716" t="str">
        <f>IF($G14="","",VLOOKUP($G14,'Geometry 2'!$E$4:$AJ$14,19,TRUE)-12*VLOOKUP($G14,'Geometry 2'!$E$4:$AJ$14,32,TRUE)*($G14-IF($P14="",0,$P14)-VLOOKUP($G14,'Geometry 2'!$E$5:$AH$14,1,TRUE)))</f>
        <v/>
      </c>
      <c r="AG14" s="716"/>
      <c r="AH14" s="716"/>
      <c r="AI14" s="716"/>
      <c r="AJ14" s="746" t="str">
        <f>IF($G14="","",VLOOKUP($G14,'Geometry 2'!$E$4:$AH$14,23,TRUE))</f>
        <v/>
      </c>
      <c r="AK14" s="747"/>
      <c r="AL14" s="747"/>
      <c r="AM14" s="748"/>
      <c r="AN14" s="717"/>
      <c r="AO14" s="717"/>
      <c r="AP14" s="717"/>
      <c r="AQ14" s="717"/>
      <c r="AR14" s="717" t="str">
        <f>IF($G14="","",VLOOKUP($G14,'Geometry 2'!$E$4:$AH$14,27,TRUE))</f>
        <v/>
      </c>
      <c r="AS14" s="717"/>
      <c r="AT14" s="717"/>
      <c r="AU14" s="718"/>
      <c r="AV14" s="715"/>
      <c r="AW14" s="716"/>
      <c r="AX14" s="716"/>
      <c r="AZ14" s="722" t="str">
        <f t="shared" si="5"/>
        <v/>
      </c>
      <c r="BA14" s="723"/>
      <c r="BB14" s="723"/>
      <c r="BC14" s="724"/>
      <c r="BD14" s="722"/>
      <c r="BE14" s="723"/>
      <c r="BF14" s="723"/>
      <c r="BG14" s="722" t="str">
        <f t="shared" si="1"/>
        <v/>
      </c>
      <c r="BH14" s="723"/>
      <c r="BI14" s="723"/>
      <c r="BJ14" s="723"/>
      <c r="BK14" s="724"/>
      <c r="BL14" s="722"/>
      <c r="BM14" s="723"/>
      <c r="BN14" s="723"/>
      <c r="BO14" s="723"/>
      <c r="BP14" s="725"/>
      <c r="BQ14" s="725"/>
      <c r="BR14" s="722" t="str">
        <f>IF(BP14="","",IF(OR(AND(Rev="H",Calculations!$F$27=TRUE),AND(Rev&lt;&gt;"H",Calculations!$F$30=TRUE)),IF(BP14&lt;=1,"Pass","Fail"),IF(BP14&lt;=1.05,"Pass","Fail")))</f>
        <v/>
      </c>
      <c r="BS14" s="723"/>
      <c r="BT14" s="724"/>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91"/>
      <c r="CP14" s="792"/>
      <c r="CQ14" s="793"/>
      <c r="CR14" s="791"/>
      <c r="CS14" s="792"/>
      <c r="CT14" s="793"/>
      <c r="CU14" s="794" t="str">
        <f t="shared" si="7"/>
        <v/>
      </c>
      <c r="CV14" s="795"/>
      <c r="CW14" s="795"/>
      <c r="CX14" s="796"/>
      <c r="CY14" s="796"/>
      <c r="CZ14" s="797"/>
      <c r="DA14" s="733"/>
      <c r="DB14" s="734"/>
      <c r="DC14" s="735"/>
      <c r="DD14" s="729" t="str">
        <f t="shared" si="8"/>
        <v/>
      </c>
      <c r="DE14" s="730"/>
      <c r="DF14" s="731"/>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6" t="str">
        <f t="shared" si="4"/>
        <v/>
      </c>
      <c r="E15" s="767"/>
      <c r="F15" s="17" t="str">
        <f t="shared" si="2"/>
        <v/>
      </c>
      <c r="G15" s="768"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9"/>
      <c r="I15" s="228"/>
      <c r="J15" s="228"/>
      <c r="K15" s="228"/>
      <c r="L15" s="717" t="str">
        <f t="shared" si="0"/>
        <v/>
      </c>
      <c r="M15" s="717"/>
      <c r="N15" s="717"/>
      <c r="O15" s="717"/>
      <c r="P15" s="717" t="str">
        <f>IF(OR(G15=0,G15=""),"",IF(VLOOKUP(G15,'Geometry 2'!$C$4:$AI$14,1,TRUE)=VLOOKUP(G16,'Geometry 2'!$C$4:$AI$14,1,TRUE),"",IF(VLOOKUP(G15,'Geometry 2'!$C$4:$AI$14,33,TRUE)&lt;&gt;"n/a",MIN(G15,VLOOKUP(G15,'Geometry 2'!$C$4:$AI$14,1,TRUE))-VLOOKUP(G15,'Geometry 2'!$C$4:$AI$14,33,TRUE),"check")))</f>
        <v/>
      </c>
      <c r="Q15" s="717"/>
      <c r="R15" s="717"/>
      <c r="S15" s="717"/>
      <c r="T15" s="717" t="str">
        <f>IF($G15="","",VLOOKUP($G15,'Geometry 2'!$E$4:$AH$14,11,TRUE))</f>
        <v/>
      </c>
      <c r="U15" s="717"/>
      <c r="V15" s="717"/>
      <c r="W15" s="717"/>
      <c r="X15" s="716" t="str">
        <f>IF($G15="","",VLOOKUP($G15,'Geometry 2'!$E$4:$AJ$14,19,TRUE)-12*VLOOKUP($G15,'Geometry 2'!$E$4:$AJ$14,32,TRUE)*($D15-VLOOKUP($G15,'Geometry 2'!$E$5:$AH$14,1,TRUE)))</f>
        <v/>
      </c>
      <c r="Y15" s="716"/>
      <c r="Z15" s="716"/>
      <c r="AA15" s="716"/>
      <c r="AB15" s="757" t="str">
        <f>IF($G15="","",VLOOKUP($G15,'Geometry 2'!$E$4:$AJ$14,19,TRUE)-12*VLOOKUP($G15,'Geometry 2'!$E$4:$AJ$14,32,TRUE)*($G15-VLOOKUP($G15,'Geometry 2'!$E$5:$AH$14,1,TRUE)))</f>
        <v/>
      </c>
      <c r="AC15" s="758"/>
      <c r="AD15" s="758"/>
      <c r="AE15" s="759"/>
      <c r="AF15" s="716" t="str">
        <f>IF($G15="","",VLOOKUP($G15,'Geometry 2'!$E$4:$AJ$14,19,TRUE)-12*VLOOKUP($G15,'Geometry 2'!$E$4:$AJ$14,32,TRUE)*($G15-IF($P15="",0,$P15)-VLOOKUP($G15,'Geometry 2'!$E$5:$AH$14,1,TRUE)))</f>
        <v/>
      </c>
      <c r="AG15" s="716"/>
      <c r="AH15" s="716"/>
      <c r="AI15" s="716"/>
      <c r="AJ15" s="746" t="str">
        <f>IF($G15="","",VLOOKUP($G15,'Geometry 2'!$E$4:$AH$14,23,TRUE))</f>
        <v/>
      </c>
      <c r="AK15" s="747"/>
      <c r="AL15" s="747"/>
      <c r="AM15" s="748"/>
      <c r="AN15" s="717"/>
      <c r="AO15" s="717"/>
      <c r="AP15" s="717"/>
      <c r="AQ15" s="717"/>
      <c r="AR15" s="717" t="str">
        <f>IF($G15="","",VLOOKUP($G15,'Geometry 2'!$E$4:$AH$14,27,TRUE))</f>
        <v/>
      </c>
      <c r="AS15" s="717"/>
      <c r="AT15" s="717"/>
      <c r="AU15" s="718"/>
      <c r="AV15" s="715"/>
      <c r="AW15" s="716"/>
      <c r="AX15" s="716"/>
      <c r="AZ15" s="722" t="str">
        <f t="shared" si="5"/>
        <v/>
      </c>
      <c r="BA15" s="723"/>
      <c r="BB15" s="723"/>
      <c r="BC15" s="724"/>
      <c r="BD15" s="722"/>
      <c r="BE15" s="723"/>
      <c r="BF15" s="723"/>
      <c r="BG15" s="722" t="str">
        <f t="shared" si="1"/>
        <v/>
      </c>
      <c r="BH15" s="723"/>
      <c r="BI15" s="723"/>
      <c r="BJ15" s="723"/>
      <c r="BK15" s="724"/>
      <c r="BL15" s="722"/>
      <c r="BM15" s="723"/>
      <c r="BN15" s="723"/>
      <c r="BO15" s="723"/>
      <c r="BP15" s="725"/>
      <c r="BQ15" s="725"/>
      <c r="BR15" s="722" t="str">
        <f>IF(BP15="","",IF(OR(AND(Rev="H",Calculations!$F$27=TRUE),AND(Rev&lt;&gt;"H",Calculations!$F$30=TRUE)),IF(BP15&lt;=1,"Pass","Fail"),IF(BP15&lt;=1.05,"Pass","Fail")))</f>
        <v/>
      </c>
      <c r="BS15" s="723"/>
      <c r="BT15" s="724"/>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98"/>
      <c r="CP15" s="799"/>
      <c r="CQ15" s="800"/>
      <c r="CR15" s="798"/>
      <c r="CS15" s="799"/>
      <c r="CT15" s="800"/>
      <c r="CU15" s="798" t="str">
        <f t="shared" si="7"/>
        <v/>
      </c>
      <c r="CV15" s="799"/>
      <c r="CW15" s="806"/>
      <c r="CX15" s="726"/>
      <c r="CY15" s="727"/>
      <c r="CZ15" s="732"/>
      <c r="DA15" s="726"/>
      <c r="DB15" s="727"/>
      <c r="DC15" s="732"/>
      <c r="DD15" s="726" t="str">
        <f t="shared" si="8"/>
        <v/>
      </c>
      <c r="DE15" s="727"/>
      <c r="DF15" s="728"/>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6" t="str">
        <f t="shared" si="4"/>
        <v/>
      </c>
      <c r="E16" s="767"/>
      <c r="F16" s="17" t="str">
        <f t="shared" si="2"/>
        <v/>
      </c>
      <c r="G16" s="768"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9"/>
      <c r="I16" s="228"/>
      <c r="J16" s="228"/>
      <c r="K16" s="228"/>
      <c r="L16" s="717" t="str">
        <f t="shared" si="0"/>
        <v/>
      </c>
      <c r="M16" s="717"/>
      <c r="N16" s="717"/>
      <c r="O16" s="717"/>
      <c r="P16" s="717" t="str">
        <f>IF(OR(G16=0,G16=""),"",IF(VLOOKUP(G16,'Geometry 2'!$C$4:$AI$14,1,TRUE)=VLOOKUP(G17,'Geometry 2'!$C$4:$AI$14,1,TRUE),"",IF(VLOOKUP(G16,'Geometry 2'!$C$4:$AI$14,33,TRUE)&lt;&gt;"n/a",MIN(G16,VLOOKUP(G16,'Geometry 2'!$C$4:$AI$14,1,TRUE))-VLOOKUP(G16,'Geometry 2'!$C$4:$AI$14,33,TRUE),"check")))</f>
        <v/>
      </c>
      <c r="Q16" s="717"/>
      <c r="R16" s="717"/>
      <c r="S16" s="717"/>
      <c r="T16" s="717" t="str">
        <f>IF($G16="","",VLOOKUP($G16,'Geometry 2'!$E$4:$AH$14,11,TRUE))</f>
        <v/>
      </c>
      <c r="U16" s="717"/>
      <c r="V16" s="717"/>
      <c r="W16" s="717"/>
      <c r="X16" s="716" t="str">
        <f>IF($G16="","",VLOOKUP($G16,'Geometry 2'!$E$4:$AJ$14,19,TRUE)-12*VLOOKUP($G16,'Geometry 2'!$E$4:$AJ$14,32,TRUE)*($D16-VLOOKUP($G16,'Geometry 2'!$E$5:$AH$14,1,TRUE)))</f>
        <v/>
      </c>
      <c r="Y16" s="716"/>
      <c r="Z16" s="716"/>
      <c r="AA16" s="716"/>
      <c r="AB16" s="757" t="str">
        <f>IF($G16="","",VLOOKUP($G16,'Geometry 2'!$E$4:$AJ$14,19,TRUE)-12*VLOOKUP($G16,'Geometry 2'!$E$4:$AJ$14,32,TRUE)*($G16-VLOOKUP($G16,'Geometry 2'!$E$5:$AH$14,1,TRUE)))</f>
        <v/>
      </c>
      <c r="AC16" s="758"/>
      <c r="AD16" s="758"/>
      <c r="AE16" s="759"/>
      <c r="AF16" s="716" t="str">
        <f>IF($G16="","",VLOOKUP($G16,'Geometry 2'!$E$4:$AJ$14,19,TRUE)-12*VLOOKUP($G16,'Geometry 2'!$E$4:$AJ$14,32,TRUE)*($G16-IF($P16="",0,$P16)-VLOOKUP($G16,'Geometry 2'!$E$5:$AH$14,1,TRUE)))</f>
        <v/>
      </c>
      <c r="AG16" s="716"/>
      <c r="AH16" s="716"/>
      <c r="AI16" s="716"/>
      <c r="AJ16" s="746" t="str">
        <f>IF($G16="","",VLOOKUP($G16,'Geometry 2'!$E$4:$AH$14,23,TRUE))</f>
        <v/>
      </c>
      <c r="AK16" s="747"/>
      <c r="AL16" s="747"/>
      <c r="AM16" s="748"/>
      <c r="AN16" s="717"/>
      <c r="AO16" s="717"/>
      <c r="AP16" s="717"/>
      <c r="AQ16" s="717"/>
      <c r="AR16" s="717" t="str">
        <f>IF($G16="","",VLOOKUP($G16,'Geometry 2'!$E$4:$AH$14,27,TRUE))</f>
        <v/>
      </c>
      <c r="AS16" s="717"/>
      <c r="AT16" s="717"/>
      <c r="AU16" s="718"/>
      <c r="AV16" s="715"/>
      <c r="AW16" s="716"/>
      <c r="AX16" s="716"/>
      <c r="AZ16" s="722" t="str">
        <f t="shared" si="5"/>
        <v/>
      </c>
      <c r="BA16" s="723"/>
      <c r="BB16" s="723"/>
      <c r="BC16" s="724"/>
      <c r="BD16" s="722"/>
      <c r="BE16" s="723"/>
      <c r="BF16" s="723"/>
      <c r="BG16" s="722" t="str">
        <f t="shared" si="1"/>
        <v/>
      </c>
      <c r="BH16" s="723"/>
      <c r="BI16" s="723"/>
      <c r="BJ16" s="723"/>
      <c r="BK16" s="724"/>
      <c r="BL16" s="722"/>
      <c r="BM16" s="723"/>
      <c r="BN16" s="723"/>
      <c r="BO16" s="723"/>
      <c r="BP16" s="725"/>
      <c r="BQ16" s="725"/>
      <c r="BR16" s="722" t="str">
        <f>IF(BP16="","",IF(OR(AND(Rev="H",Calculations!$F$27=TRUE),AND(Rev&lt;&gt;"H",Calculations!$F$30=TRUE)),IF(BP16&lt;=1,"Pass","Fail"),IF(BP16&lt;=1.05,"Pass","Fail")))</f>
        <v/>
      </c>
      <c r="BS16" s="723"/>
      <c r="BT16" s="724"/>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91"/>
      <c r="CP16" s="792"/>
      <c r="CQ16" s="793"/>
      <c r="CR16" s="791"/>
      <c r="CS16" s="792"/>
      <c r="CT16" s="793"/>
      <c r="CU16" s="791" t="str">
        <f t="shared" si="7"/>
        <v/>
      </c>
      <c r="CV16" s="792"/>
      <c r="CW16" s="807"/>
      <c r="CX16" s="808"/>
      <c r="CY16" s="730"/>
      <c r="CZ16" s="809"/>
      <c r="DA16" s="733"/>
      <c r="DB16" s="734"/>
      <c r="DC16" s="735"/>
      <c r="DD16" s="729" t="str">
        <f t="shared" si="8"/>
        <v/>
      </c>
      <c r="DE16" s="730"/>
      <c r="DF16" s="731"/>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6" t="str">
        <f t="shared" si="4"/>
        <v/>
      </c>
      <c r="E17" s="767"/>
      <c r="F17" s="17" t="str">
        <f t="shared" si="2"/>
        <v/>
      </c>
      <c r="G17" s="768"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9"/>
      <c r="I17" s="228"/>
      <c r="J17" s="228"/>
      <c r="K17" s="228"/>
      <c r="L17" s="717" t="str">
        <f t="shared" si="0"/>
        <v/>
      </c>
      <c r="M17" s="717"/>
      <c r="N17" s="717"/>
      <c r="O17" s="717"/>
      <c r="P17" s="717" t="str">
        <f>IF(OR(G17=0,G17=""),"",IF(VLOOKUP(G17,'Geometry 2'!$C$4:$AI$14,1,TRUE)=VLOOKUP(G18,'Geometry 2'!$C$4:$AI$14,1,TRUE),"",IF(VLOOKUP(G17,'Geometry 2'!$C$4:$AI$14,33,TRUE)&lt;&gt;"n/a",MIN(G17,VLOOKUP(G17,'Geometry 2'!$C$4:$AI$14,1,TRUE))-VLOOKUP(G17,'Geometry 2'!$C$4:$AI$14,33,TRUE),"check")))</f>
        <v/>
      </c>
      <c r="Q17" s="717"/>
      <c r="R17" s="717"/>
      <c r="S17" s="717"/>
      <c r="T17" s="717" t="str">
        <f>IF($G17="","",VLOOKUP($G17,'Geometry 2'!$E$4:$AH$14,11,TRUE))</f>
        <v/>
      </c>
      <c r="U17" s="717"/>
      <c r="V17" s="717"/>
      <c r="W17" s="717"/>
      <c r="X17" s="716" t="str">
        <f>IF($G17="","",VLOOKUP($G17,'Geometry 2'!$E$4:$AJ$14,19,TRUE)-12*VLOOKUP($G17,'Geometry 2'!$E$4:$AJ$14,32,TRUE)*($D17-VLOOKUP($G17,'Geometry 2'!$E$5:$AH$14,1,TRUE)))</f>
        <v/>
      </c>
      <c r="Y17" s="716"/>
      <c r="Z17" s="716"/>
      <c r="AA17" s="716"/>
      <c r="AB17" s="757" t="str">
        <f>IF($G17="","",VLOOKUP($G17,'Geometry 2'!$E$4:$AJ$14,19,TRUE)-12*VLOOKUP($G17,'Geometry 2'!$E$4:$AJ$14,32,TRUE)*($G17-VLOOKUP($G17,'Geometry 2'!$E$5:$AH$14,1,TRUE)))</f>
        <v/>
      </c>
      <c r="AC17" s="758"/>
      <c r="AD17" s="758"/>
      <c r="AE17" s="759"/>
      <c r="AF17" s="716" t="str">
        <f>IF($G17="","",VLOOKUP($G17,'Geometry 2'!$E$4:$AJ$14,19,TRUE)-12*VLOOKUP($G17,'Geometry 2'!$E$4:$AJ$14,32,TRUE)*($G17-IF($P17="",0,$P17)-VLOOKUP($G17,'Geometry 2'!$E$5:$AH$14,1,TRUE)))</f>
        <v/>
      </c>
      <c r="AG17" s="716"/>
      <c r="AH17" s="716"/>
      <c r="AI17" s="716"/>
      <c r="AJ17" s="746" t="str">
        <f>IF($G17="","",VLOOKUP($G17,'Geometry 2'!$E$4:$AH$14,23,TRUE))</f>
        <v/>
      </c>
      <c r="AK17" s="747"/>
      <c r="AL17" s="747"/>
      <c r="AM17" s="748"/>
      <c r="AN17" s="717"/>
      <c r="AO17" s="717"/>
      <c r="AP17" s="717"/>
      <c r="AQ17" s="717"/>
      <c r="AR17" s="717" t="str">
        <f>IF($G17="","",VLOOKUP($G17,'Geometry 2'!$E$4:$AH$14,27,TRUE))</f>
        <v/>
      </c>
      <c r="AS17" s="717"/>
      <c r="AT17" s="717"/>
      <c r="AU17" s="718"/>
      <c r="AV17" s="715"/>
      <c r="AW17" s="716"/>
      <c r="AX17" s="716"/>
      <c r="AZ17" s="722" t="str">
        <f t="shared" si="5"/>
        <v/>
      </c>
      <c r="BA17" s="723"/>
      <c r="BB17" s="723"/>
      <c r="BC17" s="724"/>
      <c r="BD17" s="722"/>
      <c r="BE17" s="723"/>
      <c r="BF17" s="723"/>
      <c r="BG17" s="722" t="str">
        <f t="shared" si="1"/>
        <v/>
      </c>
      <c r="BH17" s="723"/>
      <c r="BI17" s="723"/>
      <c r="BJ17" s="723"/>
      <c r="BK17" s="724"/>
      <c r="BL17" s="722"/>
      <c r="BM17" s="723"/>
      <c r="BN17" s="723"/>
      <c r="BO17" s="723"/>
      <c r="BP17" s="725"/>
      <c r="BQ17" s="725"/>
      <c r="BR17" s="722" t="str">
        <f>IF(BP17="","",IF(OR(AND(Rev="H",Calculations!$F$27=TRUE),AND(Rev&lt;&gt;"H",Calculations!$F$30=TRUE)),IF(BP17&lt;=1,"Pass","Fail"),IF(BP17&lt;=1.05,"Pass","Fail")))</f>
        <v/>
      </c>
      <c r="BS17" s="723"/>
      <c r="BT17" s="724"/>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98"/>
      <c r="CP17" s="799"/>
      <c r="CQ17" s="800"/>
      <c r="CR17" s="798"/>
      <c r="CS17" s="799"/>
      <c r="CT17" s="800"/>
      <c r="CU17" s="798" t="str">
        <f t="shared" si="7"/>
        <v/>
      </c>
      <c r="CV17" s="799"/>
      <c r="CW17" s="806"/>
      <c r="CX17" s="726"/>
      <c r="CY17" s="727"/>
      <c r="CZ17" s="732"/>
      <c r="DA17" s="726"/>
      <c r="DB17" s="727"/>
      <c r="DC17" s="732"/>
      <c r="DD17" s="726" t="str">
        <f t="shared" si="8"/>
        <v/>
      </c>
      <c r="DE17" s="727"/>
      <c r="DF17" s="728"/>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6" t="str">
        <f t="shared" si="4"/>
        <v/>
      </c>
      <c r="E18" s="767"/>
      <c r="F18" s="17" t="str">
        <f t="shared" si="2"/>
        <v/>
      </c>
      <c r="G18" s="768"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9"/>
      <c r="I18" s="228"/>
      <c r="J18" s="228"/>
      <c r="K18" s="228"/>
      <c r="L18" s="717" t="str">
        <f t="shared" si="0"/>
        <v/>
      </c>
      <c r="M18" s="717"/>
      <c r="N18" s="717"/>
      <c r="O18" s="717"/>
      <c r="P18" s="717" t="str">
        <f>IF(OR(G18=0,G18=""),"",IF(VLOOKUP(G18,'Geometry 2'!$C$4:$AI$14,1,TRUE)=VLOOKUP(G19,'Geometry 2'!$C$4:$AI$14,1,TRUE),"",IF(VLOOKUP(G18,'Geometry 2'!$C$4:$AI$14,33,TRUE)&lt;&gt;"n/a",MIN(G18,VLOOKUP(G18,'Geometry 2'!$C$4:$AI$14,1,TRUE))-VLOOKUP(G18,'Geometry 2'!$C$4:$AI$14,33,TRUE),"check")))</f>
        <v/>
      </c>
      <c r="Q18" s="717"/>
      <c r="R18" s="717"/>
      <c r="S18" s="717"/>
      <c r="T18" s="717" t="str">
        <f>IF($G18="","",VLOOKUP($G18,'Geometry 2'!$E$4:$AH$14,11,TRUE))</f>
        <v/>
      </c>
      <c r="U18" s="717"/>
      <c r="V18" s="717"/>
      <c r="W18" s="717"/>
      <c r="X18" s="716" t="str">
        <f>IF($G18="","",VLOOKUP($G18,'Geometry 2'!$E$4:$AJ$14,19,TRUE)-12*VLOOKUP($G18,'Geometry 2'!$E$4:$AJ$14,32,TRUE)*($D18-VLOOKUP($G18,'Geometry 2'!$E$5:$AH$14,1,TRUE)))</f>
        <v/>
      </c>
      <c r="Y18" s="716"/>
      <c r="Z18" s="716"/>
      <c r="AA18" s="716"/>
      <c r="AB18" s="757" t="str">
        <f>IF($G18="","",VLOOKUP($G18,'Geometry 2'!$E$4:$AJ$14,19,TRUE)-12*VLOOKUP($G18,'Geometry 2'!$E$4:$AJ$14,32,TRUE)*($G18-VLOOKUP($G18,'Geometry 2'!$E$5:$AH$14,1,TRUE)))</f>
        <v/>
      </c>
      <c r="AC18" s="758"/>
      <c r="AD18" s="758"/>
      <c r="AE18" s="759"/>
      <c r="AF18" s="716" t="str">
        <f>IF($G18="","",VLOOKUP($G18,'Geometry 2'!$E$4:$AJ$14,19,TRUE)-12*VLOOKUP($G18,'Geometry 2'!$E$4:$AJ$14,32,TRUE)*($G18-IF($P18="",0,$P18)-VLOOKUP($G18,'Geometry 2'!$E$5:$AH$14,1,TRUE)))</f>
        <v/>
      </c>
      <c r="AG18" s="716"/>
      <c r="AH18" s="716"/>
      <c r="AI18" s="716"/>
      <c r="AJ18" s="746" t="str">
        <f>IF($G18="","",VLOOKUP($G18,'Geometry 2'!$E$4:$AH$14,23,TRUE))</f>
        <v/>
      </c>
      <c r="AK18" s="747"/>
      <c r="AL18" s="747"/>
      <c r="AM18" s="748"/>
      <c r="AN18" s="717"/>
      <c r="AO18" s="717"/>
      <c r="AP18" s="717"/>
      <c r="AQ18" s="717"/>
      <c r="AR18" s="717" t="str">
        <f>IF($G18="","",VLOOKUP($G18,'Geometry 2'!$E$4:$AH$14,27,TRUE))</f>
        <v/>
      </c>
      <c r="AS18" s="717"/>
      <c r="AT18" s="717"/>
      <c r="AU18" s="718"/>
      <c r="AV18" s="715"/>
      <c r="AW18" s="716"/>
      <c r="AX18" s="716"/>
      <c r="AZ18" s="722" t="str">
        <f t="shared" si="5"/>
        <v/>
      </c>
      <c r="BA18" s="723"/>
      <c r="BB18" s="723"/>
      <c r="BC18" s="724"/>
      <c r="BD18" s="722"/>
      <c r="BE18" s="723"/>
      <c r="BF18" s="723"/>
      <c r="BG18" s="722" t="str">
        <f t="shared" si="1"/>
        <v/>
      </c>
      <c r="BH18" s="723"/>
      <c r="BI18" s="723"/>
      <c r="BJ18" s="723"/>
      <c r="BK18" s="724"/>
      <c r="BL18" s="722"/>
      <c r="BM18" s="723"/>
      <c r="BN18" s="723"/>
      <c r="BO18" s="723"/>
      <c r="BP18" s="725"/>
      <c r="BQ18" s="725"/>
      <c r="BR18" s="722" t="str">
        <f>IF(BP18="","",IF(OR(AND(Rev="H",Calculations!$F$27=TRUE),AND(Rev&lt;&gt;"H",Calculations!$F$30=TRUE)),IF(BP18&lt;=1,"Pass","Fail"),IF(BP18&lt;=1.05,"Pass","Fail")))</f>
        <v/>
      </c>
      <c r="BS18" s="723"/>
      <c r="BT18" s="724"/>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91"/>
      <c r="CP18" s="792"/>
      <c r="CQ18" s="793"/>
      <c r="CR18" s="791"/>
      <c r="CS18" s="792"/>
      <c r="CT18" s="793"/>
      <c r="CU18" s="791" t="str">
        <f t="shared" si="7"/>
        <v/>
      </c>
      <c r="CV18" s="792"/>
      <c r="CW18" s="807"/>
      <c r="CX18" s="808"/>
      <c r="CY18" s="730"/>
      <c r="CZ18" s="809"/>
      <c r="DA18" s="733"/>
      <c r="DB18" s="734"/>
      <c r="DC18" s="735"/>
      <c r="DD18" s="729" t="str">
        <f t="shared" si="8"/>
        <v/>
      </c>
      <c r="DE18" s="730"/>
      <c r="DF18" s="731"/>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6" t="str">
        <f t="shared" si="4"/>
        <v/>
      </c>
      <c r="E19" s="767"/>
      <c r="F19" s="17" t="str">
        <f t="shared" si="2"/>
        <v/>
      </c>
      <c r="G19" s="768"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9"/>
      <c r="I19" s="228"/>
      <c r="J19" s="228"/>
      <c r="K19" s="228"/>
      <c r="L19" s="717" t="str">
        <f t="shared" si="0"/>
        <v/>
      </c>
      <c r="M19" s="717"/>
      <c r="N19" s="717"/>
      <c r="O19" s="717"/>
      <c r="P19" s="717" t="str">
        <f>IF(OR(G19=0,G19=""),"",IF(VLOOKUP(G19,'Geometry 2'!$C$4:$AI$14,1,TRUE)=VLOOKUP(G20,'Geometry 2'!$C$4:$AI$14,1,TRUE),"",IF(VLOOKUP(G19,'Geometry 2'!$C$4:$AI$14,33,TRUE)&lt;&gt;"n/a",MIN(G19,VLOOKUP(G19,'Geometry 2'!$C$4:$AI$14,1,TRUE))-VLOOKUP(G19,'Geometry 2'!$C$4:$AI$14,33,TRUE),"check")))</f>
        <v/>
      </c>
      <c r="Q19" s="717"/>
      <c r="R19" s="717"/>
      <c r="S19" s="717"/>
      <c r="T19" s="717" t="str">
        <f>IF($G19="","",VLOOKUP($G19,'Geometry 2'!$E$4:$AH$14,11,TRUE))</f>
        <v/>
      </c>
      <c r="U19" s="717"/>
      <c r="V19" s="717"/>
      <c r="W19" s="717"/>
      <c r="X19" s="716" t="str">
        <f>IF($G19="","",VLOOKUP($G19,'Geometry 2'!$E$4:$AJ$14,19,TRUE)-12*VLOOKUP($G19,'Geometry 2'!$E$4:$AJ$14,32,TRUE)*($D19-VLOOKUP($G19,'Geometry 2'!$E$5:$AH$14,1,TRUE)))</f>
        <v/>
      </c>
      <c r="Y19" s="716"/>
      <c r="Z19" s="716"/>
      <c r="AA19" s="716"/>
      <c r="AB19" s="757" t="str">
        <f>IF($G19="","",VLOOKUP($G19,'Geometry 2'!$E$4:$AJ$14,19,TRUE)-12*VLOOKUP($G19,'Geometry 2'!$E$4:$AJ$14,32,TRUE)*($G19-VLOOKUP($G19,'Geometry 2'!$E$5:$AH$14,1,TRUE)))</f>
        <v/>
      </c>
      <c r="AC19" s="758"/>
      <c r="AD19" s="758"/>
      <c r="AE19" s="759"/>
      <c r="AF19" s="716" t="str">
        <f>IF($G19="","",VLOOKUP($G19,'Geometry 2'!$E$4:$AJ$14,19,TRUE)-12*VLOOKUP($G19,'Geometry 2'!$E$4:$AJ$14,32,TRUE)*($G19-IF($P19="",0,$P19)-VLOOKUP($G19,'Geometry 2'!$E$5:$AH$14,1,TRUE)))</f>
        <v/>
      </c>
      <c r="AG19" s="716"/>
      <c r="AH19" s="716"/>
      <c r="AI19" s="716"/>
      <c r="AJ19" s="746" t="str">
        <f>IF($G19="","",VLOOKUP($G19,'Geometry 2'!$E$4:$AH$14,23,TRUE))</f>
        <v/>
      </c>
      <c r="AK19" s="747"/>
      <c r="AL19" s="747"/>
      <c r="AM19" s="748"/>
      <c r="AN19" s="717"/>
      <c r="AO19" s="717"/>
      <c r="AP19" s="717"/>
      <c r="AQ19" s="717"/>
      <c r="AR19" s="717" t="str">
        <f>IF($G19="","",VLOOKUP($G19,'Geometry 2'!$E$4:$AH$14,27,TRUE))</f>
        <v/>
      </c>
      <c r="AS19" s="717"/>
      <c r="AT19" s="717"/>
      <c r="AU19" s="718"/>
      <c r="AV19" s="715"/>
      <c r="AW19" s="716"/>
      <c r="AX19" s="716"/>
      <c r="AZ19" s="722" t="str">
        <f t="shared" si="5"/>
        <v/>
      </c>
      <c r="BA19" s="723"/>
      <c r="BB19" s="723"/>
      <c r="BC19" s="724"/>
      <c r="BD19" s="722"/>
      <c r="BE19" s="723"/>
      <c r="BF19" s="723"/>
      <c r="BG19" s="722" t="str">
        <f t="shared" si="1"/>
        <v/>
      </c>
      <c r="BH19" s="723"/>
      <c r="BI19" s="723"/>
      <c r="BJ19" s="723"/>
      <c r="BK19" s="724"/>
      <c r="BL19" s="722"/>
      <c r="BM19" s="723"/>
      <c r="BN19" s="723"/>
      <c r="BO19" s="723"/>
      <c r="BP19" s="725"/>
      <c r="BQ19" s="725"/>
      <c r="BR19" s="722" t="str">
        <f>IF(BP19="","",IF(OR(AND(Rev="H",Calculations!$F$27=TRUE),AND(Rev&lt;&gt;"H",Calculations!$F$30=TRUE)),IF(BP19&lt;=1,"Pass","Fail"),IF(BP19&lt;=1.05,"Pass","Fail")))</f>
        <v/>
      </c>
      <c r="BS19" s="723"/>
      <c r="BT19" s="724"/>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98"/>
      <c r="CP19" s="799"/>
      <c r="CQ19" s="800"/>
      <c r="CR19" s="798"/>
      <c r="CS19" s="799"/>
      <c r="CT19" s="800"/>
      <c r="CU19" s="798" t="str">
        <f t="shared" si="7"/>
        <v/>
      </c>
      <c r="CV19" s="799"/>
      <c r="CW19" s="806"/>
      <c r="CX19" s="726"/>
      <c r="CY19" s="727"/>
      <c r="CZ19" s="732"/>
      <c r="DA19" s="726"/>
      <c r="DB19" s="727"/>
      <c r="DC19" s="732"/>
      <c r="DD19" s="726" t="str">
        <f t="shared" si="8"/>
        <v/>
      </c>
      <c r="DE19" s="727"/>
      <c r="DF19" s="728"/>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6" t="str">
        <f t="shared" si="4"/>
        <v/>
      </c>
      <c r="E20" s="767"/>
      <c r="F20" s="17" t="str">
        <f t="shared" si="2"/>
        <v/>
      </c>
      <c r="G20" s="768"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9"/>
      <c r="I20" s="228"/>
      <c r="J20" s="228"/>
      <c r="K20" s="228"/>
      <c r="L20" s="717" t="str">
        <f t="shared" si="0"/>
        <v/>
      </c>
      <c r="M20" s="717"/>
      <c r="N20" s="717"/>
      <c r="O20" s="717"/>
      <c r="P20" s="717" t="str">
        <f>IF(OR(G20=0,G20=""),"",IF(VLOOKUP(G20,'Geometry 2'!$C$4:$AI$14,1,TRUE)=VLOOKUP(G21,'Geometry 2'!$C$4:$AI$14,1,TRUE),"",IF(VLOOKUP(G20,'Geometry 2'!$C$4:$AI$14,33,TRUE)&lt;&gt;"n/a",MIN(G20,VLOOKUP(G20,'Geometry 2'!$C$4:$AI$14,1,TRUE))-VLOOKUP(G20,'Geometry 2'!$C$4:$AI$14,33,TRUE),"check")))</f>
        <v/>
      </c>
      <c r="Q20" s="717"/>
      <c r="R20" s="717"/>
      <c r="S20" s="717"/>
      <c r="T20" s="717" t="str">
        <f>IF($G20="","",VLOOKUP($G20,'Geometry 2'!$E$4:$AH$14,11,TRUE))</f>
        <v/>
      </c>
      <c r="U20" s="717"/>
      <c r="V20" s="717"/>
      <c r="W20" s="717"/>
      <c r="X20" s="716" t="str">
        <f>IF($G20="","",VLOOKUP($G20,'Geometry 2'!$E$4:$AJ$14,19,TRUE)-12*VLOOKUP($G20,'Geometry 2'!$E$4:$AJ$14,32,TRUE)*($D20-VLOOKUP($G20,'Geometry 2'!$E$5:$AH$14,1,TRUE)))</f>
        <v/>
      </c>
      <c r="Y20" s="716"/>
      <c r="Z20" s="716"/>
      <c r="AA20" s="716"/>
      <c r="AB20" s="757" t="str">
        <f>IF($G20="","",VLOOKUP($G20,'Geometry 2'!$E$4:$AJ$14,19,TRUE)-12*VLOOKUP($G20,'Geometry 2'!$E$4:$AJ$14,32,TRUE)*($G20-VLOOKUP($G20,'Geometry 2'!$E$5:$AH$14,1,TRUE)))</f>
        <v/>
      </c>
      <c r="AC20" s="758"/>
      <c r="AD20" s="758"/>
      <c r="AE20" s="759"/>
      <c r="AF20" s="716" t="str">
        <f>IF($G20="","",VLOOKUP($G20,'Geometry 2'!$E$4:$AJ$14,19,TRUE)-12*VLOOKUP($G20,'Geometry 2'!$E$4:$AJ$14,32,TRUE)*($G20-IF($P20="",0,$P20)-VLOOKUP($G20,'Geometry 2'!$E$5:$AH$14,1,TRUE)))</f>
        <v/>
      </c>
      <c r="AG20" s="716"/>
      <c r="AH20" s="716"/>
      <c r="AI20" s="716"/>
      <c r="AJ20" s="746" t="str">
        <f>IF($G20="","",VLOOKUP($G20,'Geometry 2'!$E$4:$AH$14,23,TRUE))</f>
        <v/>
      </c>
      <c r="AK20" s="747"/>
      <c r="AL20" s="747"/>
      <c r="AM20" s="748"/>
      <c r="AN20" s="717"/>
      <c r="AO20" s="717"/>
      <c r="AP20" s="717"/>
      <c r="AQ20" s="717"/>
      <c r="AR20" s="717" t="str">
        <f>IF($G20="","",VLOOKUP($G20,'Geometry 2'!$E$4:$AH$14,27,TRUE))</f>
        <v/>
      </c>
      <c r="AS20" s="717"/>
      <c r="AT20" s="717"/>
      <c r="AU20" s="718"/>
      <c r="AV20" s="715"/>
      <c r="AW20" s="716"/>
      <c r="AX20" s="716"/>
      <c r="AZ20" s="722" t="str">
        <f t="shared" si="5"/>
        <v/>
      </c>
      <c r="BA20" s="723"/>
      <c r="BB20" s="723"/>
      <c r="BC20" s="724"/>
      <c r="BD20" s="722"/>
      <c r="BE20" s="723"/>
      <c r="BF20" s="723"/>
      <c r="BG20" s="722" t="str">
        <f t="shared" si="1"/>
        <v/>
      </c>
      <c r="BH20" s="723"/>
      <c r="BI20" s="723"/>
      <c r="BJ20" s="723"/>
      <c r="BK20" s="724"/>
      <c r="BL20" s="722"/>
      <c r="BM20" s="723"/>
      <c r="BN20" s="723"/>
      <c r="BO20" s="723"/>
      <c r="BP20" s="725"/>
      <c r="BQ20" s="725"/>
      <c r="BR20" s="722" t="str">
        <f>IF(BP20="","",IF(OR(AND(Rev="H",Calculations!$F$27=TRUE),AND(Rev&lt;&gt;"H",Calculations!$F$30=TRUE)),IF(BP20&lt;=1,"Pass","Fail"),IF(BP20&lt;=1.05,"Pass","Fail")))</f>
        <v/>
      </c>
      <c r="BS20" s="723"/>
      <c r="BT20" s="724"/>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91"/>
      <c r="CP20" s="792"/>
      <c r="CQ20" s="793"/>
      <c r="CR20" s="791"/>
      <c r="CS20" s="792"/>
      <c r="CT20" s="793"/>
      <c r="CU20" s="791" t="str">
        <f t="shared" si="7"/>
        <v/>
      </c>
      <c r="CV20" s="792"/>
      <c r="CW20" s="807"/>
      <c r="CX20" s="808"/>
      <c r="CY20" s="730"/>
      <c r="CZ20" s="809"/>
      <c r="DA20" s="733"/>
      <c r="DB20" s="734"/>
      <c r="DC20" s="735"/>
      <c r="DD20" s="729" t="str">
        <f t="shared" si="8"/>
        <v/>
      </c>
      <c r="DE20" s="730"/>
      <c r="DF20" s="731"/>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6" t="str">
        <f t="shared" si="4"/>
        <v/>
      </c>
      <c r="E21" s="767"/>
      <c r="F21" s="17" t="str">
        <f t="shared" si="2"/>
        <v/>
      </c>
      <c r="G21" s="768"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9"/>
      <c r="I21" s="228"/>
      <c r="J21" s="228"/>
      <c r="K21" s="228"/>
      <c r="L21" s="717" t="str">
        <f t="shared" si="0"/>
        <v/>
      </c>
      <c r="M21" s="717"/>
      <c r="N21" s="717"/>
      <c r="O21" s="717"/>
      <c r="P21" s="717" t="str">
        <f>IF(OR(G21=0,G21=""),"",IF(VLOOKUP(G21,'Geometry 2'!$C$4:$AI$14,1,TRUE)=VLOOKUP(G22,'Geometry 2'!$C$4:$AI$14,1,TRUE),"",IF(VLOOKUP(G21,'Geometry 2'!$C$4:$AI$14,33,TRUE)&lt;&gt;"n/a",MIN(G21,VLOOKUP(G21,'Geometry 2'!$C$4:$AI$14,1,TRUE))-VLOOKUP(G21,'Geometry 2'!$C$4:$AI$14,33,TRUE),"check")))</f>
        <v/>
      </c>
      <c r="Q21" s="717"/>
      <c r="R21" s="717"/>
      <c r="S21" s="717"/>
      <c r="T21" s="717" t="str">
        <f>IF($G21="","",VLOOKUP($G21,'Geometry 2'!$E$4:$AH$14,11,TRUE))</f>
        <v/>
      </c>
      <c r="U21" s="717"/>
      <c r="V21" s="717"/>
      <c r="W21" s="717"/>
      <c r="X21" s="716" t="str">
        <f>IF($G21="","",VLOOKUP($G21,'Geometry 2'!$E$4:$AJ$14,19,TRUE)-12*VLOOKUP($G21,'Geometry 2'!$E$4:$AJ$14,32,TRUE)*($D21-VLOOKUP($G21,'Geometry 2'!$E$5:$AH$14,1,TRUE)))</f>
        <v/>
      </c>
      <c r="Y21" s="716"/>
      <c r="Z21" s="716"/>
      <c r="AA21" s="716"/>
      <c r="AB21" s="757" t="str">
        <f>IF($G21="","",VLOOKUP($G21,'Geometry 2'!$E$4:$AJ$14,19,TRUE)-12*VLOOKUP($G21,'Geometry 2'!$E$4:$AJ$14,32,TRUE)*($G21-VLOOKUP($G21,'Geometry 2'!$E$5:$AH$14,1,TRUE)))</f>
        <v/>
      </c>
      <c r="AC21" s="758"/>
      <c r="AD21" s="758"/>
      <c r="AE21" s="759"/>
      <c r="AF21" s="716" t="str">
        <f>IF($G21="","",VLOOKUP($G21,'Geometry 2'!$E$4:$AJ$14,19,TRUE)-12*VLOOKUP($G21,'Geometry 2'!$E$4:$AJ$14,32,TRUE)*($G21-IF($P21="",0,$P21)-VLOOKUP($G21,'Geometry 2'!$E$5:$AH$14,1,TRUE)))</f>
        <v/>
      </c>
      <c r="AG21" s="716"/>
      <c r="AH21" s="716"/>
      <c r="AI21" s="716"/>
      <c r="AJ21" s="746" t="str">
        <f>IF($G21="","",VLOOKUP($G21,'Geometry 2'!$E$4:$AH$14,23,TRUE))</f>
        <v/>
      </c>
      <c r="AK21" s="747"/>
      <c r="AL21" s="747"/>
      <c r="AM21" s="748"/>
      <c r="AN21" s="717"/>
      <c r="AO21" s="717"/>
      <c r="AP21" s="717"/>
      <c r="AQ21" s="717"/>
      <c r="AR21" s="717" t="str">
        <f>IF($G21="","",VLOOKUP($G21,'Geometry 2'!$E$4:$AH$14,27,TRUE))</f>
        <v/>
      </c>
      <c r="AS21" s="717"/>
      <c r="AT21" s="717"/>
      <c r="AU21" s="718"/>
      <c r="AV21" s="715"/>
      <c r="AW21" s="716"/>
      <c r="AX21" s="716"/>
      <c r="AZ21" s="722" t="str">
        <f t="shared" si="5"/>
        <v/>
      </c>
      <c r="BA21" s="723"/>
      <c r="BB21" s="723"/>
      <c r="BC21" s="724"/>
      <c r="BD21" s="722"/>
      <c r="BE21" s="723"/>
      <c r="BF21" s="723"/>
      <c r="BG21" s="722" t="str">
        <f t="shared" si="1"/>
        <v/>
      </c>
      <c r="BH21" s="723"/>
      <c r="BI21" s="723"/>
      <c r="BJ21" s="723"/>
      <c r="BK21" s="724"/>
      <c r="BL21" s="722"/>
      <c r="BM21" s="723"/>
      <c r="BN21" s="723"/>
      <c r="BO21" s="723"/>
      <c r="BP21" s="725"/>
      <c r="BQ21" s="725"/>
      <c r="BR21" s="722" t="str">
        <f>IF(BP21="","",IF(OR(AND(Rev="H",Calculations!$F$27=TRUE),AND(Rev&lt;&gt;"H",Calculations!$F$30=TRUE)),IF(BP21&lt;=1,"Pass","Fail"),IF(BP21&lt;=1.05,"Pass","Fail")))</f>
        <v/>
      </c>
      <c r="BS21" s="723"/>
      <c r="BT21" s="724"/>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98"/>
      <c r="CP21" s="799"/>
      <c r="CQ21" s="800"/>
      <c r="CR21" s="798"/>
      <c r="CS21" s="799"/>
      <c r="CT21" s="800"/>
      <c r="CU21" s="798" t="str">
        <f t="shared" si="7"/>
        <v/>
      </c>
      <c r="CV21" s="799"/>
      <c r="CW21" s="806"/>
      <c r="CX21" s="726"/>
      <c r="CY21" s="727"/>
      <c r="CZ21" s="732"/>
      <c r="DA21" s="726"/>
      <c r="DB21" s="727"/>
      <c r="DC21" s="732"/>
      <c r="DD21" s="726" t="str">
        <f t="shared" si="8"/>
        <v/>
      </c>
      <c r="DE21" s="727"/>
      <c r="DF21" s="728"/>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6" t="str">
        <f t="shared" si="4"/>
        <v/>
      </c>
      <c r="E22" s="767"/>
      <c r="F22" s="17" t="str">
        <f t="shared" si="2"/>
        <v/>
      </c>
      <c r="G22" s="768"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9"/>
      <c r="I22" s="228"/>
      <c r="J22" s="228"/>
      <c r="K22" s="228"/>
      <c r="L22" s="717" t="str">
        <f t="shared" si="0"/>
        <v/>
      </c>
      <c r="M22" s="717"/>
      <c r="N22" s="717"/>
      <c r="O22" s="717"/>
      <c r="P22" s="717" t="str">
        <f>IF(OR(G22=0,G22=""),"",IF(VLOOKUP(G22,'Geometry 2'!$C$4:$AI$14,1,TRUE)=VLOOKUP(G23,'Geometry 2'!$C$4:$AI$14,1,TRUE),"",IF(VLOOKUP(G22,'Geometry 2'!$C$4:$AI$14,33,TRUE)&lt;&gt;"n/a",MIN(G22,VLOOKUP(G22,'Geometry 2'!$C$4:$AI$14,1,TRUE))-VLOOKUP(G22,'Geometry 2'!$C$4:$AI$14,33,TRUE),"check")))</f>
        <v/>
      </c>
      <c r="Q22" s="717"/>
      <c r="R22" s="717"/>
      <c r="S22" s="717"/>
      <c r="T22" s="717" t="str">
        <f>IF($G22="","",VLOOKUP($G22,'Geometry 2'!$E$4:$AH$14,11,TRUE))</f>
        <v/>
      </c>
      <c r="U22" s="717"/>
      <c r="V22" s="717"/>
      <c r="W22" s="717"/>
      <c r="X22" s="716" t="str">
        <f>IF($G22="","",VLOOKUP($G22,'Geometry 2'!$E$4:$AJ$14,19,TRUE)-12*VLOOKUP($G22,'Geometry 2'!$E$4:$AJ$14,32,TRUE)*($D22-VLOOKUP($G22,'Geometry 2'!$E$5:$AH$14,1,TRUE)))</f>
        <v/>
      </c>
      <c r="Y22" s="716"/>
      <c r="Z22" s="716"/>
      <c r="AA22" s="716"/>
      <c r="AB22" s="757" t="str">
        <f>IF($G22="","",VLOOKUP($G22,'Geometry 2'!$E$4:$AJ$14,19,TRUE)-12*VLOOKUP($G22,'Geometry 2'!$E$4:$AJ$14,32,TRUE)*($G22-VLOOKUP($G22,'Geometry 2'!$E$5:$AH$14,1,TRUE)))</f>
        <v/>
      </c>
      <c r="AC22" s="758"/>
      <c r="AD22" s="758"/>
      <c r="AE22" s="759"/>
      <c r="AF22" s="716" t="str">
        <f>IF($G22="","",VLOOKUP($G22,'Geometry 2'!$E$4:$AJ$14,19,TRUE)-12*VLOOKUP($G22,'Geometry 2'!$E$4:$AJ$14,32,TRUE)*($G22-IF($P22="",0,$P22)-VLOOKUP($G22,'Geometry 2'!$E$5:$AH$14,1,TRUE)))</f>
        <v/>
      </c>
      <c r="AG22" s="716"/>
      <c r="AH22" s="716"/>
      <c r="AI22" s="716"/>
      <c r="AJ22" s="746" t="str">
        <f>IF($G22="","",VLOOKUP($G22,'Geometry 2'!$E$4:$AH$14,23,TRUE))</f>
        <v/>
      </c>
      <c r="AK22" s="747"/>
      <c r="AL22" s="747"/>
      <c r="AM22" s="748"/>
      <c r="AN22" s="717"/>
      <c r="AO22" s="717"/>
      <c r="AP22" s="717"/>
      <c r="AQ22" s="717"/>
      <c r="AR22" s="717" t="str">
        <f>IF($G22="","",VLOOKUP($G22,'Geometry 2'!$E$4:$AH$14,27,TRUE))</f>
        <v/>
      </c>
      <c r="AS22" s="717"/>
      <c r="AT22" s="717"/>
      <c r="AU22" s="718"/>
      <c r="AV22" s="715"/>
      <c r="AW22" s="716"/>
      <c r="AX22" s="716"/>
      <c r="AZ22" s="722" t="str">
        <f t="shared" si="5"/>
        <v/>
      </c>
      <c r="BA22" s="723"/>
      <c r="BB22" s="723"/>
      <c r="BC22" s="724"/>
      <c r="BD22" s="722"/>
      <c r="BE22" s="723"/>
      <c r="BF22" s="723"/>
      <c r="BG22" s="722" t="str">
        <f t="shared" si="1"/>
        <v/>
      </c>
      <c r="BH22" s="723"/>
      <c r="BI22" s="723"/>
      <c r="BJ22" s="723"/>
      <c r="BK22" s="724"/>
      <c r="BL22" s="722"/>
      <c r="BM22" s="723"/>
      <c r="BN22" s="723"/>
      <c r="BO22" s="723"/>
      <c r="BP22" s="725"/>
      <c r="BQ22" s="725"/>
      <c r="BR22" s="722" t="str">
        <f>IF(BP22="","",IF(OR(AND(Rev="H",Calculations!$F$27=TRUE),AND(Rev&lt;&gt;"H",Calculations!$F$30=TRUE)),IF(BP22&lt;=1,"Pass","Fail"),IF(BP22&lt;=1.05,"Pass","Fail")))</f>
        <v/>
      </c>
      <c r="BS22" s="723"/>
      <c r="BT22" s="724"/>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91"/>
      <c r="CP22" s="792"/>
      <c r="CQ22" s="793"/>
      <c r="CR22" s="791"/>
      <c r="CS22" s="792"/>
      <c r="CT22" s="793"/>
      <c r="CU22" s="791" t="str">
        <f t="shared" si="7"/>
        <v/>
      </c>
      <c r="CV22" s="792"/>
      <c r="CW22" s="807"/>
      <c r="CX22" s="808"/>
      <c r="CY22" s="730"/>
      <c r="CZ22" s="809"/>
      <c r="DA22" s="733"/>
      <c r="DB22" s="734"/>
      <c r="DC22" s="735"/>
      <c r="DD22" s="729" t="str">
        <f t="shared" si="8"/>
        <v/>
      </c>
      <c r="DE22" s="730"/>
      <c r="DF22" s="731"/>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6" t="str">
        <f t="shared" si="4"/>
        <v/>
      </c>
      <c r="E23" s="767"/>
      <c r="F23" s="17" t="str">
        <f t="shared" si="2"/>
        <v/>
      </c>
      <c r="G23" s="768"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9"/>
      <c r="I23" s="228"/>
      <c r="J23" s="228"/>
      <c r="K23" s="228"/>
      <c r="L23" s="717" t="str">
        <f t="shared" si="0"/>
        <v/>
      </c>
      <c r="M23" s="717"/>
      <c r="N23" s="717"/>
      <c r="O23" s="717"/>
      <c r="P23" s="717" t="str">
        <f>IF(OR(G23=0,G23=""),"",IF(VLOOKUP(G23,'Geometry 2'!$C$4:$AI$14,1,TRUE)=VLOOKUP(G24,'Geometry 2'!$C$4:$AI$14,1,TRUE),"",IF(VLOOKUP(G23,'Geometry 2'!$C$4:$AI$14,33,TRUE)&lt;&gt;"n/a",MIN(G23,VLOOKUP(G23,'Geometry 2'!$C$4:$AI$14,1,TRUE))-VLOOKUP(G23,'Geometry 2'!$C$4:$AI$14,33,TRUE),"check")))</f>
        <v/>
      </c>
      <c r="Q23" s="717"/>
      <c r="R23" s="717"/>
      <c r="S23" s="717"/>
      <c r="T23" s="717" t="str">
        <f>IF($G23="","",VLOOKUP($G23,'Geometry 2'!$E$4:$AH$14,11,TRUE))</f>
        <v/>
      </c>
      <c r="U23" s="717"/>
      <c r="V23" s="717"/>
      <c r="W23" s="717"/>
      <c r="X23" s="716" t="str">
        <f>IF($G23="","",VLOOKUP($G23,'Geometry 2'!$E$4:$AJ$14,19,TRUE)-12*VLOOKUP($G23,'Geometry 2'!$E$4:$AJ$14,32,TRUE)*($D23-VLOOKUP($G23,'Geometry 2'!$E$5:$AH$14,1,TRUE)))</f>
        <v/>
      </c>
      <c r="Y23" s="716"/>
      <c r="Z23" s="716"/>
      <c r="AA23" s="716"/>
      <c r="AB23" s="757" t="str">
        <f>IF($G23="","",VLOOKUP($G23,'Geometry 2'!$E$4:$AJ$14,19,TRUE)-12*VLOOKUP($G23,'Geometry 2'!$E$4:$AJ$14,32,TRUE)*($G23-VLOOKUP($G23,'Geometry 2'!$E$5:$AH$14,1,TRUE)))</f>
        <v/>
      </c>
      <c r="AC23" s="758"/>
      <c r="AD23" s="758"/>
      <c r="AE23" s="759"/>
      <c r="AF23" s="716" t="str">
        <f>IF($G23="","",VLOOKUP($G23,'Geometry 2'!$E$4:$AJ$14,19,TRUE)-12*VLOOKUP($G23,'Geometry 2'!$E$4:$AJ$14,32,TRUE)*($G23-IF($P23="",0,$P23)-VLOOKUP($G23,'Geometry 2'!$E$5:$AH$14,1,TRUE)))</f>
        <v/>
      </c>
      <c r="AG23" s="716"/>
      <c r="AH23" s="716"/>
      <c r="AI23" s="716"/>
      <c r="AJ23" s="746" t="str">
        <f>IF($G23="","",VLOOKUP($G23,'Geometry 2'!$E$4:$AH$14,23,TRUE))</f>
        <v/>
      </c>
      <c r="AK23" s="747"/>
      <c r="AL23" s="747"/>
      <c r="AM23" s="748"/>
      <c r="AN23" s="717"/>
      <c r="AO23" s="717"/>
      <c r="AP23" s="717"/>
      <c r="AQ23" s="717"/>
      <c r="AR23" s="717" t="str">
        <f>IF($G23="","",VLOOKUP($G23,'Geometry 2'!$E$4:$AH$14,27,TRUE))</f>
        <v/>
      </c>
      <c r="AS23" s="717"/>
      <c r="AT23" s="717"/>
      <c r="AU23" s="718"/>
      <c r="AV23" s="715"/>
      <c r="AW23" s="716"/>
      <c r="AX23" s="716"/>
      <c r="AZ23" s="722" t="str">
        <f t="shared" si="5"/>
        <v/>
      </c>
      <c r="BA23" s="723"/>
      <c r="BB23" s="723"/>
      <c r="BC23" s="724"/>
      <c r="BD23" s="722"/>
      <c r="BE23" s="723"/>
      <c r="BF23" s="723"/>
      <c r="BG23" s="722" t="str">
        <f t="shared" ref="BG23:BG83" si="9">IF(AZ23="","","TP"&amp;ROUND(AF23,3)&amp;"x"&amp;ROUND(X23,3)&amp;"x"&amp;ROUND(AN23,4))</f>
        <v/>
      </c>
      <c r="BH23" s="723"/>
      <c r="BI23" s="723"/>
      <c r="BJ23" s="723"/>
      <c r="BK23" s="724"/>
      <c r="BL23" s="722"/>
      <c r="BM23" s="723"/>
      <c r="BN23" s="723"/>
      <c r="BO23" s="723"/>
      <c r="BP23" s="725"/>
      <c r="BQ23" s="725"/>
      <c r="BR23" s="722" t="str">
        <f>IF(BP23="","",IF(OR(AND(Rev="H",Calculations!$F$27=TRUE),AND(Rev&lt;&gt;"H",Calculations!$F$30=TRUE)),IF(BP23&lt;=1,"Pass","Fail"),IF(BP23&lt;=1.05,"Pass","Fail")))</f>
        <v/>
      </c>
      <c r="BS23" s="723"/>
      <c r="BT23" s="724"/>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98"/>
      <c r="CP23" s="799"/>
      <c r="CQ23" s="800"/>
      <c r="CR23" s="798"/>
      <c r="CS23" s="799"/>
      <c r="CT23" s="800"/>
      <c r="CU23" s="798" t="str">
        <f t="shared" si="7"/>
        <v/>
      </c>
      <c r="CV23" s="799"/>
      <c r="CW23" s="806"/>
      <c r="CX23" s="726"/>
      <c r="CY23" s="727"/>
      <c r="CZ23" s="732"/>
      <c r="DA23" s="726"/>
      <c r="DB23" s="727"/>
      <c r="DC23" s="732"/>
      <c r="DD23" s="726" t="str">
        <f t="shared" si="8"/>
        <v/>
      </c>
      <c r="DE23" s="727"/>
      <c r="DF23" s="728"/>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6" t="str">
        <f t="shared" si="4"/>
        <v/>
      </c>
      <c r="E24" s="767"/>
      <c r="F24" s="17" t="str">
        <f t="shared" si="2"/>
        <v/>
      </c>
      <c r="G24" s="768"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9"/>
      <c r="I24" s="228"/>
      <c r="J24" s="228"/>
      <c r="K24" s="228"/>
      <c r="L24" s="717" t="str">
        <f t="shared" si="0"/>
        <v/>
      </c>
      <c r="M24" s="717"/>
      <c r="N24" s="717"/>
      <c r="O24" s="717"/>
      <c r="P24" s="717" t="str">
        <f>IF(OR(G24=0,G24=""),"",IF(VLOOKUP(G24,'Geometry 2'!$C$4:$AI$14,1,TRUE)=VLOOKUP(G25,'Geometry 2'!$C$4:$AI$14,1,TRUE),"",IF(VLOOKUP(G24,'Geometry 2'!$C$4:$AI$14,33,TRUE)&lt;&gt;"n/a",MIN(G24,VLOOKUP(G24,'Geometry 2'!$C$4:$AI$14,1,TRUE))-VLOOKUP(G24,'Geometry 2'!$C$4:$AI$14,33,TRUE),"check")))</f>
        <v/>
      </c>
      <c r="Q24" s="717"/>
      <c r="R24" s="717"/>
      <c r="S24" s="717"/>
      <c r="T24" s="717" t="str">
        <f>IF($G24="","",VLOOKUP($G24,'Geometry 2'!$E$4:$AH$14,11,TRUE))</f>
        <v/>
      </c>
      <c r="U24" s="717"/>
      <c r="V24" s="717"/>
      <c r="W24" s="717"/>
      <c r="X24" s="716" t="str">
        <f>IF($G24="","",VLOOKUP($G24,'Geometry 2'!$E$4:$AJ$14,19,TRUE)-12*VLOOKUP($G24,'Geometry 2'!$E$4:$AJ$14,32,TRUE)*($D24-VLOOKUP($G24,'Geometry 2'!$E$5:$AH$14,1,TRUE)))</f>
        <v/>
      </c>
      <c r="Y24" s="716"/>
      <c r="Z24" s="716"/>
      <c r="AA24" s="716"/>
      <c r="AB24" s="757" t="str">
        <f>IF($G24="","",VLOOKUP($G24,'Geometry 2'!$E$4:$AJ$14,19,TRUE)-12*VLOOKUP($G24,'Geometry 2'!$E$4:$AJ$14,32,TRUE)*($G24-VLOOKUP($G24,'Geometry 2'!$E$5:$AH$14,1,TRUE)))</f>
        <v/>
      </c>
      <c r="AC24" s="758"/>
      <c r="AD24" s="758"/>
      <c r="AE24" s="759"/>
      <c r="AF24" s="716" t="str">
        <f>IF($G24="","",VLOOKUP($G24,'Geometry 2'!$E$4:$AJ$14,19,TRUE)-12*VLOOKUP($G24,'Geometry 2'!$E$4:$AJ$14,32,TRUE)*($G24-IF($P24="",0,$P24)-VLOOKUP($G24,'Geometry 2'!$E$5:$AH$14,1,TRUE)))</f>
        <v/>
      </c>
      <c r="AG24" s="716"/>
      <c r="AH24" s="716"/>
      <c r="AI24" s="716"/>
      <c r="AJ24" s="746" t="str">
        <f>IF($G24="","",VLOOKUP($G24,'Geometry 2'!$E$4:$AH$14,23,TRUE))</f>
        <v/>
      </c>
      <c r="AK24" s="747"/>
      <c r="AL24" s="747"/>
      <c r="AM24" s="748"/>
      <c r="AN24" s="717"/>
      <c r="AO24" s="717"/>
      <c r="AP24" s="717"/>
      <c r="AQ24" s="717"/>
      <c r="AR24" s="717" t="str">
        <f>IF($G24="","",VLOOKUP($G24,'Geometry 2'!$E$4:$AH$14,27,TRUE))</f>
        <v/>
      </c>
      <c r="AS24" s="717"/>
      <c r="AT24" s="717"/>
      <c r="AU24" s="718"/>
      <c r="AV24" s="715"/>
      <c r="AW24" s="716"/>
      <c r="AX24" s="716"/>
      <c r="AZ24" s="722" t="str">
        <f t="shared" si="5"/>
        <v/>
      </c>
      <c r="BA24" s="723"/>
      <c r="BB24" s="723"/>
      <c r="BC24" s="724"/>
      <c r="BD24" s="722"/>
      <c r="BE24" s="723"/>
      <c r="BF24" s="723"/>
      <c r="BG24" s="722" t="str">
        <f t="shared" si="9"/>
        <v/>
      </c>
      <c r="BH24" s="723"/>
      <c r="BI24" s="723"/>
      <c r="BJ24" s="723"/>
      <c r="BK24" s="724"/>
      <c r="BL24" s="722"/>
      <c r="BM24" s="723"/>
      <c r="BN24" s="723"/>
      <c r="BO24" s="723"/>
      <c r="BP24" s="725"/>
      <c r="BQ24" s="725"/>
      <c r="BR24" s="722" t="str">
        <f>IF(BP24="","",IF(OR(AND(Rev="H",Calculations!$F$27=TRUE),AND(Rev&lt;&gt;"H",Calculations!$F$30=TRUE)),IF(BP24&lt;=1,"Pass","Fail"),IF(BP24&lt;=1.05,"Pass","Fail")))</f>
        <v/>
      </c>
      <c r="BS24" s="723"/>
      <c r="BT24" s="724"/>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91"/>
      <c r="CP24" s="792"/>
      <c r="CQ24" s="793"/>
      <c r="CR24" s="791"/>
      <c r="CS24" s="792"/>
      <c r="CT24" s="793"/>
      <c r="CU24" s="791" t="str">
        <f t="shared" si="7"/>
        <v/>
      </c>
      <c r="CV24" s="792"/>
      <c r="CW24" s="807"/>
      <c r="CX24" s="808"/>
      <c r="CY24" s="730"/>
      <c r="CZ24" s="809"/>
      <c r="DA24" s="733"/>
      <c r="DB24" s="734"/>
      <c r="DC24" s="735"/>
      <c r="DD24" s="729" t="str">
        <f t="shared" si="8"/>
        <v/>
      </c>
      <c r="DE24" s="730"/>
      <c r="DF24" s="731"/>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6" t="str">
        <f t="shared" si="4"/>
        <v/>
      </c>
      <c r="E25" s="767"/>
      <c r="F25" s="17" t="str">
        <f t="shared" si="2"/>
        <v/>
      </c>
      <c r="G25" s="768"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9"/>
      <c r="I25" s="228"/>
      <c r="J25" s="228"/>
      <c r="K25" s="228"/>
      <c r="L25" s="717" t="str">
        <f t="shared" si="0"/>
        <v/>
      </c>
      <c r="M25" s="717"/>
      <c r="N25" s="717"/>
      <c r="O25" s="717"/>
      <c r="P25" s="717" t="str">
        <f>IF(OR(G25=0,G25=""),"",IF(VLOOKUP(G25,'Geometry 2'!$C$4:$AI$14,1,TRUE)=VLOOKUP(G26,'Geometry 2'!$C$4:$AI$14,1,TRUE),"",IF(VLOOKUP(G25,'Geometry 2'!$C$4:$AI$14,33,TRUE)&lt;&gt;"n/a",MIN(G25,VLOOKUP(G25,'Geometry 2'!$C$4:$AI$14,1,TRUE))-VLOOKUP(G25,'Geometry 2'!$C$4:$AI$14,33,TRUE),"check")))</f>
        <v/>
      </c>
      <c r="Q25" s="717"/>
      <c r="R25" s="717"/>
      <c r="S25" s="717"/>
      <c r="T25" s="717" t="str">
        <f>IF($G25="","",VLOOKUP($G25,'Geometry 2'!$E$4:$AH$14,11,TRUE))</f>
        <v/>
      </c>
      <c r="U25" s="717"/>
      <c r="V25" s="717"/>
      <c r="W25" s="717"/>
      <c r="X25" s="716" t="str">
        <f>IF($G25="","",VLOOKUP($G25,'Geometry 2'!$E$4:$AJ$14,19,TRUE)-12*VLOOKUP($G25,'Geometry 2'!$E$4:$AJ$14,32,TRUE)*($D25-VLOOKUP($G25,'Geometry 2'!$E$5:$AH$14,1,TRUE)))</f>
        <v/>
      </c>
      <c r="Y25" s="716"/>
      <c r="Z25" s="716"/>
      <c r="AA25" s="716"/>
      <c r="AB25" s="757" t="str">
        <f>IF($G25="","",VLOOKUP($G25,'Geometry 2'!$E$4:$AJ$14,19,TRUE)-12*VLOOKUP($G25,'Geometry 2'!$E$4:$AJ$14,32,TRUE)*($G25-VLOOKUP($G25,'Geometry 2'!$E$5:$AH$14,1,TRUE)))</f>
        <v/>
      </c>
      <c r="AC25" s="758"/>
      <c r="AD25" s="758"/>
      <c r="AE25" s="759"/>
      <c r="AF25" s="716" t="str">
        <f>IF($G25="","",VLOOKUP($G25,'Geometry 2'!$E$4:$AJ$14,19,TRUE)-12*VLOOKUP($G25,'Geometry 2'!$E$4:$AJ$14,32,TRUE)*($G25-IF($P25="",0,$P25)-VLOOKUP($G25,'Geometry 2'!$E$5:$AH$14,1,TRUE)))</f>
        <v/>
      </c>
      <c r="AG25" s="716"/>
      <c r="AH25" s="716"/>
      <c r="AI25" s="716"/>
      <c r="AJ25" s="746" t="str">
        <f>IF($G25="","",VLOOKUP($G25,'Geometry 2'!$E$4:$AH$14,23,TRUE))</f>
        <v/>
      </c>
      <c r="AK25" s="747"/>
      <c r="AL25" s="747"/>
      <c r="AM25" s="748"/>
      <c r="AN25" s="717"/>
      <c r="AO25" s="717"/>
      <c r="AP25" s="717"/>
      <c r="AQ25" s="717"/>
      <c r="AR25" s="717" t="str">
        <f>IF($G25="","",VLOOKUP($G25,'Geometry 2'!$E$4:$AH$14,27,TRUE))</f>
        <v/>
      </c>
      <c r="AS25" s="717"/>
      <c r="AT25" s="717"/>
      <c r="AU25" s="718"/>
      <c r="AV25" s="715"/>
      <c r="AW25" s="716"/>
      <c r="AX25" s="716"/>
      <c r="AZ25" s="722" t="str">
        <f t="shared" si="5"/>
        <v/>
      </c>
      <c r="BA25" s="723"/>
      <c r="BB25" s="723"/>
      <c r="BC25" s="724"/>
      <c r="BD25" s="722"/>
      <c r="BE25" s="723"/>
      <c r="BF25" s="723"/>
      <c r="BG25" s="722" t="str">
        <f t="shared" si="9"/>
        <v/>
      </c>
      <c r="BH25" s="723"/>
      <c r="BI25" s="723"/>
      <c r="BJ25" s="723"/>
      <c r="BK25" s="724"/>
      <c r="BL25" s="722"/>
      <c r="BM25" s="723"/>
      <c r="BN25" s="723"/>
      <c r="BO25" s="723"/>
      <c r="BP25" s="725"/>
      <c r="BQ25" s="725"/>
      <c r="BR25" s="722" t="str">
        <f>IF(BP25="","",IF(OR(AND(Rev="H",Calculations!$F$27=TRUE),AND(Rev&lt;&gt;"H",Calculations!$F$30=TRUE)),IF(BP25&lt;=1,"Pass","Fail"),IF(BP25&lt;=1.05,"Pass","Fail")))</f>
        <v/>
      </c>
      <c r="BS25" s="723"/>
      <c r="BT25" s="724"/>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98"/>
      <c r="CP25" s="799"/>
      <c r="CQ25" s="800"/>
      <c r="CR25" s="798"/>
      <c r="CS25" s="799"/>
      <c r="CT25" s="800"/>
      <c r="CU25" s="798" t="str">
        <f t="shared" si="7"/>
        <v/>
      </c>
      <c r="CV25" s="799"/>
      <c r="CW25" s="806"/>
      <c r="CX25" s="726"/>
      <c r="CY25" s="727"/>
      <c r="CZ25" s="732"/>
      <c r="DA25" s="726"/>
      <c r="DB25" s="727"/>
      <c r="DC25" s="732"/>
      <c r="DD25" s="726" t="str">
        <f t="shared" si="8"/>
        <v/>
      </c>
      <c r="DE25" s="727"/>
      <c r="DF25" s="728"/>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6" t="str">
        <f t="shared" si="4"/>
        <v/>
      </c>
      <c r="E26" s="767"/>
      <c r="F26" s="17" t="str">
        <f t="shared" si="2"/>
        <v/>
      </c>
      <c r="G26" s="768"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9"/>
      <c r="I26" s="228"/>
      <c r="J26" s="228"/>
      <c r="K26" s="228"/>
      <c r="L26" s="717" t="str">
        <f t="shared" si="0"/>
        <v/>
      </c>
      <c r="M26" s="717"/>
      <c r="N26" s="717"/>
      <c r="O26" s="717"/>
      <c r="P26" s="717" t="str">
        <f>IF(OR(G26=0,G26=""),"",IF(VLOOKUP(G26,'Geometry 2'!$C$4:$AI$14,1,TRUE)=VLOOKUP(G27,'Geometry 2'!$C$4:$AI$14,1,TRUE),"",IF(VLOOKUP(G26,'Geometry 2'!$C$4:$AI$14,33,TRUE)&lt;&gt;"n/a",MIN(G26,VLOOKUP(G26,'Geometry 2'!$C$4:$AI$14,1,TRUE))-VLOOKUP(G26,'Geometry 2'!$C$4:$AI$14,33,TRUE),"check")))</f>
        <v/>
      </c>
      <c r="Q26" s="717"/>
      <c r="R26" s="717"/>
      <c r="S26" s="717"/>
      <c r="T26" s="717" t="str">
        <f>IF($G26="","",VLOOKUP($G26,'Geometry 2'!$E$4:$AH$14,11,TRUE))</f>
        <v/>
      </c>
      <c r="U26" s="717"/>
      <c r="V26" s="717"/>
      <c r="W26" s="717"/>
      <c r="X26" s="716" t="str">
        <f>IF($G26="","",VLOOKUP($G26,'Geometry 2'!$E$4:$AJ$14,19,TRUE)-12*VLOOKUP($G26,'Geometry 2'!$E$4:$AJ$14,32,TRUE)*($D26-VLOOKUP($G26,'Geometry 2'!$E$5:$AH$14,1,TRUE)))</f>
        <v/>
      </c>
      <c r="Y26" s="716"/>
      <c r="Z26" s="716"/>
      <c r="AA26" s="716"/>
      <c r="AB26" s="757" t="str">
        <f>IF($G26="","",VLOOKUP($G26,'Geometry 2'!$E$4:$AJ$14,19,TRUE)-12*VLOOKUP($G26,'Geometry 2'!$E$4:$AJ$14,32,TRUE)*($G26-VLOOKUP($G26,'Geometry 2'!$E$5:$AH$14,1,TRUE)))</f>
        <v/>
      </c>
      <c r="AC26" s="758"/>
      <c r="AD26" s="758"/>
      <c r="AE26" s="759"/>
      <c r="AF26" s="716" t="str">
        <f>IF($G26="","",VLOOKUP($G26,'Geometry 2'!$E$4:$AJ$14,19,TRUE)-12*VLOOKUP($G26,'Geometry 2'!$E$4:$AJ$14,32,TRUE)*($G26-IF($P26="",0,$P26)-VLOOKUP($G26,'Geometry 2'!$E$5:$AH$14,1,TRUE)))</f>
        <v/>
      </c>
      <c r="AG26" s="716"/>
      <c r="AH26" s="716"/>
      <c r="AI26" s="716"/>
      <c r="AJ26" s="746" t="str">
        <f>IF($G26="","",VLOOKUP($G26,'Geometry 2'!$E$4:$AH$14,23,TRUE))</f>
        <v/>
      </c>
      <c r="AK26" s="747"/>
      <c r="AL26" s="747"/>
      <c r="AM26" s="748"/>
      <c r="AN26" s="717"/>
      <c r="AO26" s="717"/>
      <c r="AP26" s="717"/>
      <c r="AQ26" s="717"/>
      <c r="AR26" s="717" t="str">
        <f>IF($G26="","",VLOOKUP($G26,'Geometry 2'!$E$4:$AH$14,27,TRUE))</f>
        <v/>
      </c>
      <c r="AS26" s="717"/>
      <c r="AT26" s="717"/>
      <c r="AU26" s="718"/>
      <c r="AV26" s="715"/>
      <c r="AW26" s="716"/>
      <c r="AX26" s="716"/>
      <c r="AZ26" s="722" t="str">
        <f t="shared" si="5"/>
        <v/>
      </c>
      <c r="BA26" s="723"/>
      <c r="BB26" s="723"/>
      <c r="BC26" s="724"/>
      <c r="BD26" s="722"/>
      <c r="BE26" s="723"/>
      <c r="BF26" s="723"/>
      <c r="BG26" s="722" t="str">
        <f t="shared" si="9"/>
        <v/>
      </c>
      <c r="BH26" s="723"/>
      <c r="BI26" s="723"/>
      <c r="BJ26" s="723"/>
      <c r="BK26" s="724"/>
      <c r="BL26" s="722"/>
      <c r="BM26" s="723"/>
      <c r="BN26" s="723"/>
      <c r="BO26" s="723"/>
      <c r="BP26" s="725"/>
      <c r="BQ26" s="725"/>
      <c r="BR26" s="722" t="str">
        <f>IF(BP26="","",IF(OR(AND(Rev="H",Calculations!$F$27=TRUE),AND(Rev&lt;&gt;"H",Calculations!$F$30=TRUE)),IF(BP26&lt;=1,"Pass","Fail"),IF(BP26&lt;=1.05,"Pass","Fail")))</f>
        <v/>
      </c>
      <c r="BS26" s="723"/>
      <c r="BT26" s="724"/>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91"/>
      <c r="CP26" s="792"/>
      <c r="CQ26" s="793"/>
      <c r="CR26" s="791"/>
      <c r="CS26" s="792"/>
      <c r="CT26" s="793"/>
      <c r="CU26" s="791" t="str">
        <f t="shared" si="7"/>
        <v/>
      </c>
      <c r="CV26" s="792"/>
      <c r="CW26" s="807"/>
      <c r="CX26" s="808"/>
      <c r="CY26" s="730"/>
      <c r="CZ26" s="809"/>
      <c r="DA26" s="733"/>
      <c r="DB26" s="734"/>
      <c r="DC26" s="735"/>
      <c r="DD26" s="729" t="str">
        <f t="shared" si="8"/>
        <v/>
      </c>
      <c r="DE26" s="730"/>
      <c r="DF26" s="731"/>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6" t="str">
        <f t="shared" si="4"/>
        <v/>
      </c>
      <c r="E27" s="767"/>
      <c r="F27" s="17" t="str">
        <f t="shared" si="2"/>
        <v/>
      </c>
      <c r="G27" s="768"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9"/>
      <c r="I27" s="228"/>
      <c r="J27" s="228"/>
      <c r="K27" s="228"/>
      <c r="L27" s="717" t="str">
        <f t="shared" si="0"/>
        <v/>
      </c>
      <c r="M27" s="717"/>
      <c r="N27" s="717"/>
      <c r="O27" s="717"/>
      <c r="P27" s="717" t="str">
        <f>IF(OR(G27=0,G27=""),"",IF(VLOOKUP(G27,'Geometry 2'!$C$4:$AI$14,1,TRUE)=VLOOKUP(G28,'Geometry 2'!$C$4:$AI$14,1,TRUE),"",IF(VLOOKUP(G27,'Geometry 2'!$C$4:$AI$14,33,TRUE)&lt;&gt;"n/a",MIN(G27,VLOOKUP(G27,'Geometry 2'!$C$4:$AI$14,1,TRUE))-VLOOKUP(G27,'Geometry 2'!$C$4:$AI$14,33,TRUE),"check")))</f>
        <v/>
      </c>
      <c r="Q27" s="717"/>
      <c r="R27" s="717"/>
      <c r="S27" s="717"/>
      <c r="T27" s="717" t="str">
        <f>IF($G27="","",VLOOKUP($G27,'Geometry 2'!$E$4:$AH$14,11,TRUE))</f>
        <v/>
      </c>
      <c r="U27" s="717"/>
      <c r="V27" s="717"/>
      <c r="W27" s="717"/>
      <c r="X27" s="716" t="str">
        <f>IF($G27="","",VLOOKUP($G27,'Geometry 2'!$E$4:$AJ$14,19,TRUE)-12*VLOOKUP($G27,'Geometry 2'!$E$4:$AJ$14,32,TRUE)*($D27-VLOOKUP($G27,'Geometry 2'!$E$5:$AH$14,1,TRUE)))</f>
        <v/>
      </c>
      <c r="Y27" s="716"/>
      <c r="Z27" s="716"/>
      <c r="AA27" s="716"/>
      <c r="AB27" s="757" t="str">
        <f>IF($G27="","",VLOOKUP($G27,'Geometry 2'!$E$4:$AJ$14,19,TRUE)-12*VLOOKUP($G27,'Geometry 2'!$E$4:$AJ$14,32,TRUE)*($G27-VLOOKUP($G27,'Geometry 2'!$E$5:$AH$14,1,TRUE)))</f>
        <v/>
      </c>
      <c r="AC27" s="758"/>
      <c r="AD27" s="758"/>
      <c r="AE27" s="759"/>
      <c r="AF27" s="716" t="str">
        <f>IF($G27="","",VLOOKUP($G27,'Geometry 2'!$E$4:$AJ$14,19,TRUE)-12*VLOOKUP($G27,'Geometry 2'!$E$4:$AJ$14,32,TRUE)*($G27-IF($P27="",0,$P27)-VLOOKUP($G27,'Geometry 2'!$E$5:$AH$14,1,TRUE)))</f>
        <v/>
      </c>
      <c r="AG27" s="716"/>
      <c r="AH27" s="716"/>
      <c r="AI27" s="716"/>
      <c r="AJ27" s="746" t="str">
        <f>IF($G27="","",VLOOKUP($G27,'Geometry 2'!$E$4:$AH$14,23,TRUE))</f>
        <v/>
      </c>
      <c r="AK27" s="747"/>
      <c r="AL27" s="747"/>
      <c r="AM27" s="748"/>
      <c r="AN27" s="717"/>
      <c r="AO27" s="717"/>
      <c r="AP27" s="717"/>
      <c r="AQ27" s="717"/>
      <c r="AR27" s="717" t="str">
        <f>IF($G27="","",VLOOKUP($G27,'Geometry 2'!$E$4:$AH$14,27,TRUE))</f>
        <v/>
      </c>
      <c r="AS27" s="717"/>
      <c r="AT27" s="717"/>
      <c r="AU27" s="718"/>
      <c r="AV27" s="715"/>
      <c r="AW27" s="716"/>
      <c r="AX27" s="716"/>
      <c r="AZ27" s="722" t="str">
        <f t="shared" si="5"/>
        <v/>
      </c>
      <c r="BA27" s="723"/>
      <c r="BB27" s="723"/>
      <c r="BC27" s="724"/>
      <c r="BD27" s="722"/>
      <c r="BE27" s="723"/>
      <c r="BF27" s="723"/>
      <c r="BG27" s="722" t="str">
        <f t="shared" si="9"/>
        <v/>
      </c>
      <c r="BH27" s="723"/>
      <c r="BI27" s="723"/>
      <c r="BJ27" s="723"/>
      <c r="BK27" s="724"/>
      <c r="BL27" s="722"/>
      <c r="BM27" s="723"/>
      <c r="BN27" s="723"/>
      <c r="BO27" s="723"/>
      <c r="BP27" s="725"/>
      <c r="BQ27" s="725"/>
      <c r="BR27" s="722" t="str">
        <f>IF(BP27="","",IF(OR(AND(Rev="H",Calculations!$F$27=TRUE),AND(Rev&lt;&gt;"H",Calculations!$F$30=TRUE)),IF(BP27&lt;=1,"Pass","Fail"),IF(BP27&lt;=1.05,"Pass","Fail")))</f>
        <v/>
      </c>
      <c r="BS27" s="723"/>
      <c r="BT27" s="724"/>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98"/>
      <c r="CP27" s="799"/>
      <c r="CQ27" s="800"/>
      <c r="CR27" s="798"/>
      <c r="CS27" s="799"/>
      <c r="CT27" s="800"/>
      <c r="CU27" s="798" t="str">
        <f t="shared" si="7"/>
        <v/>
      </c>
      <c r="CV27" s="799"/>
      <c r="CW27" s="806"/>
      <c r="CX27" s="726"/>
      <c r="CY27" s="727"/>
      <c r="CZ27" s="732"/>
      <c r="DA27" s="726"/>
      <c r="DB27" s="727"/>
      <c r="DC27" s="732"/>
      <c r="DD27" s="726" t="str">
        <f t="shared" si="8"/>
        <v/>
      </c>
      <c r="DE27" s="727"/>
      <c r="DF27" s="728"/>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6" t="str">
        <f t="shared" si="4"/>
        <v/>
      </c>
      <c r="E28" s="767"/>
      <c r="F28" s="17" t="str">
        <f t="shared" si="2"/>
        <v/>
      </c>
      <c r="G28" s="768"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9"/>
      <c r="I28" s="228"/>
      <c r="J28" s="228"/>
      <c r="K28" s="228"/>
      <c r="L28" s="717" t="str">
        <f t="shared" si="0"/>
        <v/>
      </c>
      <c r="M28" s="717"/>
      <c r="N28" s="717"/>
      <c r="O28" s="717"/>
      <c r="P28" s="717" t="str">
        <f>IF(OR(G28=0,G28=""),"",IF(VLOOKUP(G28,'Geometry 2'!$C$4:$AI$14,1,TRUE)=VLOOKUP(G29,'Geometry 2'!$C$4:$AI$14,1,TRUE),"",IF(VLOOKUP(G28,'Geometry 2'!$C$4:$AI$14,33,TRUE)&lt;&gt;"n/a",MIN(G28,VLOOKUP(G28,'Geometry 2'!$C$4:$AI$14,1,TRUE))-VLOOKUP(G28,'Geometry 2'!$C$4:$AI$14,33,TRUE),"check")))</f>
        <v/>
      </c>
      <c r="Q28" s="717"/>
      <c r="R28" s="717"/>
      <c r="S28" s="717"/>
      <c r="T28" s="717" t="str">
        <f>IF($G28="","",VLOOKUP($G28,'Geometry 2'!$E$4:$AH$14,11,TRUE))</f>
        <v/>
      </c>
      <c r="U28" s="717"/>
      <c r="V28" s="717"/>
      <c r="W28" s="717"/>
      <c r="X28" s="716" t="str">
        <f>IF($G28="","",VLOOKUP($G28,'Geometry 2'!$E$4:$AJ$14,19,TRUE)-12*VLOOKUP($G28,'Geometry 2'!$E$4:$AJ$14,32,TRUE)*($D28-VLOOKUP($G28,'Geometry 2'!$E$5:$AH$14,1,TRUE)))</f>
        <v/>
      </c>
      <c r="Y28" s="716"/>
      <c r="Z28" s="716"/>
      <c r="AA28" s="716"/>
      <c r="AB28" s="757" t="str">
        <f>IF($G28="","",VLOOKUP($G28,'Geometry 2'!$E$4:$AJ$14,19,TRUE)-12*VLOOKUP($G28,'Geometry 2'!$E$4:$AJ$14,32,TRUE)*($G28-VLOOKUP($G28,'Geometry 2'!$E$5:$AH$14,1,TRUE)))</f>
        <v/>
      </c>
      <c r="AC28" s="758"/>
      <c r="AD28" s="758"/>
      <c r="AE28" s="759"/>
      <c r="AF28" s="716" t="str">
        <f>IF($G28="","",VLOOKUP($G28,'Geometry 2'!$E$4:$AJ$14,19,TRUE)-12*VLOOKUP($G28,'Geometry 2'!$E$4:$AJ$14,32,TRUE)*($G28-IF($P28="",0,$P28)-VLOOKUP($G28,'Geometry 2'!$E$5:$AH$14,1,TRUE)))</f>
        <v/>
      </c>
      <c r="AG28" s="716"/>
      <c r="AH28" s="716"/>
      <c r="AI28" s="716"/>
      <c r="AJ28" s="746" t="str">
        <f>IF($G28="","",VLOOKUP($G28,'Geometry 2'!$E$4:$AH$14,23,TRUE))</f>
        <v/>
      </c>
      <c r="AK28" s="747"/>
      <c r="AL28" s="747"/>
      <c r="AM28" s="748"/>
      <c r="AN28" s="717"/>
      <c r="AO28" s="717"/>
      <c r="AP28" s="717"/>
      <c r="AQ28" s="717"/>
      <c r="AR28" s="717" t="str">
        <f>IF($G28="","",VLOOKUP($G28,'Geometry 2'!$E$4:$AH$14,27,TRUE))</f>
        <v/>
      </c>
      <c r="AS28" s="717"/>
      <c r="AT28" s="717"/>
      <c r="AU28" s="718"/>
      <c r="AV28" s="715"/>
      <c r="AW28" s="716"/>
      <c r="AX28" s="716"/>
      <c r="AZ28" s="722" t="str">
        <f t="shared" si="5"/>
        <v/>
      </c>
      <c r="BA28" s="723"/>
      <c r="BB28" s="723"/>
      <c r="BC28" s="724"/>
      <c r="BD28" s="722"/>
      <c r="BE28" s="723"/>
      <c r="BF28" s="723"/>
      <c r="BG28" s="722" t="str">
        <f t="shared" si="9"/>
        <v/>
      </c>
      <c r="BH28" s="723"/>
      <c r="BI28" s="723"/>
      <c r="BJ28" s="723"/>
      <c r="BK28" s="724"/>
      <c r="BL28" s="722"/>
      <c r="BM28" s="723"/>
      <c r="BN28" s="723"/>
      <c r="BO28" s="723"/>
      <c r="BP28" s="725"/>
      <c r="BQ28" s="725"/>
      <c r="BR28" s="722" t="str">
        <f>IF(BP28="","",IF(OR(AND(Rev="H",Calculations!$F$27=TRUE),AND(Rev&lt;&gt;"H",Calculations!$F$30=TRUE)),IF(BP28&lt;=1,"Pass","Fail"),IF(BP28&lt;=1.05,"Pass","Fail")))</f>
        <v/>
      </c>
      <c r="BS28" s="723"/>
      <c r="BT28" s="724"/>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91"/>
      <c r="CP28" s="792"/>
      <c r="CQ28" s="793"/>
      <c r="CR28" s="791"/>
      <c r="CS28" s="792"/>
      <c r="CT28" s="793"/>
      <c r="CU28" s="791" t="str">
        <f t="shared" si="7"/>
        <v/>
      </c>
      <c r="CV28" s="792"/>
      <c r="CW28" s="807"/>
      <c r="CX28" s="808"/>
      <c r="CY28" s="730"/>
      <c r="CZ28" s="809"/>
      <c r="DA28" s="733"/>
      <c r="DB28" s="734"/>
      <c r="DC28" s="735"/>
      <c r="DD28" s="729" t="str">
        <f t="shared" si="8"/>
        <v/>
      </c>
      <c r="DE28" s="730"/>
      <c r="DF28" s="731"/>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6" t="str">
        <f t="shared" si="4"/>
        <v/>
      </c>
      <c r="E29" s="767"/>
      <c r="F29" s="17" t="str">
        <f t="shared" si="2"/>
        <v/>
      </c>
      <c r="G29" s="768"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9"/>
      <c r="I29" s="228"/>
      <c r="J29" s="228"/>
      <c r="K29" s="228"/>
      <c r="L29" s="717" t="str">
        <f t="shared" si="0"/>
        <v/>
      </c>
      <c r="M29" s="717"/>
      <c r="N29" s="717"/>
      <c r="O29" s="717"/>
      <c r="P29" s="717" t="str">
        <f>IF(OR(G29=0,G29=""),"",IF(VLOOKUP(G29,'Geometry 2'!$C$4:$AI$14,1,TRUE)=VLOOKUP(G30,'Geometry 2'!$C$4:$AI$14,1,TRUE),"",IF(VLOOKUP(G29,'Geometry 2'!$C$4:$AI$14,33,TRUE)&lt;&gt;"n/a",MIN(G29,VLOOKUP(G29,'Geometry 2'!$C$4:$AI$14,1,TRUE))-VLOOKUP(G29,'Geometry 2'!$C$4:$AI$14,33,TRUE),"check")))</f>
        <v/>
      </c>
      <c r="Q29" s="717"/>
      <c r="R29" s="717"/>
      <c r="S29" s="717"/>
      <c r="T29" s="717" t="str">
        <f>IF($G29="","",VLOOKUP($G29,'Geometry 2'!$E$4:$AH$14,11,TRUE))</f>
        <v/>
      </c>
      <c r="U29" s="717"/>
      <c r="V29" s="717"/>
      <c r="W29" s="717"/>
      <c r="X29" s="716" t="str">
        <f>IF($G29="","",VLOOKUP($G29,'Geometry 2'!$E$4:$AJ$14,19,TRUE)-12*VLOOKUP($G29,'Geometry 2'!$E$4:$AJ$14,32,TRUE)*($D29-VLOOKUP($G29,'Geometry 2'!$E$5:$AH$14,1,TRUE)))</f>
        <v/>
      </c>
      <c r="Y29" s="716"/>
      <c r="Z29" s="716"/>
      <c r="AA29" s="716"/>
      <c r="AB29" s="757" t="str">
        <f>IF($G29="","",VLOOKUP($G29,'Geometry 2'!$E$4:$AJ$14,19,TRUE)-12*VLOOKUP($G29,'Geometry 2'!$E$4:$AJ$14,32,TRUE)*($G29-VLOOKUP($G29,'Geometry 2'!$E$5:$AH$14,1,TRUE)))</f>
        <v/>
      </c>
      <c r="AC29" s="758"/>
      <c r="AD29" s="758"/>
      <c r="AE29" s="759"/>
      <c r="AF29" s="716" t="str">
        <f>IF($G29="","",VLOOKUP($G29,'Geometry 2'!$E$4:$AJ$14,19,TRUE)-12*VLOOKUP($G29,'Geometry 2'!$E$4:$AJ$14,32,TRUE)*($G29-IF($P29="",0,$P29)-VLOOKUP($G29,'Geometry 2'!$E$5:$AH$14,1,TRUE)))</f>
        <v/>
      </c>
      <c r="AG29" s="716"/>
      <c r="AH29" s="716"/>
      <c r="AI29" s="716"/>
      <c r="AJ29" s="746" t="str">
        <f>IF($G29="","",VLOOKUP($G29,'Geometry 2'!$E$4:$AH$14,23,TRUE))</f>
        <v/>
      </c>
      <c r="AK29" s="747"/>
      <c r="AL29" s="747"/>
      <c r="AM29" s="748"/>
      <c r="AN29" s="717"/>
      <c r="AO29" s="717"/>
      <c r="AP29" s="717"/>
      <c r="AQ29" s="717"/>
      <c r="AR29" s="717" t="str">
        <f>IF($G29="","",VLOOKUP($G29,'Geometry 2'!$E$4:$AH$14,27,TRUE))</f>
        <v/>
      </c>
      <c r="AS29" s="717"/>
      <c r="AT29" s="717"/>
      <c r="AU29" s="718"/>
      <c r="AV29" s="715"/>
      <c r="AW29" s="716"/>
      <c r="AX29" s="716"/>
      <c r="AZ29" s="722" t="str">
        <f t="shared" si="5"/>
        <v/>
      </c>
      <c r="BA29" s="723"/>
      <c r="BB29" s="723"/>
      <c r="BC29" s="724"/>
      <c r="BD29" s="722"/>
      <c r="BE29" s="723"/>
      <c r="BF29" s="723"/>
      <c r="BG29" s="722" t="str">
        <f t="shared" si="9"/>
        <v/>
      </c>
      <c r="BH29" s="723"/>
      <c r="BI29" s="723"/>
      <c r="BJ29" s="723"/>
      <c r="BK29" s="724"/>
      <c r="BL29" s="722"/>
      <c r="BM29" s="723"/>
      <c r="BN29" s="723"/>
      <c r="BO29" s="723"/>
      <c r="BP29" s="725"/>
      <c r="BQ29" s="725"/>
      <c r="BR29" s="722" t="str">
        <f>IF(BP29="","",IF(OR(AND(Rev="H",Calculations!$F$27=TRUE),AND(Rev&lt;&gt;"H",Calculations!$F$30=TRUE)),IF(BP29&lt;=1,"Pass","Fail"),IF(BP29&lt;=1.05,"Pass","Fail")))</f>
        <v/>
      </c>
      <c r="BS29" s="723"/>
      <c r="BT29" s="724"/>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98"/>
      <c r="CP29" s="799"/>
      <c r="CQ29" s="800"/>
      <c r="CR29" s="798"/>
      <c r="CS29" s="799"/>
      <c r="CT29" s="800"/>
      <c r="CU29" s="798" t="str">
        <f t="shared" si="7"/>
        <v/>
      </c>
      <c r="CV29" s="799"/>
      <c r="CW29" s="806"/>
      <c r="CX29" s="726"/>
      <c r="CY29" s="727"/>
      <c r="CZ29" s="732"/>
      <c r="DA29" s="726"/>
      <c r="DB29" s="727"/>
      <c r="DC29" s="732"/>
      <c r="DD29" s="726" t="str">
        <f t="shared" si="8"/>
        <v/>
      </c>
      <c r="DE29" s="727"/>
      <c r="DF29" s="728"/>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6" t="str">
        <f t="shared" si="4"/>
        <v/>
      </c>
      <c r="E30" s="767"/>
      <c r="F30" s="17" t="str">
        <f t="shared" si="2"/>
        <v/>
      </c>
      <c r="G30" s="768"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9"/>
      <c r="I30" s="228"/>
      <c r="J30" s="228"/>
      <c r="K30" s="228"/>
      <c r="L30" s="717" t="str">
        <f t="shared" si="0"/>
        <v/>
      </c>
      <c r="M30" s="717"/>
      <c r="N30" s="717"/>
      <c r="O30" s="717"/>
      <c r="P30" s="717" t="str">
        <f>IF(OR(G30=0,G30=""),"",IF(VLOOKUP(G30,'Geometry 2'!$C$4:$AI$14,1,TRUE)=VLOOKUP(G31,'Geometry 2'!$C$4:$AI$14,1,TRUE),"",IF(VLOOKUP(G30,'Geometry 2'!$C$4:$AI$14,33,TRUE)&lt;&gt;"n/a",MIN(G30,VLOOKUP(G30,'Geometry 2'!$C$4:$AI$14,1,TRUE))-VLOOKUP(G30,'Geometry 2'!$C$4:$AI$14,33,TRUE),"check")))</f>
        <v/>
      </c>
      <c r="Q30" s="717"/>
      <c r="R30" s="717"/>
      <c r="S30" s="717"/>
      <c r="T30" s="717" t="str">
        <f>IF($G30="","",VLOOKUP($G30,'Geometry 2'!$E$4:$AH$14,11,TRUE))</f>
        <v/>
      </c>
      <c r="U30" s="717"/>
      <c r="V30" s="717"/>
      <c r="W30" s="717"/>
      <c r="X30" s="716" t="str">
        <f>IF($G30="","",VLOOKUP($G30,'Geometry 2'!$E$4:$AJ$14,19,TRUE)-12*VLOOKUP($G30,'Geometry 2'!$E$4:$AJ$14,32,TRUE)*($D30-VLOOKUP($G30,'Geometry 2'!$E$5:$AH$14,1,TRUE)))</f>
        <v/>
      </c>
      <c r="Y30" s="716"/>
      <c r="Z30" s="716"/>
      <c r="AA30" s="716"/>
      <c r="AB30" s="757" t="str">
        <f>IF($G30="","",VLOOKUP($G30,'Geometry 2'!$E$4:$AJ$14,19,TRUE)-12*VLOOKUP($G30,'Geometry 2'!$E$4:$AJ$14,32,TRUE)*($G30-VLOOKUP($G30,'Geometry 2'!$E$5:$AH$14,1,TRUE)))</f>
        <v/>
      </c>
      <c r="AC30" s="758"/>
      <c r="AD30" s="758"/>
      <c r="AE30" s="759"/>
      <c r="AF30" s="716" t="str">
        <f>IF($G30="","",VLOOKUP($G30,'Geometry 2'!$E$4:$AJ$14,19,TRUE)-12*VLOOKUP($G30,'Geometry 2'!$E$4:$AJ$14,32,TRUE)*($G30-IF($P30="",0,$P30)-VLOOKUP($G30,'Geometry 2'!$E$5:$AH$14,1,TRUE)))</f>
        <v/>
      </c>
      <c r="AG30" s="716"/>
      <c r="AH30" s="716"/>
      <c r="AI30" s="716"/>
      <c r="AJ30" s="746" t="str">
        <f>IF($G30="","",VLOOKUP($G30,'Geometry 2'!$E$4:$AH$14,23,TRUE))</f>
        <v/>
      </c>
      <c r="AK30" s="747"/>
      <c r="AL30" s="747"/>
      <c r="AM30" s="748"/>
      <c r="AN30" s="717"/>
      <c r="AO30" s="717"/>
      <c r="AP30" s="717"/>
      <c r="AQ30" s="717"/>
      <c r="AR30" s="717" t="str">
        <f>IF($G30="","",VLOOKUP($G30,'Geometry 2'!$E$4:$AH$14,27,TRUE))</f>
        <v/>
      </c>
      <c r="AS30" s="717"/>
      <c r="AT30" s="717"/>
      <c r="AU30" s="718"/>
      <c r="AV30" s="715"/>
      <c r="AW30" s="716"/>
      <c r="AX30" s="716"/>
      <c r="AZ30" s="722" t="str">
        <f t="shared" si="5"/>
        <v/>
      </c>
      <c r="BA30" s="723"/>
      <c r="BB30" s="723"/>
      <c r="BC30" s="724"/>
      <c r="BD30" s="722"/>
      <c r="BE30" s="723"/>
      <c r="BF30" s="723"/>
      <c r="BG30" s="722" t="str">
        <f t="shared" si="9"/>
        <v/>
      </c>
      <c r="BH30" s="723"/>
      <c r="BI30" s="723"/>
      <c r="BJ30" s="723"/>
      <c r="BK30" s="724"/>
      <c r="BL30" s="722"/>
      <c r="BM30" s="723"/>
      <c r="BN30" s="723"/>
      <c r="BO30" s="723"/>
      <c r="BP30" s="725"/>
      <c r="BQ30" s="725"/>
      <c r="BR30" s="722" t="str">
        <f>IF(BP30="","",IF(OR(AND(Rev="H",Calculations!$F$27=TRUE),AND(Rev&lt;&gt;"H",Calculations!$F$30=TRUE)),IF(BP30&lt;=1,"Pass","Fail"),IF(BP30&lt;=1.05,"Pass","Fail")))</f>
        <v/>
      </c>
      <c r="BS30" s="723"/>
      <c r="BT30" s="724"/>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91"/>
      <c r="CP30" s="792"/>
      <c r="CQ30" s="793"/>
      <c r="CR30" s="791"/>
      <c r="CS30" s="792"/>
      <c r="CT30" s="793"/>
      <c r="CU30" s="791" t="str">
        <f t="shared" si="7"/>
        <v/>
      </c>
      <c r="CV30" s="792"/>
      <c r="CW30" s="807"/>
      <c r="CX30" s="808"/>
      <c r="CY30" s="730"/>
      <c r="CZ30" s="809"/>
      <c r="DA30" s="733"/>
      <c r="DB30" s="734"/>
      <c r="DC30" s="735"/>
      <c r="DD30" s="729" t="str">
        <f t="shared" si="8"/>
        <v/>
      </c>
      <c r="DE30" s="730"/>
      <c r="DF30" s="731"/>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6" t="str">
        <f t="shared" si="4"/>
        <v/>
      </c>
      <c r="E31" s="767"/>
      <c r="F31" s="17" t="str">
        <f t="shared" si="2"/>
        <v/>
      </c>
      <c r="G31" s="768"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9"/>
      <c r="I31" s="228"/>
      <c r="J31" s="228"/>
      <c r="K31" s="228"/>
      <c r="L31" s="717" t="str">
        <f t="shared" si="0"/>
        <v/>
      </c>
      <c r="M31" s="717"/>
      <c r="N31" s="717"/>
      <c r="O31" s="717"/>
      <c r="P31" s="717" t="str">
        <f>IF(OR(G31=0,G31=""),"",IF(VLOOKUP(G31,'Geometry 2'!$C$4:$AI$14,1,TRUE)=VLOOKUP(G32,'Geometry 2'!$C$4:$AI$14,1,TRUE),"",IF(VLOOKUP(G31,'Geometry 2'!$C$4:$AI$14,33,TRUE)&lt;&gt;"n/a",MIN(G31,VLOOKUP(G31,'Geometry 2'!$C$4:$AI$14,1,TRUE))-VLOOKUP(G31,'Geometry 2'!$C$4:$AI$14,33,TRUE),"check")))</f>
        <v/>
      </c>
      <c r="Q31" s="717"/>
      <c r="R31" s="717"/>
      <c r="S31" s="717"/>
      <c r="T31" s="717" t="str">
        <f>IF($G31="","",VLOOKUP($G31,'Geometry 2'!$E$4:$AH$14,11,TRUE))</f>
        <v/>
      </c>
      <c r="U31" s="717"/>
      <c r="V31" s="717"/>
      <c r="W31" s="717"/>
      <c r="X31" s="716" t="str">
        <f>IF($G31="","",VLOOKUP($G31,'Geometry 2'!$E$4:$AJ$14,19,TRUE)-12*VLOOKUP($G31,'Geometry 2'!$E$4:$AJ$14,32,TRUE)*($D31-VLOOKUP($G31,'Geometry 2'!$E$5:$AH$14,1,TRUE)))</f>
        <v/>
      </c>
      <c r="Y31" s="716"/>
      <c r="Z31" s="716"/>
      <c r="AA31" s="716"/>
      <c r="AB31" s="757" t="str">
        <f>IF($G31="","",VLOOKUP($G31,'Geometry 2'!$E$4:$AJ$14,19,TRUE)-12*VLOOKUP($G31,'Geometry 2'!$E$4:$AJ$14,32,TRUE)*($G31-VLOOKUP($G31,'Geometry 2'!$E$5:$AH$14,1,TRUE)))</f>
        <v/>
      </c>
      <c r="AC31" s="758"/>
      <c r="AD31" s="758"/>
      <c r="AE31" s="759"/>
      <c r="AF31" s="716" t="str">
        <f>IF($G31="","",VLOOKUP($G31,'Geometry 2'!$E$4:$AJ$14,19,TRUE)-12*VLOOKUP($G31,'Geometry 2'!$E$4:$AJ$14,32,TRUE)*($G31-IF($P31="",0,$P31)-VLOOKUP($G31,'Geometry 2'!$E$5:$AH$14,1,TRUE)))</f>
        <v/>
      </c>
      <c r="AG31" s="716"/>
      <c r="AH31" s="716"/>
      <c r="AI31" s="716"/>
      <c r="AJ31" s="746" t="str">
        <f>IF($G31="","",VLOOKUP($G31,'Geometry 2'!$E$4:$AH$14,23,TRUE))</f>
        <v/>
      </c>
      <c r="AK31" s="747"/>
      <c r="AL31" s="747"/>
      <c r="AM31" s="748"/>
      <c r="AN31" s="717"/>
      <c r="AO31" s="717"/>
      <c r="AP31" s="717"/>
      <c r="AQ31" s="717"/>
      <c r="AR31" s="717" t="str">
        <f>IF($G31="","",VLOOKUP($G31,'Geometry 2'!$E$4:$AH$14,27,TRUE))</f>
        <v/>
      </c>
      <c r="AS31" s="717"/>
      <c r="AT31" s="717"/>
      <c r="AU31" s="718"/>
      <c r="AV31" s="715"/>
      <c r="AW31" s="716"/>
      <c r="AX31" s="716"/>
      <c r="AZ31" s="722" t="str">
        <f t="shared" si="5"/>
        <v/>
      </c>
      <c r="BA31" s="723"/>
      <c r="BB31" s="723"/>
      <c r="BC31" s="724"/>
      <c r="BD31" s="722"/>
      <c r="BE31" s="723"/>
      <c r="BF31" s="723"/>
      <c r="BG31" s="722" t="str">
        <f t="shared" si="9"/>
        <v/>
      </c>
      <c r="BH31" s="723"/>
      <c r="BI31" s="723"/>
      <c r="BJ31" s="723"/>
      <c r="BK31" s="724"/>
      <c r="BL31" s="722"/>
      <c r="BM31" s="723"/>
      <c r="BN31" s="723"/>
      <c r="BO31" s="723"/>
      <c r="BP31" s="725"/>
      <c r="BQ31" s="725"/>
      <c r="BR31" s="722" t="str">
        <f>IF(BP31="","",IF(OR(AND(Rev="H",Calculations!$F$27=TRUE),AND(Rev&lt;&gt;"H",Calculations!$F$30=TRUE)),IF(BP31&lt;=1,"Pass","Fail"),IF(BP31&lt;=1.05,"Pass","Fail")))</f>
        <v/>
      </c>
      <c r="BS31" s="723"/>
      <c r="BT31" s="724"/>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98"/>
      <c r="CP31" s="799"/>
      <c r="CQ31" s="800"/>
      <c r="CR31" s="798"/>
      <c r="CS31" s="799"/>
      <c r="CT31" s="800"/>
      <c r="CU31" s="798" t="str">
        <f t="shared" si="7"/>
        <v/>
      </c>
      <c r="CV31" s="799"/>
      <c r="CW31" s="806"/>
      <c r="CX31" s="726"/>
      <c r="CY31" s="727"/>
      <c r="CZ31" s="732"/>
      <c r="DA31" s="726"/>
      <c r="DB31" s="727"/>
      <c r="DC31" s="732"/>
      <c r="DD31" s="726" t="str">
        <f t="shared" si="8"/>
        <v/>
      </c>
      <c r="DE31" s="727"/>
      <c r="DF31" s="728"/>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6" t="str">
        <f t="shared" si="4"/>
        <v/>
      </c>
      <c r="E32" s="767"/>
      <c r="F32" s="17" t="str">
        <f t="shared" si="2"/>
        <v/>
      </c>
      <c r="G32" s="768"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9"/>
      <c r="I32" s="228"/>
      <c r="J32" s="228"/>
      <c r="K32" s="228"/>
      <c r="L32" s="717" t="str">
        <f t="shared" si="0"/>
        <v/>
      </c>
      <c r="M32" s="717"/>
      <c r="N32" s="717"/>
      <c r="O32" s="717"/>
      <c r="P32" s="717" t="str">
        <f>IF(OR(G32=0,G32=""),"",IF(VLOOKUP(G32,'Geometry 2'!$C$4:$AI$14,1,TRUE)=VLOOKUP(G33,'Geometry 2'!$C$4:$AI$14,1,TRUE),"",IF(VLOOKUP(G32,'Geometry 2'!$C$4:$AI$14,33,TRUE)&lt;&gt;"n/a",MIN(G32,VLOOKUP(G32,'Geometry 2'!$C$4:$AI$14,1,TRUE))-VLOOKUP(G32,'Geometry 2'!$C$4:$AI$14,33,TRUE),"check")))</f>
        <v/>
      </c>
      <c r="Q32" s="717"/>
      <c r="R32" s="717"/>
      <c r="S32" s="717"/>
      <c r="T32" s="717" t="str">
        <f>IF($G32="","",VLOOKUP($G32,'Geometry 2'!$E$4:$AH$14,11,TRUE))</f>
        <v/>
      </c>
      <c r="U32" s="717"/>
      <c r="V32" s="717"/>
      <c r="W32" s="717"/>
      <c r="X32" s="716" t="str">
        <f>IF($G32="","",VLOOKUP($G32,'Geometry 2'!$E$4:$AJ$14,19,TRUE)-12*VLOOKUP($G32,'Geometry 2'!$E$4:$AJ$14,32,TRUE)*($D32-VLOOKUP($G32,'Geometry 2'!$E$5:$AH$14,1,TRUE)))</f>
        <v/>
      </c>
      <c r="Y32" s="716"/>
      <c r="Z32" s="716"/>
      <c r="AA32" s="716"/>
      <c r="AB32" s="757" t="str">
        <f>IF($G32="","",VLOOKUP($G32,'Geometry 2'!$E$4:$AJ$14,19,TRUE)-12*VLOOKUP($G32,'Geometry 2'!$E$4:$AJ$14,32,TRUE)*($G32-VLOOKUP($G32,'Geometry 2'!$E$5:$AH$14,1,TRUE)))</f>
        <v/>
      </c>
      <c r="AC32" s="758"/>
      <c r="AD32" s="758"/>
      <c r="AE32" s="759"/>
      <c r="AF32" s="716" t="str">
        <f>IF($G32="","",VLOOKUP($G32,'Geometry 2'!$E$4:$AJ$14,19,TRUE)-12*VLOOKUP($G32,'Geometry 2'!$E$4:$AJ$14,32,TRUE)*($G32-IF($P32="",0,$P32)-VLOOKUP($G32,'Geometry 2'!$E$5:$AH$14,1,TRUE)))</f>
        <v/>
      </c>
      <c r="AG32" s="716"/>
      <c r="AH32" s="716"/>
      <c r="AI32" s="716"/>
      <c r="AJ32" s="746" t="str">
        <f>IF($G32="","",VLOOKUP($G32,'Geometry 2'!$E$4:$AH$14,23,TRUE))</f>
        <v/>
      </c>
      <c r="AK32" s="747"/>
      <c r="AL32" s="747"/>
      <c r="AM32" s="748"/>
      <c r="AN32" s="717"/>
      <c r="AO32" s="717"/>
      <c r="AP32" s="717"/>
      <c r="AQ32" s="717"/>
      <c r="AR32" s="717" t="str">
        <f>IF($G32="","",VLOOKUP($G32,'Geometry 2'!$E$4:$AH$14,27,TRUE))</f>
        <v/>
      </c>
      <c r="AS32" s="717"/>
      <c r="AT32" s="717"/>
      <c r="AU32" s="718"/>
      <c r="AV32" s="715"/>
      <c r="AW32" s="716"/>
      <c r="AX32" s="716"/>
      <c r="AZ32" s="722" t="str">
        <f t="shared" si="5"/>
        <v/>
      </c>
      <c r="BA32" s="723"/>
      <c r="BB32" s="723"/>
      <c r="BC32" s="724"/>
      <c r="BD32" s="722"/>
      <c r="BE32" s="723"/>
      <c r="BF32" s="723"/>
      <c r="BG32" s="722" t="str">
        <f t="shared" si="9"/>
        <v/>
      </c>
      <c r="BH32" s="723"/>
      <c r="BI32" s="723"/>
      <c r="BJ32" s="723"/>
      <c r="BK32" s="724"/>
      <c r="BL32" s="722"/>
      <c r="BM32" s="723"/>
      <c r="BN32" s="723"/>
      <c r="BO32" s="723"/>
      <c r="BP32" s="725"/>
      <c r="BQ32" s="725"/>
      <c r="BR32" s="722" t="str">
        <f>IF(BP32="","",IF(OR(AND(Rev="H",Calculations!$F$27=TRUE),AND(Rev&lt;&gt;"H",Calculations!$F$30=TRUE)),IF(BP32&lt;=1,"Pass","Fail"),IF(BP32&lt;=1.05,"Pass","Fail")))</f>
        <v/>
      </c>
      <c r="BS32" s="723"/>
      <c r="BT32" s="724"/>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91"/>
      <c r="CP32" s="792"/>
      <c r="CQ32" s="793"/>
      <c r="CR32" s="791"/>
      <c r="CS32" s="792"/>
      <c r="CT32" s="793"/>
      <c r="CU32" s="791" t="str">
        <f t="shared" si="7"/>
        <v/>
      </c>
      <c r="CV32" s="792"/>
      <c r="CW32" s="807"/>
      <c r="CX32" s="808"/>
      <c r="CY32" s="730"/>
      <c r="CZ32" s="809"/>
      <c r="DA32" s="733"/>
      <c r="DB32" s="734"/>
      <c r="DC32" s="735"/>
      <c r="DD32" s="729" t="str">
        <f t="shared" si="8"/>
        <v/>
      </c>
      <c r="DE32" s="730"/>
      <c r="DF32" s="731"/>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6" t="str">
        <f t="shared" si="4"/>
        <v/>
      </c>
      <c r="E33" s="767"/>
      <c r="F33" s="17" t="str">
        <f t="shared" si="2"/>
        <v/>
      </c>
      <c r="G33" s="768"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9"/>
      <c r="I33" s="228"/>
      <c r="J33" s="228"/>
      <c r="K33" s="228"/>
      <c r="L33" s="717" t="str">
        <f t="shared" si="0"/>
        <v/>
      </c>
      <c r="M33" s="717"/>
      <c r="N33" s="717"/>
      <c r="O33" s="717"/>
      <c r="P33" s="717" t="str">
        <f>IF(OR(G33=0,G33=""),"",IF(VLOOKUP(G33,'Geometry 2'!$C$4:$AI$14,1,TRUE)=VLOOKUP(G34,'Geometry 2'!$C$4:$AI$14,1,TRUE),"",IF(VLOOKUP(G33,'Geometry 2'!$C$4:$AI$14,33,TRUE)&lt;&gt;"n/a",MIN(G33,VLOOKUP(G33,'Geometry 2'!$C$4:$AI$14,1,TRUE))-VLOOKUP(G33,'Geometry 2'!$C$4:$AI$14,33,TRUE),"check")))</f>
        <v/>
      </c>
      <c r="Q33" s="717"/>
      <c r="R33" s="717"/>
      <c r="S33" s="717"/>
      <c r="T33" s="717" t="str">
        <f>IF($G33="","",VLOOKUP($G33,'Geometry 2'!$E$4:$AH$14,11,TRUE))</f>
        <v/>
      </c>
      <c r="U33" s="717"/>
      <c r="V33" s="717"/>
      <c r="W33" s="717"/>
      <c r="X33" s="716" t="str">
        <f>IF($G33="","",VLOOKUP($G33,'Geometry 2'!$E$4:$AJ$14,19,TRUE)-12*VLOOKUP($G33,'Geometry 2'!$E$4:$AJ$14,32,TRUE)*($D33-VLOOKUP($G33,'Geometry 2'!$E$5:$AH$14,1,TRUE)))</f>
        <v/>
      </c>
      <c r="Y33" s="716"/>
      <c r="Z33" s="716"/>
      <c r="AA33" s="716"/>
      <c r="AB33" s="757" t="str">
        <f>IF($G33="","",VLOOKUP($G33,'Geometry 2'!$E$4:$AJ$14,19,TRUE)-12*VLOOKUP($G33,'Geometry 2'!$E$4:$AJ$14,32,TRUE)*($G33-VLOOKUP($G33,'Geometry 2'!$E$5:$AH$14,1,TRUE)))</f>
        <v/>
      </c>
      <c r="AC33" s="758"/>
      <c r="AD33" s="758"/>
      <c r="AE33" s="759"/>
      <c r="AF33" s="716" t="str">
        <f>IF($G33="","",VLOOKUP($G33,'Geometry 2'!$E$4:$AJ$14,19,TRUE)-12*VLOOKUP($G33,'Geometry 2'!$E$4:$AJ$14,32,TRUE)*($G33-IF($P33="",0,$P33)-VLOOKUP($G33,'Geometry 2'!$E$5:$AH$14,1,TRUE)))</f>
        <v/>
      </c>
      <c r="AG33" s="716"/>
      <c r="AH33" s="716"/>
      <c r="AI33" s="716"/>
      <c r="AJ33" s="746" t="str">
        <f>IF($G33="","",VLOOKUP($G33,'Geometry 2'!$E$4:$AH$14,23,TRUE))</f>
        <v/>
      </c>
      <c r="AK33" s="747"/>
      <c r="AL33" s="747"/>
      <c r="AM33" s="748"/>
      <c r="AN33" s="717"/>
      <c r="AO33" s="717"/>
      <c r="AP33" s="717"/>
      <c r="AQ33" s="717"/>
      <c r="AR33" s="717" t="str">
        <f>IF($G33="","",VLOOKUP($G33,'Geometry 2'!$E$4:$AH$14,27,TRUE))</f>
        <v/>
      </c>
      <c r="AS33" s="717"/>
      <c r="AT33" s="717"/>
      <c r="AU33" s="718"/>
      <c r="AV33" s="715"/>
      <c r="AW33" s="716"/>
      <c r="AX33" s="716"/>
      <c r="AZ33" s="722" t="str">
        <f t="shared" si="5"/>
        <v/>
      </c>
      <c r="BA33" s="723"/>
      <c r="BB33" s="723"/>
      <c r="BC33" s="724"/>
      <c r="BD33" s="722"/>
      <c r="BE33" s="723"/>
      <c r="BF33" s="723"/>
      <c r="BG33" s="722" t="str">
        <f t="shared" si="9"/>
        <v/>
      </c>
      <c r="BH33" s="723"/>
      <c r="BI33" s="723"/>
      <c r="BJ33" s="723"/>
      <c r="BK33" s="724"/>
      <c r="BL33" s="722"/>
      <c r="BM33" s="723"/>
      <c r="BN33" s="723"/>
      <c r="BO33" s="723"/>
      <c r="BP33" s="725"/>
      <c r="BQ33" s="725"/>
      <c r="BR33" s="722" t="str">
        <f>IF(BP33="","",IF(OR(AND(Rev="H",Calculations!$F$27=TRUE),AND(Rev&lt;&gt;"H",Calculations!$F$30=TRUE)),IF(BP33&lt;=1,"Pass","Fail"),IF(BP33&lt;=1.05,"Pass","Fail")))</f>
        <v/>
      </c>
      <c r="BS33" s="723"/>
      <c r="BT33" s="724"/>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98"/>
      <c r="CP33" s="799"/>
      <c r="CQ33" s="800"/>
      <c r="CR33" s="798"/>
      <c r="CS33" s="799"/>
      <c r="CT33" s="800"/>
      <c r="CU33" s="798" t="str">
        <f t="shared" si="7"/>
        <v/>
      </c>
      <c r="CV33" s="799"/>
      <c r="CW33" s="806"/>
      <c r="CX33" s="726"/>
      <c r="CY33" s="727"/>
      <c r="CZ33" s="732"/>
      <c r="DA33" s="726"/>
      <c r="DB33" s="727"/>
      <c r="DC33" s="732"/>
      <c r="DD33" s="726" t="str">
        <f t="shared" si="8"/>
        <v/>
      </c>
      <c r="DE33" s="727"/>
      <c r="DF33" s="728"/>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6" t="str">
        <f t="shared" si="4"/>
        <v/>
      </c>
      <c r="E34" s="767"/>
      <c r="F34" s="17" t="str">
        <f t="shared" si="2"/>
        <v/>
      </c>
      <c r="G34" s="768"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9"/>
      <c r="I34" s="228"/>
      <c r="J34" s="228"/>
      <c r="K34" s="228"/>
      <c r="L34" s="717" t="str">
        <f t="shared" si="0"/>
        <v/>
      </c>
      <c r="M34" s="717"/>
      <c r="N34" s="717"/>
      <c r="O34" s="717"/>
      <c r="P34" s="717" t="str">
        <f>IF(OR(G34=0,G34=""),"",IF(VLOOKUP(G34,'Geometry 2'!$C$4:$AI$14,1,TRUE)=VLOOKUP(G35,'Geometry 2'!$C$4:$AI$14,1,TRUE),"",IF(VLOOKUP(G34,'Geometry 2'!$C$4:$AI$14,33,TRUE)&lt;&gt;"n/a",MIN(G34,VLOOKUP(G34,'Geometry 2'!$C$4:$AI$14,1,TRUE))-VLOOKUP(G34,'Geometry 2'!$C$4:$AI$14,33,TRUE),"check")))</f>
        <v/>
      </c>
      <c r="Q34" s="717"/>
      <c r="R34" s="717"/>
      <c r="S34" s="717"/>
      <c r="T34" s="717" t="str">
        <f>IF($G34="","",VLOOKUP($G34,'Geometry 2'!$E$4:$AH$14,11,TRUE))</f>
        <v/>
      </c>
      <c r="U34" s="717"/>
      <c r="V34" s="717"/>
      <c r="W34" s="717"/>
      <c r="X34" s="716" t="str">
        <f>IF($G34="","",VLOOKUP($G34,'Geometry 2'!$E$4:$AJ$14,19,TRUE)-12*VLOOKUP($G34,'Geometry 2'!$E$4:$AJ$14,32,TRUE)*($D34-VLOOKUP($G34,'Geometry 2'!$E$5:$AH$14,1,TRUE)))</f>
        <v/>
      </c>
      <c r="Y34" s="716"/>
      <c r="Z34" s="716"/>
      <c r="AA34" s="716"/>
      <c r="AB34" s="757" t="str">
        <f>IF($G34="","",VLOOKUP($G34,'Geometry 2'!$E$4:$AJ$14,19,TRUE)-12*VLOOKUP($G34,'Geometry 2'!$E$4:$AJ$14,32,TRUE)*($G34-VLOOKUP($G34,'Geometry 2'!$E$5:$AH$14,1,TRUE)))</f>
        <v/>
      </c>
      <c r="AC34" s="758"/>
      <c r="AD34" s="758"/>
      <c r="AE34" s="759"/>
      <c r="AF34" s="716" t="str">
        <f>IF($G34="","",VLOOKUP($G34,'Geometry 2'!$E$4:$AJ$14,19,TRUE)-12*VLOOKUP($G34,'Geometry 2'!$E$4:$AJ$14,32,TRUE)*($G34-IF($P34="",0,$P34)-VLOOKUP($G34,'Geometry 2'!$E$5:$AH$14,1,TRUE)))</f>
        <v/>
      </c>
      <c r="AG34" s="716"/>
      <c r="AH34" s="716"/>
      <c r="AI34" s="716"/>
      <c r="AJ34" s="746" t="str">
        <f>IF($G34="","",VLOOKUP($G34,'Geometry 2'!$E$4:$AH$14,23,TRUE))</f>
        <v/>
      </c>
      <c r="AK34" s="747"/>
      <c r="AL34" s="747"/>
      <c r="AM34" s="748"/>
      <c r="AN34" s="717"/>
      <c r="AO34" s="717"/>
      <c r="AP34" s="717"/>
      <c r="AQ34" s="717"/>
      <c r="AR34" s="717" t="str">
        <f>IF($G34="","",VLOOKUP($G34,'Geometry 2'!$E$4:$AH$14,27,TRUE))</f>
        <v/>
      </c>
      <c r="AS34" s="717"/>
      <c r="AT34" s="717"/>
      <c r="AU34" s="718"/>
      <c r="AV34" s="715"/>
      <c r="AW34" s="716"/>
      <c r="AX34" s="716"/>
      <c r="AZ34" s="722" t="str">
        <f t="shared" si="5"/>
        <v/>
      </c>
      <c r="BA34" s="723"/>
      <c r="BB34" s="723"/>
      <c r="BC34" s="724"/>
      <c r="BD34" s="722"/>
      <c r="BE34" s="723"/>
      <c r="BF34" s="723"/>
      <c r="BG34" s="722" t="str">
        <f t="shared" si="9"/>
        <v/>
      </c>
      <c r="BH34" s="723"/>
      <c r="BI34" s="723"/>
      <c r="BJ34" s="723"/>
      <c r="BK34" s="724"/>
      <c r="BL34" s="722"/>
      <c r="BM34" s="723"/>
      <c r="BN34" s="723"/>
      <c r="BO34" s="723"/>
      <c r="BP34" s="725"/>
      <c r="BQ34" s="725"/>
      <c r="BR34" s="722" t="str">
        <f>IF(BP34="","",IF(OR(AND(Rev="H",Calculations!$F$27=TRUE),AND(Rev&lt;&gt;"H",Calculations!$F$30=TRUE)),IF(BP34&lt;=1,"Pass","Fail"),IF(BP34&lt;=1.05,"Pass","Fail")))</f>
        <v/>
      </c>
      <c r="BS34" s="723"/>
      <c r="BT34" s="724"/>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91"/>
      <c r="CP34" s="792"/>
      <c r="CQ34" s="793"/>
      <c r="CR34" s="791"/>
      <c r="CS34" s="792"/>
      <c r="CT34" s="793"/>
      <c r="CU34" s="791" t="str">
        <f t="shared" si="7"/>
        <v/>
      </c>
      <c r="CV34" s="792"/>
      <c r="CW34" s="807"/>
      <c r="CX34" s="808"/>
      <c r="CY34" s="730"/>
      <c r="CZ34" s="809"/>
      <c r="DA34" s="733"/>
      <c r="DB34" s="734"/>
      <c r="DC34" s="735"/>
      <c r="DD34" s="729" t="str">
        <f t="shared" si="8"/>
        <v/>
      </c>
      <c r="DE34" s="730"/>
      <c r="DF34" s="731"/>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6" t="str">
        <f t="shared" si="4"/>
        <v/>
      </c>
      <c r="E35" s="767"/>
      <c r="F35" s="17" t="str">
        <f t="shared" si="2"/>
        <v/>
      </c>
      <c r="G35" s="768"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9"/>
      <c r="I35" s="228"/>
      <c r="J35" s="228"/>
      <c r="K35" s="228"/>
      <c r="L35" s="717" t="str">
        <f t="shared" si="0"/>
        <v/>
      </c>
      <c r="M35" s="717"/>
      <c r="N35" s="717"/>
      <c r="O35" s="717"/>
      <c r="P35" s="717" t="str">
        <f>IF(OR(G35=0,G35=""),"",IF(VLOOKUP(G35,'Geometry 2'!$C$4:$AI$14,1,TRUE)=VLOOKUP(G36,'Geometry 2'!$C$4:$AI$14,1,TRUE),"",IF(VLOOKUP(G35,'Geometry 2'!$C$4:$AI$14,33,TRUE)&lt;&gt;"n/a",MIN(G35,VLOOKUP(G35,'Geometry 2'!$C$4:$AI$14,1,TRUE))-VLOOKUP(G35,'Geometry 2'!$C$4:$AI$14,33,TRUE),"check")))</f>
        <v/>
      </c>
      <c r="Q35" s="717"/>
      <c r="R35" s="717"/>
      <c r="S35" s="717"/>
      <c r="T35" s="717" t="str">
        <f>IF($G35="","",VLOOKUP($G35,'Geometry 2'!$E$4:$AH$14,11,TRUE))</f>
        <v/>
      </c>
      <c r="U35" s="717"/>
      <c r="V35" s="717"/>
      <c r="W35" s="717"/>
      <c r="X35" s="716" t="str">
        <f>IF($G35="","",VLOOKUP($G35,'Geometry 2'!$E$4:$AJ$14,19,TRUE)-12*VLOOKUP($G35,'Geometry 2'!$E$4:$AJ$14,32,TRUE)*($D35-VLOOKUP($G35,'Geometry 2'!$E$5:$AH$14,1,TRUE)))</f>
        <v/>
      </c>
      <c r="Y35" s="716"/>
      <c r="Z35" s="716"/>
      <c r="AA35" s="716"/>
      <c r="AB35" s="757" t="str">
        <f>IF($G35="","",VLOOKUP($G35,'Geometry 2'!$E$4:$AJ$14,19,TRUE)-12*VLOOKUP($G35,'Geometry 2'!$E$4:$AJ$14,32,TRUE)*($G35-VLOOKUP($G35,'Geometry 2'!$E$5:$AH$14,1,TRUE)))</f>
        <v/>
      </c>
      <c r="AC35" s="758"/>
      <c r="AD35" s="758"/>
      <c r="AE35" s="759"/>
      <c r="AF35" s="716" t="str">
        <f>IF($G35="","",VLOOKUP($G35,'Geometry 2'!$E$4:$AJ$14,19,TRUE)-12*VLOOKUP($G35,'Geometry 2'!$E$4:$AJ$14,32,TRUE)*($G35-IF($P35="",0,$P35)-VLOOKUP($G35,'Geometry 2'!$E$5:$AH$14,1,TRUE)))</f>
        <v/>
      </c>
      <c r="AG35" s="716"/>
      <c r="AH35" s="716"/>
      <c r="AI35" s="716"/>
      <c r="AJ35" s="746" t="str">
        <f>IF($G35="","",VLOOKUP($G35,'Geometry 2'!$E$4:$AH$14,23,TRUE))</f>
        <v/>
      </c>
      <c r="AK35" s="747"/>
      <c r="AL35" s="747"/>
      <c r="AM35" s="748"/>
      <c r="AN35" s="717"/>
      <c r="AO35" s="717"/>
      <c r="AP35" s="717"/>
      <c r="AQ35" s="717"/>
      <c r="AR35" s="717" t="str">
        <f>IF($G35="","",VLOOKUP($G35,'Geometry 2'!$E$4:$AH$14,27,TRUE))</f>
        <v/>
      </c>
      <c r="AS35" s="717"/>
      <c r="AT35" s="717"/>
      <c r="AU35" s="718"/>
      <c r="AV35" s="715"/>
      <c r="AW35" s="716"/>
      <c r="AX35" s="716"/>
      <c r="AZ35" s="722" t="str">
        <f t="shared" si="5"/>
        <v/>
      </c>
      <c r="BA35" s="723"/>
      <c r="BB35" s="723"/>
      <c r="BC35" s="724"/>
      <c r="BD35" s="722"/>
      <c r="BE35" s="723"/>
      <c r="BF35" s="723"/>
      <c r="BG35" s="722" t="str">
        <f t="shared" si="9"/>
        <v/>
      </c>
      <c r="BH35" s="723"/>
      <c r="BI35" s="723"/>
      <c r="BJ35" s="723"/>
      <c r="BK35" s="724"/>
      <c r="BL35" s="722"/>
      <c r="BM35" s="723"/>
      <c r="BN35" s="723"/>
      <c r="BO35" s="723"/>
      <c r="BP35" s="725"/>
      <c r="BQ35" s="725"/>
      <c r="BR35" s="722" t="str">
        <f>IF(BP35="","",IF(OR(AND(Rev="H",Calculations!$F$27=TRUE),AND(Rev&lt;&gt;"H",Calculations!$F$30=TRUE)),IF(BP35&lt;=1,"Pass","Fail"),IF(BP35&lt;=1.05,"Pass","Fail")))</f>
        <v/>
      </c>
      <c r="BS35" s="723"/>
      <c r="BT35" s="724"/>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98"/>
      <c r="CP35" s="799"/>
      <c r="CQ35" s="800"/>
      <c r="CR35" s="798"/>
      <c r="CS35" s="799"/>
      <c r="CT35" s="800"/>
      <c r="CU35" s="798" t="str">
        <f t="shared" si="7"/>
        <v/>
      </c>
      <c r="CV35" s="799"/>
      <c r="CW35" s="806"/>
      <c r="CX35" s="726"/>
      <c r="CY35" s="727"/>
      <c r="CZ35" s="732"/>
      <c r="DA35" s="726"/>
      <c r="DB35" s="727"/>
      <c r="DC35" s="732"/>
      <c r="DD35" s="726" t="str">
        <f t="shared" si="8"/>
        <v/>
      </c>
      <c r="DE35" s="727"/>
      <c r="DF35" s="728"/>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6" t="str">
        <f t="shared" si="4"/>
        <v/>
      </c>
      <c r="E36" s="767"/>
      <c r="F36" s="17" t="str">
        <f t="shared" si="2"/>
        <v/>
      </c>
      <c r="G36" s="768"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9"/>
      <c r="I36" s="228"/>
      <c r="J36" s="228"/>
      <c r="K36" s="228"/>
      <c r="L36" s="717" t="str">
        <f t="shared" si="0"/>
        <v/>
      </c>
      <c r="M36" s="717"/>
      <c r="N36" s="717"/>
      <c r="O36" s="717"/>
      <c r="P36" s="717" t="str">
        <f>IF(OR(G36=0,G36=""),"",IF(VLOOKUP(G36,'Geometry 2'!$C$4:$AI$14,1,TRUE)=VLOOKUP(G37,'Geometry 2'!$C$4:$AI$14,1,TRUE),"",IF(VLOOKUP(G36,'Geometry 2'!$C$4:$AI$14,33,TRUE)&lt;&gt;"n/a",MIN(G36,VLOOKUP(G36,'Geometry 2'!$C$4:$AI$14,1,TRUE))-VLOOKUP(G36,'Geometry 2'!$C$4:$AI$14,33,TRUE),"check")))</f>
        <v/>
      </c>
      <c r="Q36" s="717"/>
      <c r="R36" s="717"/>
      <c r="S36" s="717"/>
      <c r="T36" s="717" t="str">
        <f>IF($G36="","",VLOOKUP($G36,'Geometry 2'!$E$4:$AH$14,11,TRUE))</f>
        <v/>
      </c>
      <c r="U36" s="717"/>
      <c r="V36" s="717"/>
      <c r="W36" s="717"/>
      <c r="X36" s="716" t="str">
        <f>IF($G36="","",VLOOKUP($G36,'Geometry 2'!$E$4:$AJ$14,19,TRUE)-12*VLOOKUP($G36,'Geometry 2'!$E$4:$AJ$14,32,TRUE)*($D36-VLOOKUP($G36,'Geometry 2'!$E$5:$AH$14,1,TRUE)))</f>
        <v/>
      </c>
      <c r="Y36" s="716"/>
      <c r="Z36" s="716"/>
      <c r="AA36" s="716"/>
      <c r="AB36" s="757" t="str">
        <f>IF($G36="","",VLOOKUP($G36,'Geometry 2'!$E$4:$AJ$14,19,TRUE)-12*VLOOKUP($G36,'Geometry 2'!$E$4:$AJ$14,32,TRUE)*($G36-VLOOKUP($G36,'Geometry 2'!$E$5:$AH$14,1,TRUE)))</f>
        <v/>
      </c>
      <c r="AC36" s="758"/>
      <c r="AD36" s="758"/>
      <c r="AE36" s="759"/>
      <c r="AF36" s="716" t="str">
        <f>IF($G36="","",VLOOKUP($G36,'Geometry 2'!$E$4:$AJ$14,19,TRUE)-12*VLOOKUP($G36,'Geometry 2'!$E$4:$AJ$14,32,TRUE)*($G36-IF($P36="",0,$P36)-VLOOKUP($G36,'Geometry 2'!$E$5:$AH$14,1,TRUE)))</f>
        <v/>
      </c>
      <c r="AG36" s="716"/>
      <c r="AH36" s="716"/>
      <c r="AI36" s="716"/>
      <c r="AJ36" s="746" t="str">
        <f>IF($G36="","",VLOOKUP($G36,'Geometry 2'!$E$4:$AH$14,23,TRUE))</f>
        <v/>
      </c>
      <c r="AK36" s="747"/>
      <c r="AL36" s="747"/>
      <c r="AM36" s="748"/>
      <c r="AN36" s="717"/>
      <c r="AO36" s="717"/>
      <c r="AP36" s="717"/>
      <c r="AQ36" s="717"/>
      <c r="AR36" s="717" t="str">
        <f>IF($G36="","",VLOOKUP($G36,'Geometry 2'!$E$4:$AH$14,27,TRUE))</f>
        <v/>
      </c>
      <c r="AS36" s="717"/>
      <c r="AT36" s="717"/>
      <c r="AU36" s="718"/>
      <c r="AV36" s="715"/>
      <c r="AW36" s="716"/>
      <c r="AX36" s="716"/>
      <c r="AZ36" s="722" t="str">
        <f t="shared" si="5"/>
        <v/>
      </c>
      <c r="BA36" s="723"/>
      <c r="BB36" s="723"/>
      <c r="BC36" s="724"/>
      <c r="BD36" s="722"/>
      <c r="BE36" s="723"/>
      <c r="BF36" s="723"/>
      <c r="BG36" s="722" t="str">
        <f t="shared" si="9"/>
        <v/>
      </c>
      <c r="BH36" s="723"/>
      <c r="BI36" s="723"/>
      <c r="BJ36" s="723"/>
      <c r="BK36" s="724"/>
      <c r="BL36" s="722"/>
      <c r="BM36" s="723"/>
      <c r="BN36" s="723"/>
      <c r="BO36" s="723"/>
      <c r="BP36" s="725"/>
      <c r="BQ36" s="725"/>
      <c r="BR36" s="722" t="str">
        <f>IF(BP36="","",IF(OR(AND(Rev="H",Calculations!$F$27=TRUE),AND(Rev&lt;&gt;"H",Calculations!$F$30=TRUE)),IF(BP36&lt;=1,"Pass","Fail"),IF(BP36&lt;=1.05,"Pass","Fail")))</f>
        <v/>
      </c>
      <c r="BS36" s="723"/>
      <c r="BT36" s="724"/>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91"/>
      <c r="CP36" s="792"/>
      <c r="CQ36" s="793"/>
      <c r="CR36" s="791"/>
      <c r="CS36" s="792"/>
      <c r="CT36" s="793"/>
      <c r="CU36" s="791" t="str">
        <f t="shared" si="7"/>
        <v/>
      </c>
      <c r="CV36" s="792"/>
      <c r="CW36" s="807"/>
      <c r="CX36" s="808"/>
      <c r="CY36" s="730"/>
      <c r="CZ36" s="809"/>
      <c r="DA36" s="733"/>
      <c r="DB36" s="734"/>
      <c r="DC36" s="735"/>
      <c r="DD36" s="729" t="str">
        <f t="shared" si="8"/>
        <v/>
      </c>
      <c r="DE36" s="730"/>
      <c r="DF36" s="731"/>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6" t="str">
        <f t="shared" si="4"/>
        <v/>
      </c>
      <c r="E37" s="767"/>
      <c r="F37" s="17" t="str">
        <f t="shared" si="2"/>
        <v/>
      </c>
      <c r="G37" s="768"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9"/>
      <c r="I37" s="228"/>
      <c r="J37" s="228"/>
      <c r="K37" s="228"/>
      <c r="L37" s="717" t="str">
        <f t="shared" ref="L37:L68" si="10">IF(D37="","",D37-G37+IF(P37="",0,P37))</f>
        <v/>
      </c>
      <c r="M37" s="717"/>
      <c r="N37" s="717"/>
      <c r="O37" s="717"/>
      <c r="P37" s="717" t="str">
        <f>IF(OR(G37=0,G37=""),"",IF(VLOOKUP(G37,'Geometry 2'!$C$4:$AI$14,1,TRUE)=VLOOKUP(G38,'Geometry 2'!$C$4:$AI$14,1,TRUE),"",IF(VLOOKUP(G37,'Geometry 2'!$C$4:$AI$14,33,TRUE)&lt;&gt;"n/a",MIN(G37,VLOOKUP(G37,'Geometry 2'!$C$4:$AI$14,1,TRUE))-VLOOKUP(G37,'Geometry 2'!$C$4:$AI$14,33,TRUE),"check")))</f>
        <v/>
      </c>
      <c r="Q37" s="717"/>
      <c r="R37" s="717"/>
      <c r="S37" s="717"/>
      <c r="T37" s="717" t="str">
        <f>IF($G37="","",VLOOKUP($G37,'Geometry 2'!$E$4:$AH$14,11,TRUE))</f>
        <v/>
      </c>
      <c r="U37" s="717"/>
      <c r="V37" s="717"/>
      <c r="W37" s="717"/>
      <c r="X37" s="716" t="str">
        <f>IF($G37="","",VLOOKUP($G37,'Geometry 2'!$E$4:$AJ$14,19,TRUE)-12*VLOOKUP($G37,'Geometry 2'!$E$4:$AJ$14,32,TRUE)*($D37-VLOOKUP($G37,'Geometry 2'!$E$5:$AH$14,1,TRUE)))</f>
        <v/>
      </c>
      <c r="Y37" s="716"/>
      <c r="Z37" s="716"/>
      <c r="AA37" s="716"/>
      <c r="AB37" s="757" t="str">
        <f>IF($G37="","",VLOOKUP($G37,'Geometry 2'!$E$4:$AJ$14,19,TRUE)-12*VLOOKUP($G37,'Geometry 2'!$E$4:$AJ$14,32,TRUE)*($G37-VLOOKUP($G37,'Geometry 2'!$E$5:$AH$14,1,TRUE)))</f>
        <v/>
      </c>
      <c r="AC37" s="758"/>
      <c r="AD37" s="758"/>
      <c r="AE37" s="759"/>
      <c r="AF37" s="716" t="str">
        <f>IF($G37="","",VLOOKUP($G37,'Geometry 2'!$E$4:$AJ$14,19,TRUE)-12*VLOOKUP($G37,'Geometry 2'!$E$4:$AJ$14,32,TRUE)*($G37-IF($P37="",0,$P37)-VLOOKUP($G37,'Geometry 2'!$E$5:$AH$14,1,TRUE)))</f>
        <v/>
      </c>
      <c r="AG37" s="716"/>
      <c r="AH37" s="716"/>
      <c r="AI37" s="716"/>
      <c r="AJ37" s="746" t="str">
        <f>IF($G37="","",VLOOKUP($G37,'Geometry 2'!$E$4:$AH$14,23,TRUE))</f>
        <v/>
      </c>
      <c r="AK37" s="747"/>
      <c r="AL37" s="747"/>
      <c r="AM37" s="748"/>
      <c r="AN37" s="717"/>
      <c r="AO37" s="717"/>
      <c r="AP37" s="717"/>
      <c r="AQ37" s="717"/>
      <c r="AR37" s="717" t="str">
        <f>IF($G37="","",VLOOKUP($G37,'Geometry 2'!$E$4:$AH$14,27,TRUE))</f>
        <v/>
      </c>
      <c r="AS37" s="717"/>
      <c r="AT37" s="717"/>
      <c r="AU37" s="718"/>
      <c r="AV37" s="715"/>
      <c r="AW37" s="716"/>
      <c r="AX37" s="716"/>
      <c r="AZ37" s="722" t="str">
        <f t="shared" si="5"/>
        <v/>
      </c>
      <c r="BA37" s="723"/>
      <c r="BB37" s="723"/>
      <c r="BC37" s="724"/>
      <c r="BD37" s="722"/>
      <c r="BE37" s="723"/>
      <c r="BF37" s="723"/>
      <c r="BG37" s="722" t="str">
        <f t="shared" si="9"/>
        <v/>
      </c>
      <c r="BH37" s="723"/>
      <c r="BI37" s="723"/>
      <c r="BJ37" s="723"/>
      <c r="BK37" s="724"/>
      <c r="BL37" s="722"/>
      <c r="BM37" s="723"/>
      <c r="BN37" s="723"/>
      <c r="BO37" s="723"/>
      <c r="BP37" s="725"/>
      <c r="BQ37" s="725"/>
      <c r="BR37" s="722" t="str">
        <f>IF(BP37="","",IF(OR(AND(Rev="H",Calculations!$F$27=TRUE),AND(Rev&lt;&gt;"H",Calculations!$F$30=TRUE)),IF(BP37&lt;=1,"Pass","Fail"),IF(BP37&lt;=1.05,"Pass","Fail")))</f>
        <v/>
      </c>
      <c r="BS37" s="723"/>
      <c r="BT37" s="724"/>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98"/>
      <c r="CP37" s="799"/>
      <c r="CQ37" s="800"/>
      <c r="CR37" s="798"/>
      <c r="CS37" s="799"/>
      <c r="CT37" s="800"/>
      <c r="CU37" s="798" t="str">
        <f t="shared" si="7"/>
        <v/>
      </c>
      <c r="CV37" s="799"/>
      <c r="CW37" s="806"/>
      <c r="CX37" s="726"/>
      <c r="CY37" s="727"/>
      <c r="CZ37" s="732"/>
      <c r="DA37" s="726"/>
      <c r="DB37" s="727"/>
      <c r="DC37" s="732"/>
      <c r="DD37" s="726" t="str">
        <f t="shared" si="8"/>
        <v/>
      </c>
      <c r="DE37" s="727"/>
      <c r="DF37" s="728"/>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6" t="str">
        <f t="shared" si="4"/>
        <v/>
      </c>
      <c r="E38" s="767"/>
      <c r="F38" s="17" t="str">
        <f t="shared" si="2"/>
        <v/>
      </c>
      <c r="G38" s="768"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9"/>
      <c r="I38" s="228"/>
      <c r="J38" s="228"/>
      <c r="K38" s="228"/>
      <c r="L38" s="717" t="str">
        <f t="shared" si="10"/>
        <v/>
      </c>
      <c r="M38" s="717"/>
      <c r="N38" s="717"/>
      <c r="O38" s="717"/>
      <c r="P38" s="717" t="str">
        <f>IF(OR(G38=0,G38=""),"",IF(VLOOKUP(G38,'Geometry 2'!$C$4:$AI$14,1,TRUE)=VLOOKUP(G39,'Geometry 2'!$C$4:$AI$14,1,TRUE),"",IF(VLOOKUP(G38,'Geometry 2'!$C$4:$AI$14,33,TRUE)&lt;&gt;"n/a",MIN(G38,VLOOKUP(G38,'Geometry 2'!$C$4:$AI$14,1,TRUE))-VLOOKUP(G38,'Geometry 2'!$C$4:$AI$14,33,TRUE),"check")))</f>
        <v/>
      </c>
      <c r="Q38" s="717"/>
      <c r="R38" s="717"/>
      <c r="S38" s="717"/>
      <c r="T38" s="717" t="str">
        <f>IF($G38="","",VLOOKUP($G38,'Geometry 2'!$E$4:$AH$14,11,TRUE))</f>
        <v/>
      </c>
      <c r="U38" s="717"/>
      <c r="V38" s="717"/>
      <c r="W38" s="717"/>
      <c r="X38" s="716" t="str">
        <f>IF($G38="","",VLOOKUP($G38,'Geometry 2'!$E$4:$AJ$14,19,TRUE)-12*VLOOKUP($G38,'Geometry 2'!$E$4:$AJ$14,32,TRUE)*($D38-VLOOKUP($G38,'Geometry 2'!$E$5:$AH$14,1,TRUE)))</f>
        <v/>
      </c>
      <c r="Y38" s="716"/>
      <c r="Z38" s="716"/>
      <c r="AA38" s="716"/>
      <c r="AB38" s="757" t="str">
        <f>IF($G38="","",VLOOKUP($G38,'Geometry 2'!$E$4:$AJ$14,19,TRUE)-12*VLOOKUP($G38,'Geometry 2'!$E$4:$AJ$14,32,TRUE)*($G38-VLOOKUP($G38,'Geometry 2'!$E$5:$AH$14,1,TRUE)))</f>
        <v/>
      </c>
      <c r="AC38" s="758"/>
      <c r="AD38" s="758"/>
      <c r="AE38" s="759"/>
      <c r="AF38" s="716" t="str">
        <f>IF($G38="","",VLOOKUP($G38,'Geometry 2'!$E$4:$AJ$14,19,TRUE)-12*VLOOKUP($G38,'Geometry 2'!$E$4:$AJ$14,32,TRUE)*($G38-IF($P38="",0,$P38)-VLOOKUP($G38,'Geometry 2'!$E$5:$AH$14,1,TRUE)))</f>
        <v/>
      </c>
      <c r="AG38" s="716"/>
      <c r="AH38" s="716"/>
      <c r="AI38" s="716"/>
      <c r="AJ38" s="746" t="str">
        <f>IF($G38="","",VLOOKUP($G38,'Geometry 2'!$E$4:$AH$14,23,TRUE))</f>
        <v/>
      </c>
      <c r="AK38" s="747"/>
      <c r="AL38" s="747"/>
      <c r="AM38" s="748"/>
      <c r="AN38" s="717"/>
      <c r="AO38" s="717"/>
      <c r="AP38" s="717"/>
      <c r="AQ38" s="717"/>
      <c r="AR38" s="717" t="str">
        <f>IF($G38="","",VLOOKUP($G38,'Geometry 2'!$E$4:$AH$14,27,TRUE))</f>
        <v/>
      </c>
      <c r="AS38" s="717"/>
      <c r="AT38" s="717"/>
      <c r="AU38" s="718"/>
      <c r="AV38" s="715"/>
      <c r="AW38" s="716"/>
      <c r="AX38" s="716"/>
      <c r="AZ38" s="722" t="str">
        <f t="shared" si="5"/>
        <v/>
      </c>
      <c r="BA38" s="723"/>
      <c r="BB38" s="723"/>
      <c r="BC38" s="724"/>
      <c r="BD38" s="722"/>
      <c r="BE38" s="723"/>
      <c r="BF38" s="723"/>
      <c r="BG38" s="722" t="str">
        <f t="shared" si="9"/>
        <v/>
      </c>
      <c r="BH38" s="723"/>
      <c r="BI38" s="723"/>
      <c r="BJ38" s="723"/>
      <c r="BK38" s="724"/>
      <c r="BL38" s="722"/>
      <c r="BM38" s="723"/>
      <c r="BN38" s="723"/>
      <c r="BO38" s="723"/>
      <c r="BP38" s="725"/>
      <c r="BQ38" s="725"/>
      <c r="BR38" s="722" t="str">
        <f>IF(BP38="","",IF(OR(AND(Rev="H",Calculations!$F$27=TRUE),AND(Rev&lt;&gt;"H",Calculations!$F$30=TRUE)),IF(BP38&lt;=1,"Pass","Fail"),IF(BP38&lt;=1.05,"Pass","Fail")))</f>
        <v/>
      </c>
      <c r="BS38" s="723"/>
      <c r="BT38" s="724"/>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91"/>
      <c r="CP38" s="792"/>
      <c r="CQ38" s="793"/>
      <c r="CR38" s="791"/>
      <c r="CS38" s="792"/>
      <c r="CT38" s="793"/>
      <c r="CU38" s="791" t="str">
        <f t="shared" si="7"/>
        <v/>
      </c>
      <c r="CV38" s="792"/>
      <c r="CW38" s="807"/>
      <c r="CX38" s="808"/>
      <c r="CY38" s="730"/>
      <c r="CZ38" s="809"/>
      <c r="DA38" s="733"/>
      <c r="DB38" s="734"/>
      <c r="DC38" s="735"/>
      <c r="DD38" s="729" t="str">
        <f t="shared" si="8"/>
        <v/>
      </c>
      <c r="DE38" s="730"/>
      <c r="DF38" s="731"/>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6" t="str">
        <f t="shared" si="4"/>
        <v/>
      </c>
      <c r="E39" s="767"/>
      <c r="F39" s="17" t="str">
        <f t="shared" si="2"/>
        <v/>
      </c>
      <c r="G39" s="768"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9"/>
      <c r="I39" s="228"/>
      <c r="J39" s="228"/>
      <c r="K39" s="228"/>
      <c r="L39" s="717" t="str">
        <f t="shared" si="10"/>
        <v/>
      </c>
      <c r="M39" s="717"/>
      <c r="N39" s="717"/>
      <c r="O39" s="717"/>
      <c r="P39" s="717" t="str">
        <f>IF(OR(G39=0,G39=""),"",IF(VLOOKUP(G39,'Geometry 2'!$C$4:$AI$14,1,TRUE)=VLOOKUP(G40,'Geometry 2'!$C$4:$AI$14,1,TRUE),"",IF(VLOOKUP(G39,'Geometry 2'!$C$4:$AI$14,33,TRUE)&lt;&gt;"n/a",MIN(G39,VLOOKUP(G39,'Geometry 2'!$C$4:$AI$14,1,TRUE))-VLOOKUP(G39,'Geometry 2'!$C$4:$AI$14,33,TRUE),"check")))</f>
        <v/>
      </c>
      <c r="Q39" s="717"/>
      <c r="R39" s="717"/>
      <c r="S39" s="717"/>
      <c r="T39" s="717" t="str">
        <f>IF($G39="","",VLOOKUP($G39,'Geometry 2'!$E$4:$AH$14,11,TRUE))</f>
        <v/>
      </c>
      <c r="U39" s="717"/>
      <c r="V39" s="717"/>
      <c r="W39" s="717"/>
      <c r="X39" s="716" t="str">
        <f>IF($G39="","",VLOOKUP($G39,'Geometry 2'!$E$4:$AJ$14,19,TRUE)-12*VLOOKUP($G39,'Geometry 2'!$E$4:$AJ$14,32,TRUE)*($D39-VLOOKUP($G39,'Geometry 2'!$E$5:$AH$14,1,TRUE)))</f>
        <v/>
      </c>
      <c r="Y39" s="716"/>
      <c r="Z39" s="716"/>
      <c r="AA39" s="716"/>
      <c r="AB39" s="757" t="str">
        <f>IF($G39="","",VLOOKUP($G39,'Geometry 2'!$E$4:$AJ$14,19,TRUE)-12*VLOOKUP($G39,'Geometry 2'!$E$4:$AJ$14,32,TRUE)*($G39-VLOOKUP($G39,'Geometry 2'!$E$5:$AH$14,1,TRUE)))</f>
        <v/>
      </c>
      <c r="AC39" s="758"/>
      <c r="AD39" s="758"/>
      <c r="AE39" s="759"/>
      <c r="AF39" s="716" t="str">
        <f>IF($G39="","",VLOOKUP($G39,'Geometry 2'!$E$4:$AJ$14,19,TRUE)-12*VLOOKUP($G39,'Geometry 2'!$E$4:$AJ$14,32,TRUE)*($G39-IF($P39="",0,$P39)-VLOOKUP($G39,'Geometry 2'!$E$5:$AH$14,1,TRUE)))</f>
        <v/>
      </c>
      <c r="AG39" s="716"/>
      <c r="AH39" s="716"/>
      <c r="AI39" s="716"/>
      <c r="AJ39" s="746" t="str">
        <f>IF($G39="","",VLOOKUP($G39,'Geometry 2'!$E$4:$AH$14,23,TRUE))</f>
        <v/>
      </c>
      <c r="AK39" s="747"/>
      <c r="AL39" s="747"/>
      <c r="AM39" s="748"/>
      <c r="AN39" s="717"/>
      <c r="AO39" s="717"/>
      <c r="AP39" s="717"/>
      <c r="AQ39" s="717"/>
      <c r="AR39" s="717" t="str">
        <f>IF($G39="","",VLOOKUP($G39,'Geometry 2'!$E$4:$AH$14,27,TRUE))</f>
        <v/>
      </c>
      <c r="AS39" s="717"/>
      <c r="AT39" s="717"/>
      <c r="AU39" s="718"/>
      <c r="AV39" s="715"/>
      <c r="AW39" s="716"/>
      <c r="AX39" s="716"/>
      <c r="AZ39" s="722" t="str">
        <f t="shared" si="5"/>
        <v/>
      </c>
      <c r="BA39" s="723"/>
      <c r="BB39" s="723"/>
      <c r="BC39" s="724"/>
      <c r="BD39" s="722"/>
      <c r="BE39" s="723"/>
      <c r="BF39" s="723"/>
      <c r="BG39" s="722" t="str">
        <f t="shared" si="9"/>
        <v/>
      </c>
      <c r="BH39" s="723"/>
      <c r="BI39" s="723"/>
      <c r="BJ39" s="723"/>
      <c r="BK39" s="724"/>
      <c r="BL39" s="722"/>
      <c r="BM39" s="723"/>
      <c r="BN39" s="723"/>
      <c r="BO39" s="723"/>
      <c r="BP39" s="725"/>
      <c r="BQ39" s="725"/>
      <c r="BR39" s="722" t="str">
        <f>IF(BP39="","",IF(OR(AND(Rev="H",Calculations!$F$27=TRUE),AND(Rev&lt;&gt;"H",Calculations!$F$30=TRUE)),IF(BP39&lt;=1,"Pass","Fail"),IF(BP39&lt;=1.05,"Pass","Fail")))</f>
        <v/>
      </c>
      <c r="BS39" s="723"/>
      <c r="BT39" s="724"/>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98"/>
      <c r="CP39" s="799"/>
      <c r="CQ39" s="800"/>
      <c r="CR39" s="798"/>
      <c r="CS39" s="799"/>
      <c r="CT39" s="800"/>
      <c r="CU39" s="798" t="str">
        <f t="shared" si="7"/>
        <v/>
      </c>
      <c r="CV39" s="799"/>
      <c r="CW39" s="806"/>
      <c r="CX39" s="726"/>
      <c r="CY39" s="727"/>
      <c r="CZ39" s="732"/>
      <c r="DA39" s="726"/>
      <c r="DB39" s="727"/>
      <c r="DC39" s="732"/>
      <c r="DD39" s="726" t="str">
        <f t="shared" si="8"/>
        <v/>
      </c>
      <c r="DE39" s="727"/>
      <c r="DF39" s="728"/>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6" t="str">
        <f t="shared" si="4"/>
        <v/>
      </c>
      <c r="E40" s="767"/>
      <c r="F40" s="17" t="str">
        <f t="shared" si="2"/>
        <v/>
      </c>
      <c r="G40" s="768"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9"/>
      <c r="I40" s="228"/>
      <c r="J40" s="228"/>
      <c r="K40" s="228"/>
      <c r="L40" s="717" t="str">
        <f t="shared" si="10"/>
        <v/>
      </c>
      <c r="M40" s="717"/>
      <c r="N40" s="717"/>
      <c r="O40" s="717"/>
      <c r="P40" s="717" t="str">
        <f>IF(OR(G40=0,G40=""),"",IF(VLOOKUP(G40,'Geometry 2'!$C$4:$AI$14,1,TRUE)=VLOOKUP(G41,'Geometry 2'!$C$4:$AI$14,1,TRUE),"",IF(VLOOKUP(G40,'Geometry 2'!$C$4:$AI$14,33,TRUE)&lt;&gt;"n/a",MIN(G40,VLOOKUP(G40,'Geometry 2'!$C$4:$AI$14,1,TRUE))-VLOOKUP(G40,'Geometry 2'!$C$4:$AI$14,33,TRUE),"check")))</f>
        <v/>
      </c>
      <c r="Q40" s="717"/>
      <c r="R40" s="717"/>
      <c r="S40" s="717"/>
      <c r="T40" s="717" t="str">
        <f>IF($G40="","",VLOOKUP($G40,'Geometry 2'!$E$4:$AH$14,11,TRUE))</f>
        <v/>
      </c>
      <c r="U40" s="717"/>
      <c r="V40" s="717"/>
      <c r="W40" s="717"/>
      <c r="X40" s="716" t="str">
        <f>IF($G40="","",VLOOKUP($G40,'Geometry 2'!$E$4:$AJ$14,19,TRUE)-12*VLOOKUP($G40,'Geometry 2'!$E$4:$AJ$14,32,TRUE)*($D40-VLOOKUP($G40,'Geometry 2'!$E$5:$AH$14,1,TRUE)))</f>
        <v/>
      </c>
      <c r="Y40" s="716"/>
      <c r="Z40" s="716"/>
      <c r="AA40" s="716"/>
      <c r="AB40" s="757" t="str">
        <f>IF($G40="","",VLOOKUP($G40,'Geometry 2'!$E$4:$AJ$14,19,TRUE)-12*VLOOKUP($G40,'Geometry 2'!$E$4:$AJ$14,32,TRUE)*($G40-VLOOKUP($G40,'Geometry 2'!$E$5:$AH$14,1,TRUE)))</f>
        <v/>
      </c>
      <c r="AC40" s="758"/>
      <c r="AD40" s="758"/>
      <c r="AE40" s="759"/>
      <c r="AF40" s="716" t="str">
        <f>IF($G40="","",VLOOKUP($G40,'Geometry 2'!$E$4:$AJ$14,19,TRUE)-12*VLOOKUP($G40,'Geometry 2'!$E$4:$AJ$14,32,TRUE)*($G40-IF($P40="",0,$P40)-VLOOKUP($G40,'Geometry 2'!$E$5:$AH$14,1,TRUE)))</f>
        <v/>
      </c>
      <c r="AG40" s="716"/>
      <c r="AH40" s="716"/>
      <c r="AI40" s="716"/>
      <c r="AJ40" s="746" t="str">
        <f>IF($G40="","",VLOOKUP($G40,'Geometry 2'!$E$4:$AH$14,23,TRUE))</f>
        <v/>
      </c>
      <c r="AK40" s="747"/>
      <c r="AL40" s="747"/>
      <c r="AM40" s="748"/>
      <c r="AN40" s="717"/>
      <c r="AO40" s="717"/>
      <c r="AP40" s="717"/>
      <c r="AQ40" s="717"/>
      <c r="AR40" s="717" t="str">
        <f>IF($G40="","",VLOOKUP($G40,'Geometry 2'!$E$4:$AH$14,27,TRUE))</f>
        <v/>
      </c>
      <c r="AS40" s="717"/>
      <c r="AT40" s="717"/>
      <c r="AU40" s="718"/>
      <c r="AV40" s="715"/>
      <c r="AW40" s="716"/>
      <c r="AX40" s="716"/>
      <c r="AZ40" s="722" t="str">
        <f t="shared" si="5"/>
        <v/>
      </c>
      <c r="BA40" s="723"/>
      <c r="BB40" s="723"/>
      <c r="BC40" s="724"/>
      <c r="BD40" s="722"/>
      <c r="BE40" s="723"/>
      <c r="BF40" s="723"/>
      <c r="BG40" s="722" t="str">
        <f t="shared" si="9"/>
        <v/>
      </c>
      <c r="BH40" s="723"/>
      <c r="BI40" s="723"/>
      <c r="BJ40" s="723"/>
      <c r="BK40" s="724"/>
      <c r="BL40" s="722"/>
      <c r="BM40" s="723"/>
      <c r="BN40" s="723"/>
      <c r="BO40" s="723"/>
      <c r="BP40" s="725"/>
      <c r="BQ40" s="725"/>
      <c r="BR40" s="722" t="str">
        <f>IF(BP40="","",IF(OR(AND(Rev="H",Calculations!$F$27=TRUE),AND(Rev&lt;&gt;"H",Calculations!$F$30=TRUE)),IF(BP40&lt;=1,"Pass","Fail"),IF(BP40&lt;=1.05,"Pass","Fail")))</f>
        <v/>
      </c>
      <c r="BS40" s="723"/>
      <c r="BT40" s="724"/>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91"/>
      <c r="CP40" s="792"/>
      <c r="CQ40" s="793"/>
      <c r="CR40" s="791"/>
      <c r="CS40" s="792"/>
      <c r="CT40" s="793"/>
      <c r="CU40" s="791" t="str">
        <f t="shared" si="7"/>
        <v/>
      </c>
      <c r="CV40" s="792"/>
      <c r="CW40" s="807"/>
      <c r="CX40" s="808"/>
      <c r="CY40" s="730"/>
      <c r="CZ40" s="809"/>
      <c r="DA40" s="733"/>
      <c r="DB40" s="734"/>
      <c r="DC40" s="735"/>
      <c r="DD40" s="729" t="str">
        <f t="shared" si="8"/>
        <v/>
      </c>
      <c r="DE40" s="730"/>
      <c r="DF40" s="731"/>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6" t="str">
        <f t="shared" si="4"/>
        <v/>
      </c>
      <c r="E41" s="767"/>
      <c r="F41" s="17" t="str">
        <f t="shared" si="2"/>
        <v/>
      </c>
      <c r="G41" s="768"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9"/>
      <c r="I41" s="228"/>
      <c r="J41" s="228"/>
      <c r="K41" s="228"/>
      <c r="L41" s="717" t="str">
        <f t="shared" si="10"/>
        <v/>
      </c>
      <c r="M41" s="717"/>
      <c r="N41" s="717"/>
      <c r="O41" s="717"/>
      <c r="P41" s="717" t="str">
        <f>IF(OR(G41=0,G41=""),"",IF(VLOOKUP(G41,'Geometry 2'!$C$4:$AI$14,1,TRUE)=VLOOKUP(G42,'Geometry 2'!$C$4:$AI$14,1,TRUE),"",IF(VLOOKUP(G41,'Geometry 2'!$C$4:$AI$14,33,TRUE)&lt;&gt;"n/a",MIN(G41,VLOOKUP(G41,'Geometry 2'!$C$4:$AI$14,1,TRUE))-VLOOKUP(G41,'Geometry 2'!$C$4:$AI$14,33,TRUE),"check")))</f>
        <v/>
      </c>
      <c r="Q41" s="717"/>
      <c r="R41" s="717"/>
      <c r="S41" s="717"/>
      <c r="T41" s="717" t="str">
        <f>IF($G41="","",VLOOKUP($G41,'Geometry 2'!$E$4:$AH$14,11,TRUE))</f>
        <v/>
      </c>
      <c r="U41" s="717"/>
      <c r="V41" s="717"/>
      <c r="W41" s="717"/>
      <c r="X41" s="716" t="str">
        <f>IF($G41="","",VLOOKUP($G41,'Geometry 2'!$E$4:$AJ$14,19,TRUE)-12*VLOOKUP($G41,'Geometry 2'!$E$4:$AJ$14,32,TRUE)*($D41-VLOOKUP($G41,'Geometry 2'!$E$5:$AH$14,1,TRUE)))</f>
        <v/>
      </c>
      <c r="Y41" s="716"/>
      <c r="Z41" s="716"/>
      <c r="AA41" s="716"/>
      <c r="AB41" s="757" t="str">
        <f>IF($G41="","",VLOOKUP($G41,'Geometry 2'!$E$4:$AJ$14,19,TRUE)-12*VLOOKUP($G41,'Geometry 2'!$E$4:$AJ$14,32,TRUE)*($G41-VLOOKUP($G41,'Geometry 2'!$E$5:$AH$14,1,TRUE)))</f>
        <v/>
      </c>
      <c r="AC41" s="758"/>
      <c r="AD41" s="758"/>
      <c r="AE41" s="759"/>
      <c r="AF41" s="716" t="str">
        <f>IF($G41="","",VLOOKUP($G41,'Geometry 2'!$E$4:$AJ$14,19,TRUE)-12*VLOOKUP($G41,'Geometry 2'!$E$4:$AJ$14,32,TRUE)*($G41-IF($P41="",0,$P41)-VLOOKUP($G41,'Geometry 2'!$E$5:$AH$14,1,TRUE)))</f>
        <v/>
      </c>
      <c r="AG41" s="716"/>
      <c r="AH41" s="716"/>
      <c r="AI41" s="716"/>
      <c r="AJ41" s="746" t="str">
        <f>IF($G41="","",VLOOKUP($G41,'Geometry 2'!$E$4:$AH$14,23,TRUE))</f>
        <v/>
      </c>
      <c r="AK41" s="747"/>
      <c r="AL41" s="747"/>
      <c r="AM41" s="748"/>
      <c r="AN41" s="717"/>
      <c r="AO41" s="717"/>
      <c r="AP41" s="717"/>
      <c r="AQ41" s="717"/>
      <c r="AR41" s="717" t="str">
        <f>IF($G41="","",VLOOKUP($G41,'Geometry 2'!$E$4:$AH$14,27,TRUE))</f>
        <v/>
      </c>
      <c r="AS41" s="717"/>
      <c r="AT41" s="717"/>
      <c r="AU41" s="718"/>
      <c r="AV41" s="715"/>
      <c r="AW41" s="716"/>
      <c r="AX41" s="716"/>
      <c r="AZ41" s="722" t="str">
        <f t="shared" si="5"/>
        <v/>
      </c>
      <c r="BA41" s="723"/>
      <c r="BB41" s="723"/>
      <c r="BC41" s="724"/>
      <c r="BD41" s="722"/>
      <c r="BE41" s="723"/>
      <c r="BF41" s="723"/>
      <c r="BG41" s="722" t="str">
        <f t="shared" si="9"/>
        <v/>
      </c>
      <c r="BH41" s="723"/>
      <c r="BI41" s="723"/>
      <c r="BJ41" s="723"/>
      <c r="BK41" s="724"/>
      <c r="BL41" s="722"/>
      <c r="BM41" s="723"/>
      <c r="BN41" s="723"/>
      <c r="BO41" s="723"/>
      <c r="BP41" s="725"/>
      <c r="BQ41" s="725"/>
      <c r="BR41" s="722" t="str">
        <f>IF(BP41="","",IF(OR(AND(Rev="H",Calculations!$F$27=TRUE),AND(Rev&lt;&gt;"H",Calculations!$F$30=TRUE)),IF(BP41&lt;=1,"Pass","Fail"),IF(BP41&lt;=1.05,"Pass","Fail")))</f>
        <v/>
      </c>
      <c r="BS41" s="723"/>
      <c r="BT41" s="724"/>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98"/>
      <c r="CP41" s="799"/>
      <c r="CQ41" s="800"/>
      <c r="CR41" s="798"/>
      <c r="CS41" s="799"/>
      <c r="CT41" s="800"/>
      <c r="CU41" s="798" t="str">
        <f t="shared" si="7"/>
        <v/>
      </c>
      <c r="CV41" s="799"/>
      <c r="CW41" s="806"/>
      <c r="CX41" s="726"/>
      <c r="CY41" s="727"/>
      <c r="CZ41" s="732"/>
      <c r="DA41" s="726"/>
      <c r="DB41" s="727"/>
      <c r="DC41" s="732"/>
      <c r="DD41" s="726" t="str">
        <f t="shared" si="8"/>
        <v/>
      </c>
      <c r="DE41" s="727"/>
      <c r="DF41" s="728"/>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6" t="str">
        <f t="shared" si="4"/>
        <v/>
      </c>
      <c r="E42" s="767"/>
      <c r="F42" s="17" t="str">
        <f t="shared" si="2"/>
        <v/>
      </c>
      <c r="G42" s="768"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9"/>
      <c r="I42" s="228"/>
      <c r="J42" s="228"/>
      <c r="K42" s="228"/>
      <c r="L42" s="717" t="str">
        <f t="shared" si="10"/>
        <v/>
      </c>
      <c r="M42" s="717"/>
      <c r="N42" s="717"/>
      <c r="O42" s="717"/>
      <c r="P42" s="717" t="str">
        <f>IF(OR(G42=0,G42=""),"",IF(VLOOKUP(G42,'Geometry 2'!$C$4:$AI$14,1,TRUE)=VLOOKUP(G43,'Geometry 2'!$C$4:$AI$14,1,TRUE),"",IF(VLOOKUP(G42,'Geometry 2'!$C$4:$AI$14,33,TRUE)&lt;&gt;"n/a",MIN(G42,VLOOKUP(G42,'Geometry 2'!$C$4:$AI$14,1,TRUE))-VLOOKUP(G42,'Geometry 2'!$C$4:$AI$14,33,TRUE),"check")))</f>
        <v/>
      </c>
      <c r="Q42" s="717"/>
      <c r="R42" s="717"/>
      <c r="S42" s="717"/>
      <c r="T42" s="717" t="str">
        <f>IF($G42="","",VLOOKUP($G42,'Geometry 2'!$E$4:$AH$14,11,TRUE))</f>
        <v/>
      </c>
      <c r="U42" s="717"/>
      <c r="V42" s="717"/>
      <c r="W42" s="717"/>
      <c r="X42" s="716" t="str">
        <f>IF($G42="","",VLOOKUP($G42,'Geometry 2'!$E$4:$AJ$14,19,TRUE)-12*VLOOKUP($G42,'Geometry 2'!$E$4:$AJ$14,32,TRUE)*($D42-VLOOKUP($G42,'Geometry 2'!$E$5:$AH$14,1,TRUE)))</f>
        <v/>
      </c>
      <c r="Y42" s="716"/>
      <c r="Z42" s="716"/>
      <c r="AA42" s="716"/>
      <c r="AB42" s="757" t="str">
        <f>IF($G42="","",VLOOKUP($G42,'Geometry 2'!$E$4:$AJ$14,19,TRUE)-12*VLOOKUP($G42,'Geometry 2'!$E$4:$AJ$14,32,TRUE)*($G42-VLOOKUP($G42,'Geometry 2'!$E$5:$AH$14,1,TRUE)))</f>
        <v/>
      </c>
      <c r="AC42" s="758"/>
      <c r="AD42" s="758"/>
      <c r="AE42" s="759"/>
      <c r="AF42" s="716" t="str">
        <f>IF($G42="","",VLOOKUP($G42,'Geometry 2'!$E$4:$AJ$14,19,TRUE)-12*VLOOKUP($G42,'Geometry 2'!$E$4:$AJ$14,32,TRUE)*($G42-IF($P42="",0,$P42)-VLOOKUP($G42,'Geometry 2'!$E$5:$AH$14,1,TRUE)))</f>
        <v/>
      </c>
      <c r="AG42" s="716"/>
      <c r="AH42" s="716"/>
      <c r="AI42" s="716"/>
      <c r="AJ42" s="746" t="str">
        <f>IF($G42="","",VLOOKUP($G42,'Geometry 2'!$E$4:$AH$14,23,TRUE))</f>
        <v/>
      </c>
      <c r="AK42" s="747"/>
      <c r="AL42" s="747"/>
      <c r="AM42" s="748"/>
      <c r="AN42" s="717"/>
      <c r="AO42" s="717"/>
      <c r="AP42" s="717"/>
      <c r="AQ42" s="717"/>
      <c r="AR42" s="717" t="str">
        <f>IF($G42="","",VLOOKUP($G42,'Geometry 2'!$E$4:$AH$14,27,TRUE))</f>
        <v/>
      </c>
      <c r="AS42" s="717"/>
      <c r="AT42" s="717"/>
      <c r="AU42" s="718"/>
      <c r="AV42" s="715"/>
      <c r="AW42" s="716"/>
      <c r="AX42" s="716"/>
      <c r="AZ42" s="722" t="str">
        <f t="shared" si="5"/>
        <v/>
      </c>
      <c r="BA42" s="723"/>
      <c r="BB42" s="723"/>
      <c r="BC42" s="724"/>
      <c r="BD42" s="722"/>
      <c r="BE42" s="723"/>
      <c r="BF42" s="723"/>
      <c r="BG42" s="722" t="str">
        <f t="shared" si="9"/>
        <v/>
      </c>
      <c r="BH42" s="723"/>
      <c r="BI42" s="723"/>
      <c r="BJ42" s="723"/>
      <c r="BK42" s="724"/>
      <c r="BL42" s="722"/>
      <c r="BM42" s="723"/>
      <c r="BN42" s="723"/>
      <c r="BO42" s="723"/>
      <c r="BP42" s="725"/>
      <c r="BQ42" s="725"/>
      <c r="BR42" s="722" t="str">
        <f>IF(BP42="","",IF(OR(AND(Rev="H",Calculations!$F$27=TRUE),AND(Rev&lt;&gt;"H",Calculations!$F$30=TRUE)),IF(BP42&lt;=1,"Pass","Fail"),IF(BP42&lt;=1.05,"Pass","Fail")))</f>
        <v/>
      </c>
      <c r="BS42" s="723"/>
      <c r="BT42" s="724"/>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91"/>
      <c r="CP42" s="792"/>
      <c r="CQ42" s="793"/>
      <c r="CR42" s="791"/>
      <c r="CS42" s="792"/>
      <c r="CT42" s="793"/>
      <c r="CU42" s="791" t="str">
        <f t="shared" si="7"/>
        <v/>
      </c>
      <c r="CV42" s="792"/>
      <c r="CW42" s="807"/>
      <c r="CX42" s="808"/>
      <c r="CY42" s="730"/>
      <c r="CZ42" s="809"/>
      <c r="DA42" s="733"/>
      <c r="DB42" s="734"/>
      <c r="DC42" s="735"/>
      <c r="DD42" s="729" t="str">
        <f t="shared" si="8"/>
        <v/>
      </c>
      <c r="DE42" s="730"/>
      <c r="DF42" s="731"/>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6" t="str">
        <f t="shared" si="4"/>
        <v/>
      </c>
      <c r="E43" s="767"/>
      <c r="F43" s="17" t="str">
        <f t="shared" si="2"/>
        <v/>
      </c>
      <c r="G43" s="768"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9"/>
      <c r="I43" s="228"/>
      <c r="J43" s="228"/>
      <c r="K43" s="228"/>
      <c r="L43" s="717" t="str">
        <f t="shared" si="10"/>
        <v/>
      </c>
      <c r="M43" s="717"/>
      <c r="N43" s="717"/>
      <c r="O43" s="717"/>
      <c r="P43" s="717" t="str">
        <f>IF(OR(G43=0,G43=""),"",IF(VLOOKUP(G43,'Geometry 2'!$C$4:$AI$14,1,TRUE)=VLOOKUP(G44,'Geometry 2'!$C$4:$AI$14,1,TRUE),"",IF(VLOOKUP(G43,'Geometry 2'!$C$4:$AI$14,33,TRUE)&lt;&gt;"n/a",MIN(G43,VLOOKUP(G43,'Geometry 2'!$C$4:$AI$14,1,TRUE))-VLOOKUP(G43,'Geometry 2'!$C$4:$AI$14,33,TRUE),"check")))</f>
        <v/>
      </c>
      <c r="Q43" s="717"/>
      <c r="R43" s="717"/>
      <c r="S43" s="717"/>
      <c r="T43" s="717" t="str">
        <f>IF($G43="","",VLOOKUP($G43,'Geometry 2'!$E$4:$AH$14,11,TRUE))</f>
        <v/>
      </c>
      <c r="U43" s="717"/>
      <c r="V43" s="717"/>
      <c r="W43" s="717"/>
      <c r="X43" s="716" t="str">
        <f>IF($G43="","",VLOOKUP($G43,'Geometry 2'!$E$4:$AJ$14,19,TRUE)-12*VLOOKUP($G43,'Geometry 2'!$E$4:$AJ$14,32,TRUE)*($D43-VLOOKUP($G43,'Geometry 2'!$E$5:$AH$14,1,TRUE)))</f>
        <v/>
      </c>
      <c r="Y43" s="716"/>
      <c r="Z43" s="716"/>
      <c r="AA43" s="716"/>
      <c r="AB43" s="757" t="str">
        <f>IF($G43="","",VLOOKUP($G43,'Geometry 2'!$E$4:$AJ$14,19,TRUE)-12*VLOOKUP($G43,'Geometry 2'!$E$4:$AJ$14,32,TRUE)*($G43-VLOOKUP($G43,'Geometry 2'!$E$5:$AH$14,1,TRUE)))</f>
        <v/>
      </c>
      <c r="AC43" s="758"/>
      <c r="AD43" s="758"/>
      <c r="AE43" s="759"/>
      <c r="AF43" s="716" t="str">
        <f>IF($G43="","",VLOOKUP($G43,'Geometry 2'!$E$4:$AJ$14,19,TRUE)-12*VLOOKUP($G43,'Geometry 2'!$E$4:$AJ$14,32,TRUE)*($G43-IF($P43="",0,$P43)-VLOOKUP($G43,'Geometry 2'!$E$5:$AH$14,1,TRUE)))</f>
        <v/>
      </c>
      <c r="AG43" s="716"/>
      <c r="AH43" s="716"/>
      <c r="AI43" s="716"/>
      <c r="AJ43" s="746" t="str">
        <f>IF($G43="","",VLOOKUP($G43,'Geometry 2'!$E$4:$AH$14,23,TRUE))</f>
        <v/>
      </c>
      <c r="AK43" s="747"/>
      <c r="AL43" s="747"/>
      <c r="AM43" s="748"/>
      <c r="AN43" s="717"/>
      <c r="AO43" s="717"/>
      <c r="AP43" s="717"/>
      <c r="AQ43" s="717"/>
      <c r="AR43" s="717" t="str">
        <f>IF($G43="","",VLOOKUP($G43,'Geometry 2'!$E$4:$AH$14,27,TRUE))</f>
        <v/>
      </c>
      <c r="AS43" s="717"/>
      <c r="AT43" s="717"/>
      <c r="AU43" s="718"/>
      <c r="AV43" s="715"/>
      <c r="AW43" s="716"/>
      <c r="AX43" s="716"/>
      <c r="AZ43" s="722" t="str">
        <f t="shared" si="5"/>
        <v/>
      </c>
      <c r="BA43" s="723"/>
      <c r="BB43" s="723"/>
      <c r="BC43" s="724"/>
      <c r="BD43" s="722"/>
      <c r="BE43" s="723"/>
      <c r="BF43" s="723"/>
      <c r="BG43" s="722" t="str">
        <f t="shared" si="9"/>
        <v/>
      </c>
      <c r="BH43" s="723"/>
      <c r="BI43" s="723"/>
      <c r="BJ43" s="723"/>
      <c r="BK43" s="724"/>
      <c r="BL43" s="722"/>
      <c r="BM43" s="723"/>
      <c r="BN43" s="723"/>
      <c r="BO43" s="723"/>
      <c r="BP43" s="725"/>
      <c r="BQ43" s="725"/>
      <c r="BR43" s="722" t="str">
        <f>IF(BP43="","",IF(OR(AND(Rev="H",Calculations!$F$27=TRUE),AND(Rev&lt;&gt;"H",Calculations!$F$30=TRUE)),IF(BP43&lt;=1,"Pass","Fail"),IF(BP43&lt;=1.05,"Pass","Fail")))</f>
        <v/>
      </c>
      <c r="BS43" s="723"/>
      <c r="BT43" s="724"/>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98"/>
      <c r="CP43" s="799"/>
      <c r="CQ43" s="800"/>
      <c r="CR43" s="798"/>
      <c r="CS43" s="799"/>
      <c r="CT43" s="800"/>
      <c r="CU43" s="798" t="str">
        <f t="shared" si="7"/>
        <v/>
      </c>
      <c r="CV43" s="799"/>
      <c r="CW43" s="806"/>
      <c r="CX43" s="726"/>
      <c r="CY43" s="727"/>
      <c r="CZ43" s="732"/>
      <c r="DA43" s="726"/>
      <c r="DB43" s="727"/>
      <c r="DC43" s="732"/>
      <c r="DD43" s="726" t="str">
        <f t="shared" si="8"/>
        <v/>
      </c>
      <c r="DE43" s="727"/>
      <c r="DF43" s="728"/>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6" t="str">
        <f t="shared" si="4"/>
        <v/>
      </c>
      <c r="E44" s="767"/>
      <c r="F44" s="17" t="str">
        <f t="shared" si="2"/>
        <v/>
      </c>
      <c r="G44" s="768"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9"/>
      <c r="I44" s="228"/>
      <c r="J44" s="228"/>
      <c r="K44" s="228"/>
      <c r="L44" s="717" t="str">
        <f t="shared" si="10"/>
        <v/>
      </c>
      <c r="M44" s="717"/>
      <c r="N44" s="717"/>
      <c r="O44" s="717"/>
      <c r="P44" s="717" t="str">
        <f>IF(OR(G44=0,G44=""),"",IF(VLOOKUP(G44,'Geometry 2'!$C$4:$AI$14,1,TRUE)=VLOOKUP(G45,'Geometry 2'!$C$4:$AI$14,1,TRUE),"",IF(VLOOKUP(G44,'Geometry 2'!$C$4:$AI$14,33,TRUE)&lt;&gt;"n/a",MIN(G44,VLOOKUP(G44,'Geometry 2'!$C$4:$AI$14,1,TRUE))-VLOOKUP(G44,'Geometry 2'!$C$4:$AI$14,33,TRUE),"check")))</f>
        <v/>
      </c>
      <c r="Q44" s="717"/>
      <c r="R44" s="717"/>
      <c r="S44" s="717"/>
      <c r="T44" s="717" t="str">
        <f>IF($G44="","",VLOOKUP($G44,'Geometry 2'!$E$4:$AH$14,11,TRUE))</f>
        <v/>
      </c>
      <c r="U44" s="717"/>
      <c r="V44" s="717"/>
      <c r="W44" s="717"/>
      <c r="X44" s="716" t="str">
        <f>IF($G44="","",VLOOKUP($G44,'Geometry 2'!$E$4:$AJ$14,19,TRUE)-12*VLOOKUP($G44,'Geometry 2'!$E$4:$AJ$14,32,TRUE)*($D44-VLOOKUP($G44,'Geometry 2'!$E$5:$AH$14,1,TRUE)))</f>
        <v/>
      </c>
      <c r="Y44" s="716"/>
      <c r="Z44" s="716"/>
      <c r="AA44" s="716"/>
      <c r="AB44" s="757" t="str">
        <f>IF($G44="","",VLOOKUP($G44,'Geometry 2'!$E$4:$AJ$14,19,TRUE)-12*VLOOKUP($G44,'Geometry 2'!$E$4:$AJ$14,32,TRUE)*($G44-VLOOKUP($G44,'Geometry 2'!$E$5:$AH$14,1,TRUE)))</f>
        <v/>
      </c>
      <c r="AC44" s="758"/>
      <c r="AD44" s="758"/>
      <c r="AE44" s="759"/>
      <c r="AF44" s="716" t="str">
        <f>IF($G44="","",VLOOKUP($G44,'Geometry 2'!$E$4:$AJ$14,19,TRUE)-12*VLOOKUP($G44,'Geometry 2'!$E$4:$AJ$14,32,TRUE)*($G44-IF($P44="",0,$P44)-VLOOKUP($G44,'Geometry 2'!$E$5:$AH$14,1,TRUE)))</f>
        <v/>
      </c>
      <c r="AG44" s="716"/>
      <c r="AH44" s="716"/>
      <c r="AI44" s="716"/>
      <c r="AJ44" s="746" t="str">
        <f>IF($G44="","",VLOOKUP($G44,'Geometry 2'!$E$4:$AH$14,23,TRUE))</f>
        <v/>
      </c>
      <c r="AK44" s="747"/>
      <c r="AL44" s="747"/>
      <c r="AM44" s="748"/>
      <c r="AN44" s="717"/>
      <c r="AO44" s="717"/>
      <c r="AP44" s="717"/>
      <c r="AQ44" s="717"/>
      <c r="AR44" s="717" t="str">
        <f>IF($G44="","",VLOOKUP($G44,'Geometry 2'!$E$4:$AH$14,27,TRUE))</f>
        <v/>
      </c>
      <c r="AS44" s="717"/>
      <c r="AT44" s="717"/>
      <c r="AU44" s="718"/>
      <c r="AV44" s="715"/>
      <c r="AW44" s="716"/>
      <c r="AX44" s="716"/>
      <c r="AZ44" s="722" t="str">
        <f t="shared" si="5"/>
        <v/>
      </c>
      <c r="BA44" s="723"/>
      <c r="BB44" s="723"/>
      <c r="BC44" s="724"/>
      <c r="BD44" s="722"/>
      <c r="BE44" s="723"/>
      <c r="BF44" s="723"/>
      <c r="BG44" s="722" t="str">
        <f t="shared" si="9"/>
        <v/>
      </c>
      <c r="BH44" s="723"/>
      <c r="BI44" s="723"/>
      <c r="BJ44" s="723"/>
      <c r="BK44" s="724"/>
      <c r="BL44" s="722"/>
      <c r="BM44" s="723"/>
      <c r="BN44" s="723"/>
      <c r="BO44" s="723"/>
      <c r="BP44" s="725"/>
      <c r="BQ44" s="725"/>
      <c r="BR44" s="722" t="str">
        <f>IF(BP44="","",IF(OR(AND(Rev="H",Calculations!$F$27=TRUE),AND(Rev&lt;&gt;"H",Calculations!$F$30=TRUE)),IF(BP44&lt;=1,"Pass","Fail"),IF(BP44&lt;=1.05,"Pass","Fail")))</f>
        <v/>
      </c>
      <c r="BS44" s="723"/>
      <c r="BT44" s="724"/>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91"/>
      <c r="CP44" s="792"/>
      <c r="CQ44" s="793"/>
      <c r="CR44" s="791"/>
      <c r="CS44" s="792"/>
      <c r="CT44" s="793"/>
      <c r="CU44" s="791" t="str">
        <f t="shared" si="7"/>
        <v/>
      </c>
      <c r="CV44" s="792"/>
      <c r="CW44" s="807"/>
      <c r="CX44" s="808"/>
      <c r="CY44" s="730"/>
      <c r="CZ44" s="809"/>
      <c r="DA44" s="733"/>
      <c r="DB44" s="734"/>
      <c r="DC44" s="735"/>
      <c r="DD44" s="729" t="str">
        <f t="shared" si="8"/>
        <v/>
      </c>
      <c r="DE44" s="730"/>
      <c r="DF44" s="731"/>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6" t="str">
        <f t="shared" si="4"/>
        <v/>
      </c>
      <c r="E45" s="767"/>
      <c r="F45" s="17" t="str">
        <f t="shared" si="2"/>
        <v/>
      </c>
      <c r="G45" s="768"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9"/>
      <c r="I45" s="228"/>
      <c r="J45" s="228"/>
      <c r="K45" s="228"/>
      <c r="L45" s="717" t="str">
        <f t="shared" si="10"/>
        <v/>
      </c>
      <c r="M45" s="717"/>
      <c r="N45" s="717"/>
      <c r="O45" s="717"/>
      <c r="P45" s="717" t="str">
        <f>IF(OR(G45=0,G45=""),"",IF(VLOOKUP(G45,'Geometry 2'!$C$4:$AI$14,1,TRUE)=VLOOKUP(G46,'Geometry 2'!$C$4:$AI$14,1,TRUE),"",IF(VLOOKUP(G45,'Geometry 2'!$C$4:$AI$14,33,TRUE)&lt;&gt;"n/a",MIN(G45,VLOOKUP(G45,'Geometry 2'!$C$4:$AI$14,1,TRUE))-VLOOKUP(G45,'Geometry 2'!$C$4:$AI$14,33,TRUE),"check")))</f>
        <v/>
      </c>
      <c r="Q45" s="717"/>
      <c r="R45" s="717"/>
      <c r="S45" s="717"/>
      <c r="T45" s="717" t="str">
        <f>IF($G45="","",VLOOKUP($G45,'Geometry 2'!$E$4:$AH$14,11,TRUE))</f>
        <v/>
      </c>
      <c r="U45" s="717"/>
      <c r="V45" s="717"/>
      <c r="W45" s="717"/>
      <c r="X45" s="716" t="str">
        <f>IF($G45="","",VLOOKUP($G45,'Geometry 2'!$E$4:$AJ$14,19,TRUE)-12*VLOOKUP($G45,'Geometry 2'!$E$4:$AJ$14,32,TRUE)*($D45-VLOOKUP($G45,'Geometry 2'!$E$5:$AH$14,1,TRUE)))</f>
        <v/>
      </c>
      <c r="Y45" s="716"/>
      <c r="Z45" s="716"/>
      <c r="AA45" s="716"/>
      <c r="AB45" s="757" t="str">
        <f>IF($G45="","",VLOOKUP($G45,'Geometry 2'!$E$4:$AJ$14,19,TRUE)-12*VLOOKUP($G45,'Geometry 2'!$E$4:$AJ$14,32,TRUE)*($G45-VLOOKUP($G45,'Geometry 2'!$E$5:$AH$14,1,TRUE)))</f>
        <v/>
      </c>
      <c r="AC45" s="758"/>
      <c r="AD45" s="758"/>
      <c r="AE45" s="759"/>
      <c r="AF45" s="716" t="str">
        <f>IF($G45="","",VLOOKUP($G45,'Geometry 2'!$E$4:$AJ$14,19,TRUE)-12*VLOOKUP($G45,'Geometry 2'!$E$4:$AJ$14,32,TRUE)*($G45-IF($P45="",0,$P45)-VLOOKUP($G45,'Geometry 2'!$E$5:$AH$14,1,TRUE)))</f>
        <v/>
      </c>
      <c r="AG45" s="716"/>
      <c r="AH45" s="716"/>
      <c r="AI45" s="716"/>
      <c r="AJ45" s="746" t="str">
        <f>IF($G45="","",VLOOKUP($G45,'Geometry 2'!$E$4:$AH$14,23,TRUE))</f>
        <v/>
      </c>
      <c r="AK45" s="747"/>
      <c r="AL45" s="747"/>
      <c r="AM45" s="748"/>
      <c r="AN45" s="717"/>
      <c r="AO45" s="717"/>
      <c r="AP45" s="717"/>
      <c r="AQ45" s="717"/>
      <c r="AR45" s="717" t="str">
        <f>IF($G45="","",VLOOKUP($G45,'Geometry 2'!$E$4:$AH$14,27,TRUE))</f>
        <v/>
      </c>
      <c r="AS45" s="717"/>
      <c r="AT45" s="717"/>
      <c r="AU45" s="718"/>
      <c r="AV45" s="715"/>
      <c r="AW45" s="716"/>
      <c r="AX45" s="716"/>
      <c r="AZ45" s="722" t="str">
        <f t="shared" si="5"/>
        <v/>
      </c>
      <c r="BA45" s="723"/>
      <c r="BB45" s="723"/>
      <c r="BC45" s="724"/>
      <c r="BD45" s="722"/>
      <c r="BE45" s="723"/>
      <c r="BF45" s="723"/>
      <c r="BG45" s="722" t="str">
        <f t="shared" si="9"/>
        <v/>
      </c>
      <c r="BH45" s="723"/>
      <c r="BI45" s="723"/>
      <c r="BJ45" s="723"/>
      <c r="BK45" s="724"/>
      <c r="BL45" s="722"/>
      <c r="BM45" s="723"/>
      <c r="BN45" s="723"/>
      <c r="BO45" s="723"/>
      <c r="BP45" s="725"/>
      <c r="BQ45" s="725"/>
      <c r="BR45" s="722" t="str">
        <f>IF(BP45="","",IF(OR(AND(Rev="H",Calculations!$F$27=TRUE),AND(Rev&lt;&gt;"H",Calculations!$F$30=TRUE)),IF(BP45&lt;=1,"Pass","Fail"),IF(BP45&lt;=1.05,"Pass","Fail")))</f>
        <v/>
      </c>
      <c r="BS45" s="723"/>
      <c r="BT45" s="724"/>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98"/>
      <c r="CP45" s="799"/>
      <c r="CQ45" s="800"/>
      <c r="CR45" s="798"/>
      <c r="CS45" s="799"/>
      <c r="CT45" s="800"/>
      <c r="CU45" s="798" t="str">
        <f t="shared" si="7"/>
        <v/>
      </c>
      <c r="CV45" s="799"/>
      <c r="CW45" s="806"/>
      <c r="CX45" s="726"/>
      <c r="CY45" s="727"/>
      <c r="CZ45" s="732"/>
      <c r="DA45" s="726"/>
      <c r="DB45" s="727"/>
      <c r="DC45" s="732"/>
      <c r="DD45" s="726" t="str">
        <f t="shared" si="8"/>
        <v/>
      </c>
      <c r="DE45" s="727"/>
      <c r="DF45" s="728"/>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6" t="str">
        <f t="shared" si="4"/>
        <v/>
      </c>
      <c r="E46" s="767"/>
      <c r="F46" s="17" t="str">
        <f t="shared" si="2"/>
        <v/>
      </c>
      <c r="G46" s="768"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9"/>
      <c r="I46" s="228"/>
      <c r="J46" s="228"/>
      <c r="K46" s="228"/>
      <c r="L46" s="717" t="str">
        <f t="shared" si="10"/>
        <v/>
      </c>
      <c r="M46" s="717"/>
      <c r="N46" s="717"/>
      <c r="O46" s="717"/>
      <c r="P46" s="717" t="str">
        <f>IF(OR(G46=0,G46=""),"",IF(VLOOKUP(G46,'Geometry 2'!$C$4:$AI$14,1,TRUE)=VLOOKUP(G47,'Geometry 2'!$C$4:$AI$14,1,TRUE),"",IF(VLOOKUP(G46,'Geometry 2'!$C$4:$AI$14,33,TRUE)&lt;&gt;"n/a",MIN(G46,VLOOKUP(G46,'Geometry 2'!$C$4:$AI$14,1,TRUE))-VLOOKUP(G46,'Geometry 2'!$C$4:$AI$14,33,TRUE),"check")))</f>
        <v/>
      </c>
      <c r="Q46" s="717"/>
      <c r="R46" s="717"/>
      <c r="S46" s="717"/>
      <c r="T46" s="717" t="str">
        <f>IF($G46="","",VLOOKUP($G46,'Geometry 2'!$E$4:$AH$14,11,TRUE))</f>
        <v/>
      </c>
      <c r="U46" s="717"/>
      <c r="V46" s="717"/>
      <c r="W46" s="717"/>
      <c r="X46" s="716" t="str">
        <f>IF($G46="","",VLOOKUP($G46,'Geometry 2'!$E$4:$AJ$14,19,TRUE)-12*VLOOKUP($G46,'Geometry 2'!$E$4:$AJ$14,32,TRUE)*($D46-VLOOKUP($G46,'Geometry 2'!$E$5:$AH$14,1,TRUE)))</f>
        <v/>
      </c>
      <c r="Y46" s="716"/>
      <c r="Z46" s="716"/>
      <c r="AA46" s="716"/>
      <c r="AB46" s="757" t="str">
        <f>IF($G46="","",VLOOKUP($G46,'Geometry 2'!$E$4:$AJ$14,19,TRUE)-12*VLOOKUP($G46,'Geometry 2'!$E$4:$AJ$14,32,TRUE)*($G46-VLOOKUP($G46,'Geometry 2'!$E$5:$AH$14,1,TRUE)))</f>
        <v/>
      </c>
      <c r="AC46" s="758"/>
      <c r="AD46" s="758"/>
      <c r="AE46" s="759"/>
      <c r="AF46" s="716" t="str">
        <f>IF($G46="","",VLOOKUP($G46,'Geometry 2'!$E$4:$AJ$14,19,TRUE)-12*VLOOKUP($G46,'Geometry 2'!$E$4:$AJ$14,32,TRUE)*($G46-IF($P46="",0,$P46)-VLOOKUP($G46,'Geometry 2'!$E$5:$AH$14,1,TRUE)))</f>
        <v/>
      </c>
      <c r="AG46" s="716"/>
      <c r="AH46" s="716"/>
      <c r="AI46" s="716"/>
      <c r="AJ46" s="746" t="str">
        <f>IF($G46="","",VLOOKUP($G46,'Geometry 2'!$E$4:$AH$14,23,TRUE))</f>
        <v/>
      </c>
      <c r="AK46" s="747"/>
      <c r="AL46" s="747"/>
      <c r="AM46" s="748"/>
      <c r="AN46" s="717"/>
      <c r="AO46" s="717"/>
      <c r="AP46" s="717"/>
      <c r="AQ46" s="717"/>
      <c r="AR46" s="717" t="str">
        <f>IF($G46="","",VLOOKUP($G46,'Geometry 2'!$E$4:$AH$14,27,TRUE))</f>
        <v/>
      </c>
      <c r="AS46" s="717"/>
      <c r="AT46" s="717"/>
      <c r="AU46" s="718"/>
      <c r="AV46" s="715"/>
      <c r="AW46" s="716"/>
      <c r="AX46" s="716"/>
      <c r="AZ46" s="722" t="str">
        <f t="shared" si="5"/>
        <v/>
      </c>
      <c r="BA46" s="723"/>
      <c r="BB46" s="723"/>
      <c r="BC46" s="724"/>
      <c r="BD46" s="722"/>
      <c r="BE46" s="723"/>
      <c r="BF46" s="723"/>
      <c r="BG46" s="722" t="str">
        <f t="shared" si="9"/>
        <v/>
      </c>
      <c r="BH46" s="723"/>
      <c r="BI46" s="723"/>
      <c r="BJ46" s="723"/>
      <c r="BK46" s="724"/>
      <c r="BL46" s="722"/>
      <c r="BM46" s="723"/>
      <c r="BN46" s="723"/>
      <c r="BO46" s="723"/>
      <c r="BP46" s="725"/>
      <c r="BQ46" s="725"/>
      <c r="BR46" s="722" t="str">
        <f>IF(BP46="","",IF(OR(AND(Rev="H",Calculations!$F$27=TRUE),AND(Rev&lt;&gt;"H",Calculations!$F$30=TRUE)),IF(BP46&lt;=1,"Pass","Fail"),IF(BP46&lt;=1.05,"Pass","Fail")))</f>
        <v/>
      </c>
      <c r="BS46" s="723"/>
      <c r="BT46" s="724"/>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91"/>
      <c r="CP46" s="792"/>
      <c r="CQ46" s="793"/>
      <c r="CR46" s="791"/>
      <c r="CS46" s="792"/>
      <c r="CT46" s="793"/>
      <c r="CU46" s="791" t="str">
        <f t="shared" si="7"/>
        <v/>
      </c>
      <c r="CV46" s="792"/>
      <c r="CW46" s="807"/>
      <c r="CX46" s="808"/>
      <c r="CY46" s="730"/>
      <c r="CZ46" s="809"/>
      <c r="DA46" s="733"/>
      <c r="DB46" s="734"/>
      <c r="DC46" s="735"/>
      <c r="DD46" s="729" t="str">
        <f t="shared" si="8"/>
        <v/>
      </c>
      <c r="DE46" s="730"/>
      <c r="DF46" s="731"/>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6" t="str">
        <f t="shared" si="4"/>
        <v/>
      </c>
      <c r="E47" s="767"/>
      <c r="F47" s="17" t="str">
        <f t="shared" si="2"/>
        <v/>
      </c>
      <c r="G47" s="768"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9"/>
      <c r="I47" s="228"/>
      <c r="J47" s="228"/>
      <c r="K47" s="228"/>
      <c r="L47" s="717" t="str">
        <f t="shared" si="10"/>
        <v/>
      </c>
      <c r="M47" s="717"/>
      <c r="N47" s="717"/>
      <c r="O47" s="717"/>
      <c r="P47" s="717" t="str">
        <f>IF(OR(G47=0,G47=""),"",IF(VLOOKUP(G47,'Geometry 2'!$C$4:$AI$14,1,TRUE)=VLOOKUP(G48,'Geometry 2'!$C$4:$AI$14,1,TRUE),"",IF(VLOOKUP(G47,'Geometry 2'!$C$4:$AI$14,33,TRUE)&lt;&gt;"n/a",MIN(G47,VLOOKUP(G47,'Geometry 2'!$C$4:$AI$14,1,TRUE))-VLOOKUP(G47,'Geometry 2'!$C$4:$AI$14,33,TRUE),"check")))</f>
        <v/>
      </c>
      <c r="Q47" s="717"/>
      <c r="R47" s="717"/>
      <c r="S47" s="717"/>
      <c r="T47" s="717" t="str">
        <f>IF($G47="","",VLOOKUP($G47,'Geometry 2'!$E$4:$AH$14,11,TRUE))</f>
        <v/>
      </c>
      <c r="U47" s="717"/>
      <c r="V47" s="717"/>
      <c r="W47" s="717"/>
      <c r="X47" s="716" t="str">
        <f>IF($G47="","",VLOOKUP($G47,'Geometry 2'!$E$4:$AJ$14,19,TRUE)-12*VLOOKUP($G47,'Geometry 2'!$E$4:$AJ$14,32,TRUE)*($D47-VLOOKUP($G47,'Geometry 2'!$E$5:$AH$14,1,TRUE)))</f>
        <v/>
      </c>
      <c r="Y47" s="716"/>
      <c r="Z47" s="716"/>
      <c r="AA47" s="716"/>
      <c r="AB47" s="757" t="str">
        <f>IF($G47="","",VLOOKUP($G47,'Geometry 2'!$E$4:$AJ$14,19,TRUE)-12*VLOOKUP($G47,'Geometry 2'!$E$4:$AJ$14,32,TRUE)*($G47-VLOOKUP($G47,'Geometry 2'!$E$5:$AH$14,1,TRUE)))</f>
        <v/>
      </c>
      <c r="AC47" s="758"/>
      <c r="AD47" s="758"/>
      <c r="AE47" s="759"/>
      <c r="AF47" s="716" t="str">
        <f>IF($G47="","",VLOOKUP($G47,'Geometry 2'!$E$4:$AJ$14,19,TRUE)-12*VLOOKUP($G47,'Geometry 2'!$E$4:$AJ$14,32,TRUE)*($G47-IF($P47="",0,$P47)-VLOOKUP($G47,'Geometry 2'!$E$5:$AH$14,1,TRUE)))</f>
        <v/>
      </c>
      <c r="AG47" s="716"/>
      <c r="AH47" s="716"/>
      <c r="AI47" s="716"/>
      <c r="AJ47" s="746" t="str">
        <f>IF($G47="","",VLOOKUP($G47,'Geometry 2'!$E$4:$AH$14,23,TRUE))</f>
        <v/>
      </c>
      <c r="AK47" s="747"/>
      <c r="AL47" s="747"/>
      <c r="AM47" s="748"/>
      <c r="AN47" s="717"/>
      <c r="AO47" s="717"/>
      <c r="AP47" s="717"/>
      <c r="AQ47" s="717"/>
      <c r="AR47" s="717" t="str">
        <f>IF($G47="","",VLOOKUP($G47,'Geometry 2'!$E$4:$AH$14,27,TRUE))</f>
        <v/>
      </c>
      <c r="AS47" s="717"/>
      <c r="AT47" s="717"/>
      <c r="AU47" s="718"/>
      <c r="AV47" s="715"/>
      <c r="AW47" s="716"/>
      <c r="AX47" s="716"/>
      <c r="AZ47" s="722" t="str">
        <f t="shared" si="5"/>
        <v/>
      </c>
      <c r="BA47" s="723"/>
      <c r="BB47" s="723"/>
      <c r="BC47" s="724"/>
      <c r="BD47" s="722"/>
      <c r="BE47" s="723"/>
      <c r="BF47" s="723"/>
      <c r="BG47" s="722" t="str">
        <f t="shared" si="9"/>
        <v/>
      </c>
      <c r="BH47" s="723"/>
      <c r="BI47" s="723"/>
      <c r="BJ47" s="723"/>
      <c r="BK47" s="724"/>
      <c r="BL47" s="722"/>
      <c r="BM47" s="723"/>
      <c r="BN47" s="723"/>
      <c r="BO47" s="723"/>
      <c r="BP47" s="725"/>
      <c r="BQ47" s="725"/>
      <c r="BR47" s="722" t="str">
        <f>IF(BP47="","",IF(OR(AND(Rev="H",Calculations!$F$27=TRUE),AND(Rev&lt;&gt;"H",Calculations!$F$30=TRUE)),IF(BP47&lt;=1,"Pass","Fail"),IF(BP47&lt;=1.05,"Pass","Fail")))</f>
        <v/>
      </c>
      <c r="BS47" s="723"/>
      <c r="BT47" s="724"/>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98"/>
      <c r="CP47" s="799"/>
      <c r="CQ47" s="800"/>
      <c r="CR47" s="798"/>
      <c r="CS47" s="799"/>
      <c r="CT47" s="800"/>
      <c r="CU47" s="798" t="str">
        <f t="shared" si="7"/>
        <v/>
      </c>
      <c r="CV47" s="799"/>
      <c r="CW47" s="806"/>
      <c r="CX47" s="726"/>
      <c r="CY47" s="727"/>
      <c r="CZ47" s="732"/>
      <c r="DA47" s="726"/>
      <c r="DB47" s="727"/>
      <c r="DC47" s="732"/>
      <c r="DD47" s="726" t="str">
        <f t="shared" si="8"/>
        <v/>
      </c>
      <c r="DE47" s="727"/>
      <c r="DF47" s="728"/>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6" t="str">
        <f t="shared" si="4"/>
        <v/>
      </c>
      <c r="E48" s="767"/>
      <c r="F48" s="17" t="str">
        <f t="shared" si="2"/>
        <v/>
      </c>
      <c r="G48" s="768"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9"/>
      <c r="I48" s="228"/>
      <c r="J48" s="228"/>
      <c r="K48" s="228"/>
      <c r="L48" s="717" t="str">
        <f t="shared" si="10"/>
        <v/>
      </c>
      <c r="M48" s="717"/>
      <c r="N48" s="717"/>
      <c r="O48" s="717"/>
      <c r="P48" s="717" t="str">
        <f>IF(OR(G48=0,G48=""),"",IF(VLOOKUP(G48,'Geometry 2'!$C$4:$AI$14,1,TRUE)=VLOOKUP(G49,'Geometry 2'!$C$4:$AI$14,1,TRUE),"",IF(VLOOKUP(G48,'Geometry 2'!$C$4:$AI$14,33,TRUE)&lt;&gt;"n/a",MIN(G48,VLOOKUP(G48,'Geometry 2'!$C$4:$AI$14,1,TRUE))-VLOOKUP(G48,'Geometry 2'!$C$4:$AI$14,33,TRUE),"check")))</f>
        <v/>
      </c>
      <c r="Q48" s="717"/>
      <c r="R48" s="717"/>
      <c r="S48" s="717"/>
      <c r="T48" s="717" t="str">
        <f>IF($G48="","",VLOOKUP($G48,'Geometry 2'!$E$4:$AH$14,11,TRUE))</f>
        <v/>
      </c>
      <c r="U48" s="717"/>
      <c r="V48" s="717"/>
      <c r="W48" s="717"/>
      <c r="X48" s="716" t="str">
        <f>IF($G48="","",VLOOKUP($G48,'Geometry 2'!$E$4:$AJ$14,19,TRUE)-12*VLOOKUP($G48,'Geometry 2'!$E$4:$AJ$14,32,TRUE)*($D48-VLOOKUP($G48,'Geometry 2'!$E$5:$AH$14,1,TRUE)))</f>
        <v/>
      </c>
      <c r="Y48" s="716"/>
      <c r="Z48" s="716"/>
      <c r="AA48" s="716"/>
      <c r="AB48" s="757" t="str">
        <f>IF($G48="","",VLOOKUP($G48,'Geometry 2'!$E$4:$AJ$14,19,TRUE)-12*VLOOKUP($G48,'Geometry 2'!$E$4:$AJ$14,32,TRUE)*($G48-VLOOKUP($G48,'Geometry 2'!$E$5:$AH$14,1,TRUE)))</f>
        <v/>
      </c>
      <c r="AC48" s="758"/>
      <c r="AD48" s="758"/>
      <c r="AE48" s="759"/>
      <c r="AF48" s="716" t="str">
        <f>IF($G48="","",VLOOKUP($G48,'Geometry 2'!$E$4:$AJ$14,19,TRUE)-12*VLOOKUP($G48,'Geometry 2'!$E$4:$AJ$14,32,TRUE)*($G48-IF($P48="",0,$P48)-VLOOKUP($G48,'Geometry 2'!$E$5:$AH$14,1,TRUE)))</f>
        <v/>
      </c>
      <c r="AG48" s="716"/>
      <c r="AH48" s="716"/>
      <c r="AI48" s="716"/>
      <c r="AJ48" s="746" t="str">
        <f>IF($G48="","",VLOOKUP($G48,'Geometry 2'!$E$4:$AH$14,23,TRUE))</f>
        <v/>
      </c>
      <c r="AK48" s="747"/>
      <c r="AL48" s="747"/>
      <c r="AM48" s="748"/>
      <c r="AN48" s="717"/>
      <c r="AO48" s="717"/>
      <c r="AP48" s="717"/>
      <c r="AQ48" s="717"/>
      <c r="AR48" s="717" t="str">
        <f>IF($G48="","",VLOOKUP($G48,'Geometry 2'!$E$4:$AH$14,27,TRUE))</f>
        <v/>
      </c>
      <c r="AS48" s="717"/>
      <c r="AT48" s="717"/>
      <c r="AU48" s="718"/>
      <c r="AV48" s="715"/>
      <c r="AW48" s="716"/>
      <c r="AX48" s="716"/>
      <c r="AZ48" s="722" t="str">
        <f t="shared" si="5"/>
        <v/>
      </c>
      <c r="BA48" s="723"/>
      <c r="BB48" s="723"/>
      <c r="BC48" s="724"/>
      <c r="BD48" s="722"/>
      <c r="BE48" s="723"/>
      <c r="BF48" s="723"/>
      <c r="BG48" s="722" t="str">
        <f t="shared" si="9"/>
        <v/>
      </c>
      <c r="BH48" s="723"/>
      <c r="BI48" s="723"/>
      <c r="BJ48" s="723"/>
      <c r="BK48" s="724"/>
      <c r="BL48" s="722"/>
      <c r="BM48" s="723"/>
      <c r="BN48" s="723"/>
      <c r="BO48" s="723"/>
      <c r="BP48" s="725"/>
      <c r="BQ48" s="725"/>
      <c r="BR48" s="722" t="str">
        <f>IF(BP48="","",IF(OR(AND(Rev="H",Calculations!$F$27=TRUE),AND(Rev&lt;&gt;"H",Calculations!$F$30=TRUE)),IF(BP48&lt;=1,"Pass","Fail"),IF(BP48&lt;=1.05,"Pass","Fail")))</f>
        <v/>
      </c>
      <c r="BS48" s="723"/>
      <c r="BT48" s="724"/>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91"/>
      <c r="CP48" s="792"/>
      <c r="CQ48" s="793"/>
      <c r="CR48" s="791"/>
      <c r="CS48" s="792"/>
      <c r="CT48" s="793"/>
      <c r="CU48" s="791" t="str">
        <f t="shared" si="7"/>
        <v/>
      </c>
      <c r="CV48" s="792"/>
      <c r="CW48" s="807"/>
      <c r="CX48" s="808"/>
      <c r="CY48" s="730"/>
      <c r="CZ48" s="809"/>
      <c r="DA48" s="733"/>
      <c r="DB48" s="734"/>
      <c r="DC48" s="735"/>
      <c r="DD48" s="729" t="str">
        <f t="shared" si="8"/>
        <v/>
      </c>
      <c r="DE48" s="730"/>
      <c r="DF48" s="731"/>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6" t="str">
        <f t="shared" si="4"/>
        <v/>
      </c>
      <c r="E49" s="767"/>
      <c r="F49" s="17" t="str">
        <f t="shared" si="2"/>
        <v/>
      </c>
      <c r="G49" s="768"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9"/>
      <c r="I49" s="228"/>
      <c r="J49" s="228"/>
      <c r="K49" s="228"/>
      <c r="L49" s="717" t="str">
        <f t="shared" si="10"/>
        <v/>
      </c>
      <c r="M49" s="717"/>
      <c r="N49" s="717"/>
      <c r="O49" s="717"/>
      <c r="P49" s="717" t="str">
        <f>IF(OR(G49=0,G49=""),"",IF(VLOOKUP(G49,'Geometry 2'!$C$4:$AI$14,1,TRUE)=VLOOKUP(G50,'Geometry 2'!$C$4:$AI$14,1,TRUE),"",IF(VLOOKUP(G49,'Geometry 2'!$C$4:$AI$14,33,TRUE)&lt;&gt;"n/a",MIN(G49,VLOOKUP(G49,'Geometry 2'!$C$4:$AI$14,1,TRUE))-VLOOKUP(G49,'Geometry 2'!$C$4:$AI$14,33,TRUE),"check")))</f>
        <v/>
      </c>
      <c r="Q49" s="717"/>
      <c r="R49" s="717"/>
      <c r="S49" s="717"/>
      <c r="T49" s="717" t="str">
        <f>IF($G49="","",VLOOKUP($G49,'Geometry 2'!$E$4:$AH$14,11,TRUE))</f>
        <v/>
      </c>
      <c r="U49" s="717"/>
      <c r="V49" s="717"/>
      <c r="W49" s="717"/>
      <c r="X49" s="716" t="str">
        <f>IF($G49="","",VLOOKUP($G49,'Geometry 2'!$E$4:$AJ$14,19,TRUE)-12*VLOOKUP($G49,'Geometry 2'!$E$4:$AJ$14,32,TRUE)*($D49-VLOOKUP($G49,'Geometry 2'!$E$5:$AH$14,1,TRUE)))</f>
        <v/>
      </c>
      <c r="Y49" s="716"/>
      <c r="Z49" s="716"/>
      <c r="AA49" s="716"/>
      <c r="AB49" s="757" t="str">
        <f>IF($G49="","",VLOOKUP($G49,'Geometry 2'!$E$4:$AJ$14,19,TRUE)-12*VLOOKUP($G49,'Geometry 2'!$E$4:$AJ$14,32,TRUE)*($G49-VLOOKUP($G49,'Geometry 2'!$E$5:$AH$14,1,TRUE)))</f>
        <v/>
      </c>
      <c r="AC49" s="758"/>
      <c r="AD49" s="758"/>
      <c r="AE49" s="759"/>
      <c r="AF49" s="716" t="str">
        <f>IF($G49="","",VLOOKUP($G49,'Geometry 2'!$E$4:$AJ$14,19,TRUE)-12*VLOOKUP($G49,'Geometry 2'!$E$4:$AJ$14,32,TRUE)*($G49-IF($P49="",0,$P49)-VLOOKUP($G49,'Geometry 2'!$E$5:$AH$14,1,TRUE)))</f>
        <v/>
      </c>
      <c r="AG49" s="716"/>
      <c r="AH49" s="716"/>
      <c r="AI49" s="716"/>
      <c r="AJ49" s="746" t="str">
        <f>IF($G49="","",VLOOKUP($G49,'Geometry 2'!$E$4:$AH$14,23,TRUE))</f>
        <v/>
      </c>
      <c r="AK49" s="747"/>
      <c r="AL49" s="747"/>
      <c r="AM49" s="748"/>
      <c r="AN49" s="717"/>
      <c r="AO49" s="717"/>
      <c r="AP49" s="717"/>
      <c r="AQ49" s="717"/>
      <c r="AR49" s="717" t="str">
        <f>IF($G49="","",VLOOKUP($G49,'Geometry 2'!$E$4:$AH$14,27,TRUE))</f>
        <v/>
      </c>
      <c r="AS49" s="717"/>
      <c r="AT49" s="717"/>
      <c r="AU49" s="718"/>
      <c r="AV49" s="715"/>
      <c r="AW49" s="716"/>
      <c r="AX49" s="716"/>
      <c r="AZ49" s="722" t="str">
        <f t="shared" si="5"/>
        <v/>
      </c>
      <c r="BA49" s="723"/>
      <c r="BB49" s="723"/>
      <c r="BC49" s="724"/>
      <c r="BD49" s="722"/>
      <c r="BE49" s="723"/>
      <c r="BF49" s="723"/>
      <c r="BG49" s="722" t="str">
        <f t="shared" si="9"/>
        <v/>
      </c>
      <c r="BH49" s="723"/>
      <c r="BI49" s="723"/>
      <c r="BJ49" s="723"/>
      <c r="BK49" s="724"/>
      <c r="BL49" s="722"/>
      <c r="BM49" s="723"/>
      <c r="BN49" s="723"/>
      <c r="BO49" s="723"/>
      <c r="BP49" s="725"/>
      <c r="BQ49" s="725"/>
      <c r="BR49" s="722" t="str">
        <f>IF(BP49="","",IF(OR(AND(Rev="H",Calculations!$F$27=TRUE),AND(Rev&lt;&gt;"H",Calculations!$F$30=TRUE)),IF(BP49&lt;=1,"Pass","Fail"),IF(BP49&lt;=1.05,"Pass","Fail")))</f>
        <v/>
      </c>
      <c r="BS49" s="723"/>
      <c r="BT49" s="724"/>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98"/>
      <c r="CP49" s="799"/>
      <c r="CQ49" s="800"/>
      <c r="CR49" s="798"/>
      <c r="CS49" s="799"/>
      <c r="CT49" s="800"/>
      <c r="CU49" s="798" t="str">
        <f t="shared" si="7"/>
        <v/>
      </c>
      <c r="CV49" s="799"/>
      <c r="CW49" s="806"/>
      <c r="CX49" s="726"/>
      <c r="CY49" s="727"/>
      <c r="CZ49" s="732"/>
      <c r="DA49" s="726"/>
      <c r="DB49" s="727"/>
      <c r="DC49" s="732"/>
      <c r="DD49" s="726" t="str">
        <f t="shared" si="8"/>
        <v/>
      </c>
      <c r="DE49" s="727"/>
      <c r="DF49" s="728"/>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6" t="str">
        <f t="shared" si="4"/>
        <v/>
      </c>
      <c r="E50" s="767"/>
      <c r="F50" s="17" t="str">
        <f t="shared" si="2"/>
        <v/>
      </c>
      <c r="G50" s="768"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9"/>
      <c r="I50" s="228"/>
      <c r="J50" s="228"/>
      <c r="K50" s="228"/>
      <c r="L50" s="717" t="str">
        <f t="shared" si="10"/>
        <v/>
      </c>
      <c r="M50" s="717"/>
      <c r="N50" s="717"/>
      <c r="O50" s="717"/>
      <c r="P50" s="717" t="str">
        <f>IF(OR(G50=0,G50=""),"",IF(VLOOKUP(G50,'Geometry 2'!$C$4:$AI$14,1,TRUE)=VLOOKUP(G51,'Geometry 2'!$C$4:$AI$14,1,TRUE),"",IF(VLOOKUP(G50,'Geometry 2'!$C$4:$AI$14,33,TRUE)&lt;&gt;"n/a",MIN(G50,VLOOKUP(G50,'Geometry 2'!$C$4:$AI$14,1,TRUE))-VLOOKUP(G50,'Geometry 2'!$C$4:$AI$14,33,TRUE),"check")))</f>
        <v/>
      </c>
      <c r="Q50" s="717"/>
      <c r="R50" s="717"/>
      <c r="S50" s="717"/>
      <c r="T50" s="717" t="str">
        <f>IF($G50="","",VLOOKUP($G50,'Geometry 2'!$E$4:$AH$14,11,TRUE))</f>
        <v/>
      </c>
      <c r="U50" s="717"/>
      <c r="V50" s="717"/>
      <c r="W50" s="717"/>
      <c r="X50" s="716" t="str">
        <f>IF($G50="","",VLOOKUP($G50,'Geometry 2'!$E$4:$AJ$14,19,TRUE)-12*VLOOKUP($G50,'Geometry 2'!$E$4:$AJ$14,32,TRUE)*($D50-VLOOKUP($G50,'Geometry 2'!$E$5:$AH$14,1,TRUE)))</f>
        <v/>
      </c>
      <c r="Y50" s="716"/>
      <c r="Z50" s="716"/>
      <c r="AA50" s="716"/>
      <c r="AB50" s="757" t="str">
        <f>IF($G50="","",VLOOKUP($G50,'Geometry 2'!$E$4:$AJ$14,19,TRUE)-12*VLOOKUP($G50,'Geometry 2'!$E$4:$AJ$14,32,TRUE)*($G50-VLOOKUP($G50,'Geometry 2'!$E$5:$AH$14,1,TRUE)))</f>
        <v/>
      </c>
      <c r="AC50" s="758"/>
      <c r="AD50" s="758"/>
      <c r="AE50" s="759"/>
      <c r="AF50" s="716" t="str">
        <f>IF($G50="","",VLOOKUP($G50,'Geometry 2'!$E$4:$AJ$14,19,TRUE)-12*VLOOKUP($G50,'Geometry 2'!$E$4:$AJ$14,32,TRUE)*($G50-IF($P50="",0,$P50)-VLOOKUP($G50,'Geometry 2'!$E$5:$AH$14,1,TRUE)))</f>
        <v/>
      </c>
      <c r="AG50" s="716"/>
      <c r="AH50" s="716"/>
      <c r="AI50" s="716"/>
      <c r="AJ50" s="746" t="str">
        <f>IF($G50="","",VLOOKUP($G50,'Geometry 2'!$E$4:$AH$14,23,TRUE))</f>
        <v/>
      </c>
      <c r="AK50" s="747"/>
      <c r="AL50" s="747"/>
      <c r="AM50" s="748"/>
      <c r="AN50" s="717"/>
      <c r="AO50" s="717"/>
      <c r="AP50" s="717"/>
      <c r="AQ50" s="717"/>
      <c r="AR50" s="717" t="str">
        <f>IF($G50="","",VLOOKUP($G50,'Geometry 2'!$E$4:$AH$14,27,TRUE))</f>
        <v/>
      </c>
      <c r="AS50" s="717"/>
      <c r="AT50" s="717"/>
      <c r="AU50" s="718"/>
      <c r="AV50" s="715"/>
      <c r="AW50" s="716"/>
      <c r="AX50" s="716"/>
      <c r="AZ50" s="722" t="str">
        <f t="shared" si="5"/>
        <v/>
      </c>
      <c r="BA50" s="723"/>
      <c r="BB50" s="723"/>
      <c r="BC50" s="724"/>
      <c r="BD50" s="722"/>
      <c r="BE50" s="723"/>
      <c r="BF50" s="723"/>
      <c r="BG50" s="722" t="str">
        <f t="shared" si="9"/>
        <v/>
      </c>
      <c r="BH50" s="723"/>
      <c r="BI50" s="723"/>
      <c r="BJ50" s="723"/>
      <c r="BK50" s="724"/>
      <c r="BL50" s="722"/>
      <c r="BM50" s="723"/>
      <c r="BN50" s="723"/>
      <c r="BO50" s="723"/>
      <c r="BP50" s="725"/>
      <c r="BQ50" s="725"/>
      <c r="BR50" s="722" t="str">
        <f>IF(BP50="","",IF(OR(AND(Rev="H",Calculations!$F$27=TRUE),AND(Rev&lt;&gt;"H",Calculations!$F$30=TRUE)),IF(BP50&lt;=1,"Pass","Fail"),IF(BP50&lt;=1.05,"Pass","Fail")))</f>
        <v/>
      </c>
      <c r="BS50" s="723"/>
      <c r="BT50" s="724"/>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91"/>
      <c r="CP50" s="792"/>
      <c r="CQ50" s="793"/>
      <c r="CR50" s="791"/>
      <c r="CS50" s="792"/>
      <c r="CT50" s="793"/>
      <c r="CU50" s="791" t="str">
        <f t="shared" si="7"/>
        <v/>
      </c>
      <c r="CV50" s="792"/>
      <c r="CW50" s="807"/>
      <c r="CX50" s="808"/>
      <c r="CY50" s="730"/>
      <c r="CZ50" s="809"/>
      <c r="DA50" s="733"/>
      <c r="DB50" s="734"/>
      <c r="DC50" s="735"/>
      <c r="DD50" s="729" t="str">
        <f t="shared" si="8"/>
        <v/>
      </c>
      <c r="DE50" s="730"/>
      <c r="DF50" s="731"/>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6" t="str">
        <f t="shared" si="4"/>
        <v/>
      </c>
      <c r="E51" s="767"/>
      <c r="F51" s="17" t="str">
        <f t="shared" si="2"/>
        <v/>
      </c>
      <c r="G51" s="768"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9"/>
      <c r="I51" s="228"/>
      <c r="J51" s="228"/>
      <c r="K51" s="228"/>
      <c r="L51" s="717" t="str">
        <f t="shared" si="10"/>
        <v/>
      </c>
      <c r="M51" s="717"/>
      <c r="N51" s="717"/>
      <c r="O51" s="717"/>
      <c r="P51" s="717" t="str">
        <f>IF(OR(G51=0,G51=""),"",IF(VLOOKUP(G51,'Geometry 2'!$C$4:$AI$14,1,TRUE)=VLOOKUP(G52,'Geometry 2'!$C$4:$AI$14,1,TRUE),"",IF(VLOOKUP(G51,'Geometry 2'!$C$4:$AI$14,33,TRUE)&lt;&gt;"n/a",MIN(G51,VLOOKUP(G51,'Geometry 2'!$C$4:$AI$14,1,TRUE))-VLOOKUP(G51,'Geometry 2'!$C$4:$AI$14,33,TRUE),"check")))</f>
        <v/>
      </c>
      <c r="Q51" s="717"/>
      <c r="R51" s="717"/>
      <c r="S51" s="717"/>
      <c r="T51" s="717" t="str">
        <f>IF($G51="","",VLOOKUP($G51,'Geometry 2'!$E$4:$AH$14,11,TRUE))</f>
        <v/>
      </c>
      <c r="U51" s="717"/>
      <c r="V51" s="717"/>
      <c r="W51" s="717"/>
      <c r="X51" s="716" t="str">
        <f>IF($G51="","",VLOOKUP($G51,'Geometry 2'!$E$4:$AJ$14,19,TRUE)-12*VLOOKUP($G51,'Geometry 2'!$E$4:$AJ$14,32,TRUE)*($D51-VLOOKUP($G51,'Geometry 2'!$E$5:$AH$14,1,TRUE)))</f>
        <v/>
      </c>
      <c r="Y51" s="716"/>
      <c r="Z51" s="716"/>
      <c r="AA51" s="716"/>
      <c r="AB51" s="757" t="str">
        <f>IF($G51="","",VLOOKUP($G51,'Geometry 2'!$E$4:$AJ$14,19,TRUE)-12*VLOOKUP($G51,'Geometry 2'!$E$4:$AJ$14,32,TRUE)*($G51-VLOOKUP($G51,'Geometry 2'!$E$5:$AH$14,1,TRUE)))</f>
        <v/>
      </c>
      <c r="AC51" s="758"/>
      <c r="AD51" s="758"/>
      <c r="AE51" s="759"/>
      <c r="AF51" s="716" t="str">
        <f>IF($G51="","",VLOOKUP($G51,'Geometry 2'!$E$4:$AJ$14,19,TRUE)-12*VLOOKUP($G51,'Geometry 2'!$E$4:$AJ$14,32,TRUE)*($G51-IF($P51="",0,$P51)-VLOOKUP($G51,'Geometry 2'!$E$5:$AH$14,1,TRUE)))</f>
        <v/>
      </c>
      <c r="AG51" s="716"/>
      <c r="AH51" s="716"/>
      <c r="AI51" s="716"/>
      <c r="AJ51" s="746" t="str">
        <f>IF($G51="","",VLOOKUP($G51,'Geometry 2'!$E$4:$AH$14,23,TRUE))</f>
        <v/>
      </c>
      <c r="AK51" s="747"/>
      <c r="AL51" s="747"/>
      <c r="AM51" s="748"/>
      <c r="AN51" s="717"/>
      <c r="AO51" s="717"/>
      <c r="AP51" s="717"/>
      <c r="AQ51" s="717"/>
      <c r="AR51" s="717" t="str">
        <f>IF($G51="","",VLOOKUP($G51,'Geometry 2'!$E$4:$AH$14,27,TRUE))</f>
        <v/>
      </c>
      <c r="AS51" s="717"/>
      <c r="AT51" s="717"/>
      <c r="AU51" s="718"/>
      <c r="AV51" s="715"/>
      <c r="AW51" s="716"/>
      <c r="AX51" s="716"/>
      <c r="AZ51" s="722" t="str">
        <f t="shared" si="5"/>
        <v/>
      </c>
      <c r="BA51" s="723"/>
      <c r="BB51" s="723"/>
      <c r="BC51" s="724"/>
      <c r="BD51" s="722"/>
      <c r="BE51" s="723"/>
      <c r="BF51" s="723"/>
      <c r="BG51" s="722" t="str">
        <f t="shared" si="9"/>
        <v/>
      </c>
      <c r="BH51" s="723"/>
      <c r="BI51" s="723"/>
      <c r="BJ51" s="723"/>
      <c r="BK51" s="724"/>
      <c r="BL51" s="722"/>
      <c r="BM51" s="723"/>
      <c r="BN51" s="723"/>
      <c r="BO51" s="723"/>
      <c r="BP51" s="725"/>
      <c r="BQ51" s="725"/>
      <c r="BR51" s="722" t="str">
        <f>IF(BP51="","",IF(OR(AND(Rev="H",Calculations!$F$27=TRUE),AND(Rev&lt;&gt;"H",Calculations!$F$30=TRUE)),IF(BP51&lt;=1,"Pass","Fail"),IF(BP51&lt;=1.05,"Pass","Fail")))</f>
        <v/>
      </c>
      <c r="BS51" s="723"/>
      <c r="BT51" s="724"/>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98"/>
      <c r="CP51" s="799"/>
      <c r="CQ51" s="800"/>
      <c r="CR51" s="798"/>
      <c r="CS51" s="799"/>
      <c r="CT51" s="800"/>
      <c r="CU51" s="798" t="str">
        <f t="shared" si="7"/>
        <v/>
      </c>
      <c r="CV51" s="799"/>
      <c r="CW51" s="806"/>
      <c r="CX51" s="726"/>
      <c r="CY51" s="727"/>
      <c r="CZ51" s="732"/>
      <c r="DA51" s="726"/>
      <c r="DB51" s="727"/>
      <c r="DC51" s="732"/>
      <c r="DD51" s="726" t="str">
        <f t="shared" si="8"/>
        <v/>
      </c>
      <c r="DE51" s="727"/>
      <c r="DF51" s="728"/>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6" t="str">
        <f t="shared" si="4"/>
        <v/>
      </c>
      <c r="E52" s="767"/>
      <c r="F52" s="17" t="str">
        <f t="shared" si="2"/>
        <v/>
      </c>
      <c r="G52" s="768"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9"/>
      <c r="I52" s="228"/>
      <c r="J52" s="228"/>
      <c r="K52" s="228"/>
      <c r="L52" s="717" t="str">
        <f t="shared" si="10"/>
        <v/>
      </c>
      <c r="M52" s="717"/>
      <c r="N52" s="717"/>
      <c r="O52" s="717"/>
      <c r="P52" s="717" t="str">
        <f>IF(OR(G52=0,G52=""),"",IF(VLOOKUP(G52,'Geometry 2'!$C$4:$AI$14,1,TRUE)=VLOOKUP(G53,'Geometry 2'!$C$4:$AI$14,1,TRUE),"",IF(VLOOKUP(G52,'Geometry 2'!$C$4:$AI$14,33,TRUE)&lt;&gt;"n/a",MIN(G52,VLOOKUP(G52,'Geometry 2'!$C$4:$AI$14,1,TRUE))-VLOOKUP(G52,'Geometry 2'!$C$4:$AI$14,33,TRUE),"check")))</f>
        <v/>
      </c>
      <c r="Q52" s="717"/>
      <c r="R52" s="717"/>
      <c r="S52" s="717"/>
      <c r="T52" s="717" t="str">
        <f>IF($G52="","",VLOOKUP($G52,'Geometry 2'!$E$4:$AH$14,11,TRUE))</f>
        <v/>
      </c>
      <c r="U52" s="717"/>
      <c r="V52" s="717"/>
      <c r="W52" s="717"/>
      <c r="X52" s="716" t="str">
        <f>IF($G52="","",VLOOKUP($G52,'Geometry 2'!$E$4:$AJ$14,19,TRUE)-12*VLOOKUP($G52,'Geometry 2'!$E$4:$AJ$14,32,TRUE)*($D52-VLOOKUP($G52,'Geometry 2'!$E$5:$AH$14,1,TRUE)))</f>
        <v/>
      </c>
      <c r="Y52" s="716"/>
      <c r="Z52" s="716"/>
      <c r="AA52" s="716"/>
      <c r="AB52" s="757" t="str">
        <f>IF($G52="","",VLOOKUP($G52,'Geometry 2'!$E$4:$AJ$14,19,TRUE)-12*VLOOKUP($G52,'Geometry 2'!$E$4:$AJ$14,32,TRUE)*($G52-VLOOKUP($G52,'Geometry 2'!$E$5:$AH$14,1,TRUE)))</f>
        <v/>
      </c>
      <c r="AC52" s="758"/>
      <c r="AD52" s="758"/>
      <c r="AE52" s="759"/>
      <c r="AF52" s="716" t="str">
        <f>IF($G52="","",VLOOKUP($G52,'Geometry 2'!$E$4:$AJ$14,19,TRUE)-12*VLOOKUP($G52,'Geometry 2'!$E$4:$AJ$14,32,TRUE)*($G52-IF($P52="",0,$P52)-VLOOKUP($G52,'Geometry 2'!$E$5:$AH$14,1,TRUE)))</f>
        <v/>
      </c>
      <c r="AG52" s="716"/>
      <c r="AH52" s="716"/>
      <c r="AI52" s="716"/>
      <c r="AJ52" s="746" t="str">
        <f>IF($G52="","",VLOOKUP($G52,'Geometry 2'!$E$4:$AH$14,23,TRUE))</f>
        <v/>
      </c>
      <c r="AK52" s="747"/>
      <c r="AL52" s="747"/>
      <c r="AM52" s="748"/>
      <c r="AN52" s="717"/>
      <c r="AO52" s="717"/>
      <c r="AP52" s="717"/>
      <c r="AQ52" s="717"/>
      <c r="AR52" s="717" t="str">
        <f>IF($G52="","",VLOOKUP($G52,'Geometry 2'!$E$4:$AH$14,27,TRUE))</f>
        <v/>
      </c>
      <c r="AS52" s="717"/>
      <c r="AT52" s="717"/>
      <c r="AU52" s="718"/>
      <c r="AV52" s="715"/>
      <c r="AW52" s="716"/>
      <c r="AX52" s="716"/>
      <c r="AZ52" s="722" t="str">
        <f t="shared" si="5"/>
        <v/>
      </c>
      <c r="BA52" s="723"/>
      <c r="BB52" s="723"/>
      <c r="BC52" s="724"/>
      <c r="BD52" s="722"/>
      <c r="BE52" s="723"/>
      <c r="BF52" s="723"/>
      <c r="BG52" s="722" t="str">
        <f t="shared" si="9"/>
        <v/>
      </c>
      <c r="BH52" s="723"/>
      <c r="BI52" s="723"/>
      <c r="BJ52" s="723"/>
      <c r="BK52" s="724"/>
      <c r="BL52" s="722"/>
      <c r="BM52" s="723"/>
      <c r="BN52" s="723"/>
      <c r="BO52" s="723"/>
      <c r="BP52" s="725"/>
      <c r="BQ52" s="725"/>
      <c r="BR52" s="722" t="str">
        <f>IF(BP52="","",IF(OR(AND(Rev="H",Calculations!$F$27=TRUE),AND(Rev&lt;&gt;"H",Calculations!$F$30=TRUE)),IF(BP52&lt;=1,"Pass","Fail"),IF(BP52&lt;=1.05,"Pass","Fail")))</f>
        <v/>
      </c>
      <c r="BS52" s="723"/>
      <c r="BT52" s="724"/>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91"/>
      <c r="CP52" s="792"/>
      <c r="CQ52" s="793"/>
      <c r="CR52" s="791"/>
      <c r="CS52" s="792"/>
      <c r="CT52" s="793"/>
      <c r="CU52" s="791" t="str">
        <f t="shared" si="7"/>
        <v/>
      </c>
      <c r="CV52" s="792"/>
      <c r="CW52" s="807"/>
      <c r="CX52" s="808"/>
      <c r="CY52" s="730"/>
      <c r="CZ52" s="809"/>
      <c r="DA52" s="733"/>
      <c r="DB52" s="734"/>
      <c r="DC52" s="735"/>
      <c r="DD52" s="729" t="str">
        <f t="shared" si="8"/>
        <v/>
      </c>
      <c r="DE52" s="730"/>
      <c r="DF52" s="731"/>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6" t="str">
        <f t="shared" si="4"/>
        <v/>
      </c>
      <c r="E53" s="767"/>
      <c r="F53" s="17" t="str">
        <f t="shared" si="2"/>
        <v/>
      </c>
      <c r="G53" s="768"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9"/>
      <c r="I53" s="228"/>
      <c r="J53" s="228"/>
      <c r="K53" s="228"/>
      <c r="L53" s="717" t="str">
        <f t="shared" si="10"/>
        <v/>
      </c>
      <c r="M53" s="717"/>
      <c r="N53" s="717"/>
      <c r="O53" s="717"/>
      <c r="P53" s="717" t="str">
        <f>IF(OR(G53=0,G53=""),"",IF(VLOOKUP(G53,'Geometry 2'!$C$4:$AI$14,1,TRUE)=VLOOKUP(G54,'Geometry 2'!$C$4:$AI$14,1,TRUE),"",IF(VLOOKUP(G53,'Geometry 2'!$C$4:$AI$14,33,TRUE)&lt;&gt;"n/a",MIN(G53,VLOOKUP(G53,'Geometry 2'!$C$4:$AI$14,1,TRUE))-VLOOKUP(G53,'Geometry 2'!$C$4:$AI$14,33,TRUE),"check")))</f>
        <v/>
      </c>
      <c r="Q53" s="717"/>
      <c r="R53" s="717"/>
      <c r="S53" s="717"/>
      <c r="T53" s="717" t="str">
        <f>IF($G53="","",VLOOKUP($G53,'Geometry 2'!$E$4:$AH$14,11,TRUE))</f>
        <v/>
      </c>
      <c r="U53" s="717"/>
      <c r="V53" s="717"/>
      <c r="W53" s="717"/>
      <c r="X53" s="716" t="str">
        <f>IF($G53="","",VLOOKUP($G53,'Geometry 2'!$E$4:$AJ$14,19,TRUE)-12*VLOOKUP($G53,'Geometry 2'!$E$4:$AJ$14,32,TRUE)*($D53-VLOOKUP($G53,'Geometry 2'!$E$5:$AH$14,1,TRUE)))</f>
        <v/>
      </c>
      <c r="Y53" s="716"/>
      <c r="Z53" s="716"/>
      <c r="AA53" s="716"/>
      <c r="AB53" s="757" t="str">
        <f>IF($G53="","",VLOOKUP($G53,'Geometry 2'!$E$4:$AJ$14,19,TRUE)-12*VLOOKUP($G53,'Geometry 2'!$E$4:$AJ$14,32,TRUE)*($G53-VLOOKUP($G53,'Geometry 2'!$E$5:$AH$14,1,TRUE)))</f>
        <v/>
      </c>
      <c r="AC53" s="758"/>
      <c r="AD53" s="758"/>
      <c r="AE53" s="759"/>
      <c r="AF53" s="716" t="str">
        <f>IF($G53="","",VLOOKUP($G53,'Geometry 2'!$E$4:$AJ$14,19,TRUE)-12*VLOOKUP($G53,'Geometry 2'!$E$4:$AJ$14,32,TRUE)*($G53-IF($P53="",0,$P53)-VLOOKUP($G53,'Geometry 2'!$E$5:$AH$14,1,TRUE)))</f>
        <v/>
      </c>
      <c r="AG53" s="716"/>
      <c r="AH53" s="716"/>
      <c r="AI53" s="716"/>
      <c r="AJ53" s="746" t="str">
        <f>IF($G53="","",VLOOKUP($G53,'Geometry 2'!$E$4:$AH$14,23,TRUE))</f>
        <v/>
      </c>
      <c r="AK53" s="747"/>
      <c r="AL53" s="747"/>
      <c r="AM53" s="748"/>
      <c r="AN53" s="717"/>
      <c r="AO53" s="717"/>
      <c r="AP53" s="717"/>
      <c r="AQ53" s="717"/>
      <c r="AR53" s="717" t="str">
        <f>IF($G53="","",VLOOKUP($G53,'Geometry 2'!$E$4:$AH$14,27,TRUE))</f>
        <v/>
      </c>
      <c r="AS53" s="717"/>
      <c r="AT53" s="717"/>
      <c r="AU53" s="718"/>
      <c r="AV53" s="715"/>
      <c r="AW53" s="716"/>
      <c r="AX53" s="716"/>
      <c r="AZ53" s="722" t="str">
        <f t="shared" si="5"/>
        <v/>
      </c>
      <c r="BA53" s="723"/>
      <c r="BB53" s="723"/>
      <c r="BC53" s="724"/>
      <c r="BD53" s="722"/>
      <c r="BE53" s="723"/>
      <c r="BF53" s="723"/>
      <c r="BG53" s="722" t="str">
        <f t="shared" si="9"/>
        <v/>
      </c>
      <c r="BH53" s="723"/>
      <c r="BI53" s="723"/>
      <c r="BJ53" s="723"/>
      <c r="BK53" s="724"/>
      <c r="BL53" s="722"/>
      <c r="BM53" s="723"/>
      <c r="BN53" s="723"/>
      <c r="BO53" s="723"/>
      <c r="BP53" s="725"/>
      <c r="BQ53" s="725"/>
      <c r="BR53" s="722" t="str">
        <f>IF(BP53="","",IF(OR(AND(Rev="H",Calculations!$F$27=TRUE),AND(Rev&lt;&gt;"H",Calculations!$F$30=TRUE)),IF(BP53&lt;=1,"Pass","Fail"),IF(BP53&lt;=1.05,"Pass","Fail")))</f>
        <v/>
      </c>
      <c r="BS53" s="723"/>
      <c r="BT53" s="724"/>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98"/>
      <c r="CP53" s="799"/>
      <c r="CQ53" s="800"/>
      <c r="CR53" s="798"/>
      <c r="CS53" s="799"/>
      <c r="CT53" s="800"/>
      <c r="CU53" s="798" t="str">
        <f t="shared" si="7"/>
        <v/>
      </c>
      <c r="CV53" s="799"/>
      <c r="CW53" s="806"/>
      <c r="CX53" s="726"/>
      <c r="CY53" s="727"/>
      <c r="CZ53" s="732"/>
      <c r="DA53" s="726"/>
      <c r="DB53" s="727"/>
      <c r="DC53" s="732"/>
      <c r="DD53" s="726" t="str">
        <f t="shared" si="8"/>
        <v/>
      </c>
      <c r="DE53" s="727"/>
      <c r="DF53" s="728"/>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6" t="str">
        <f t="shared" si="4"/>
        <v/>
      </c>
      <c r="E54" s="767"/>
      <c r="F54" s="17" t="str">
        <f t="shared" si="2"/>
        <v/>
      </c>
      <c r="G54" s="768"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9"/>
      <c r="I54" s="228"/>
      <c r="J54" s="228"/>
      <c r="K54" s="228"/>
      <c r="L54" s="717" t="str">
        <f t="shared" si="10"/>
        <v/>
      </c>
      <c r="M54" s="717"/>
      <c r="N54" s="717"/>
      <c r="O54" s="717"/>
      <c r="P54" s="717" t="str">
        <f>IF(OR(G54=0,G54=""),"",IF(VLOOKUP(G54,'Geometry 2'!$C$4:$AI$14,1,TRUE)=VLOOKUP(G55,'Geometry 2'!$C$4:$AI$14,1,TRUE),"",IF(VLOOKUP(G54,'Geometry 2'!$C$4:$AI$14,33,TRUE)&lt;&gt;"n/a",MIN(G54,VLOOKUP(G54,'Geometry 2'!$C$4:$AI$14,1,TRUE))-VLOOKUP(G54,'Geometry 2'!$C$4:$AI$14,33,TRUE),"check")))</f>
        <v/>
      </c>
      <c r="Q54" s="717"/>
      <c r="R54" s="717"/>
      <c r="S54" s="717"/>
      <c r="T54" s="717" t="str">
        <f>IF($G54="","",VLOOKUP($G54,'Geometry 2'!$E$4:$AH$14,11,TRUE))</f>
        <v/>
      </c>
      <c r="U54" s="717"/>
      <c r="V54" s="717"/>
      <c r="W54" s="717"/>
      <c r="X54" s="716" t="str">
        <f>IF($G54="","",VLOOKUP($G54,'Geometry 2'!$E$4:$AJ$14,19,TRUE)-12*VLOOKUP($G54,'Geometry 2'!$E$4:$AJ$14,32,TRUE)*($D54-VLOOKUP($G54,'Geometry 2'!$E$5:$AH$14,1,TRUE)))</f>
        <v/>
      </c>
      <c r="Y54" s="716"/>
      <c r="Z54" s="716"/>
      <c r="AA54" s="716"/>
      <c r="AB54" s="757" t="str">
        <f>IF($G54="","",VLOOKUP($G54,'Geometry 2'!$E$4:$AJ$14,19,TRUE)-12*VLOOKUP($G54,'Geometry 2'!$E$4:$AJ$14,32,TRUE)*($G54-VLOOKUP($G54,'Geometry 2'!$E$5:$AH$14,1,TRUE)))</f>
        <v/>
      </c>
      <c r="AC54" s="758"/>
      <c r="AD54" s="758"/>
      <c r="AE54" s="759"/>
      <c r="AF54" s="716" t="str">
        <f>IF($G54="","",VLOOKUP($G54,'Geometry 2'!$E$4:$AJ$14,19,TRUE)-12*VLOOKUP($G54,'Geometry 2'!$E$4:$AJ$14,32,TRUE)*($G54-IF($P54="",0,$P54)-VLOOKUP($G54,'Geometry 2'!$E$5:$AH$14,1,TRUE)))</f>
        <v/>
      </c>
      <c r="AG54" s="716"/>
      <c r="AH54" s="716"/>
      <c r="AI54" s="716"/>
      <c r="AJ54" s="746" t="str">
        <f>IF($G54="","",VLOOKUP($G54,'Geometry 2'!$E$4:$AH$14,23,TRUE))</f>
        <v/>
      </c>
      <c r="AK54" s="747"/>
      <c r="AL54" s="747"/>
      <c r="AM54" s="748"/>
      <c r="AN54" s="717"/>
      <c r="AO54" s="717"/>
      <c r="AP54" s="717"/>
      <c r="AQ54" s="717"/>
      <c r="AR54" s="717" t="str">
        <f>IF($G54="","",VLOOKUP($G54,'Geometry 2'!$E$4:$AH$14,27,TRUE))</f>
        <v/>
      </c>
      <c r="AS54" s="717"/>
      <c r="AT54" s="717"/>
      <c r="AU54" s="718"/>
      <c r="AV54" s="715"/>
      <c r="AW54" s="716"/>
      <c r="AX54" s="716"/>
      <c r="AZ54" s="722" t="str">
        <f t="shared" si="5"/>
        <v/>
      </c>
      <c r="BA54" s="723"/>
      <c r="BB54" s="723"/>
      <c r="BC54" s="724"/>
      <c r="BD54" s="722"/>
      <c r="BE54" s="723"/>
      <c r="BF54" s="723"/>
      <c r="BG54" s="722" t="str">
        <f t="shared" si="9"/>
        <v/>
      </c>
      <c r="BH54" s="723"/>
      <c r="BI54" s="723"/>
      <c r="BJ54" s="723"/>
      <c r="BK54" s="724"/>
      <c r="BL54" s="722"/>
      <c r="BM54" s="723"/>
      <c r="BN54" s="723"/>
      <c r="BO54" s="723"/>
      <c r="BP54" s="725"/>
      <c r="BQ54" s="725"/>
      <c r="BR54" s="722" t="str">
        <f>IF(BP54="","",IF(OR(AND(Rev="H",Calculations!$F$27=TRUE),AND(Rev&lt;&gt;"H",Calculations!$F$30=TRUE)),IF(BP54&lt;=1,"Pass","Fail"),IF(BP54&lt;=1.05,"Pass","Fail")))</f>
        <v/>
      </c>
      <c r="BS54" s="723"/>
      <c r="BT54" s="724"/>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91"/>
      <c r="CP54" s="792"/>
      <c r="CQ54" s="793"/>
      <c r="CR54" s="791"/>
      <c r="CS54" s="792"/>
      <c r="CT54" s="793"/>
      <c r="CU54" s="791" t="str">
        <f t="shared" si="7"/>
        <v/>
      </c>
      <c r="CV54" s="792"/>
      <c r="CW54" s="807"/>
      <c r="CX54" s="808"/>
      <c r="CY54" s="730"/>
      <c r="CZ54" s="809"/>
      <c r="DA54" s="733"/>
      <c r="DB54" s="734"/>
      <c r="DC54" s="735"/>
      <c r="DD54" s="729" t="str">
        <f t="shared" si="8"/>
        <v/>
      </c>
      <c r="DE54" s="730"/>
      <c r="DF54" s="731"/>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6" t="str">
        <f t="shared" si="4"/>
        <v/>
      </c>
      <c r="E55" s="767"/>
      <c r="F55" s="17" t="str">
        <f t="shared" si="2"/>
        <v/>
      </c>
      <c r="G55" s="768"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9"/>
      <c r="I55" s="228"/>
      <c r="J55" s="228"/>
      <c r="K55" s="228"/>
      <c r="L55" s="717" t="str">
        <f t="shared" si="10"/>
        <v/>
      </c>
      <c r="M55" s="717"/>
      <c r="N55" s="717"/>
      <c r="O55" s="717"/>
      <c r="P55" s="717" t="str">
        <f>IF(OR(G55=0,G55=""),"",IF(VLOOKUP(G55,'Geometry 2'!$C$4:$AI$14,1,TRUE)=VLOOKUP(G56,'Geometry 2'!$C$4:$AI$14,1,TRUE),"",IF(VLOOKUP(G55,'Geometry 2'!$C$4:$AI$14,33,TRUE)&lt;&gt;"n/a",MIN(G55,VLOOKUP(G55,'Geometry 2'!$C$4:$AI$14,1,TRUE))-VLOOKUP(G55,'Geometry 2'!$C$4:$AI$14,33,TRUE),"check")))</f>
        <v/>
      </c>
      <c r="Q55" s="717"/>
      <c r="R55" s="717"/>
      <c r="S55" s="717"/>
      <c r="T55" s="717" t="str">
        <f>IF($G55="","",VLOOKUP($G55,'Geometry 2'!$E$4:$AH$14,11,TRUE))</f>
        <v/>
      </c>
      <c r="U55" s="717"/>
      <c r="V55" s="717"/>
      <c r="W55" s="717"/>
      <c r="X55" s="716" t="str">
        <f>IF($G55="","",VLOOKUP($G55,'Geometry 2'!$E$4:$AJ$14,19,TRUE)-12*VLOOKUP($G55,'Geometry 2'!$E$4:$AJ$14,32,TRUE)*($D55-VLOOKUP($G55,'Geometry 2'!$E$5:$AH$14,1,TRUE)))</f>
        <v/>
      </c>
      <c r="Y55" s="716"/>
      <c r="Z55" s="716"/>
      <c r="AA55" s="716"/>
      <c r="AB55" s="757" t="str">
        <f>IF($G55="","",VLOOKUP($G55,'Geometry 2'!$E$4:$AJ$14,19,TRUE)-12*VLOOKUP($G55,'Geometry 2'!$E$4:$AJ$14,32,TRUE)*($G55-VLOOKUP($G55,'Geometry 2'!$E$5:$AH$14,1,TRUE)))</f>
        <v/>
      </c>
      <c r="AC55" s="758"/>
      <c r="AD55" s="758"/>
      <c r="AE55" s="759"/>
      <c r="AF55" s="716" t="str">
        <f>IF($G55="","",VLOOKUP($G55,'Geometry 2'!$E$4:$AJ$14,19,TRUE)-12*VLOOKUP($G55,'Geometry 2'!$E$4:$AJ$14,32,TRUE)*($G55-IF($P55="",0,$P55)-VLOOKUP($G55,'Geometry 2'!$E$5:$AH$14,1,TRUE)))</f>
        <v/>
      </c>
      <c r="AG55" s="716"/>
      <c r="AH55" s="716"/>
      <c r="AI55" s="716"/>
      <c r="AJ55" s="746" t="str">
        <f>IF($G55="","",VLOOKUP($G55,'Geometry 2'!$E$4:$AH$14,23,TRUE))</f>
        <v/>
      </c>
      <c r="AK55" s="747"/>
      <c r="AL55" s="747"/>
      <c r="AM55" s="748"/>
      <c r="AN55" s="717"/>
      <c r="AO55" s="717"/>
      <c r="AP55" s="717"/>
      <c r="AQ55" s="717"/>
      <c r="AR55" s="717" t="str">
        <f>IF($G55="","",VLOOKUP($G55,'Geometry 2'!$E$4:$AH$14,27,TRUE))</f>
        <v/>
      </c>
      <c r="AS55" s="717"/>
      <c r="AT55" s="717"/>
      <c r="AU55" s="718"/>
      <c r="AV55" s="715"/>
      <c r="AW55" s="716"/>
      <c r="AX55" s="716"/>
      <c r="AZ55" s="722" t="str">
        <f t="shared" si="5"/>
        <v/>
      </c>
      <c r="BA55" s="723"/>
      <c r="BB55" s="723"/>
      <c r="BC55" s="724"/>
      <c r="BD55" s="722"/>
      <c r="BE55" s="723"/>
      <c r="BF55" s="723"/>
      <c r="BG55" s="722" t="str">
        <f t="shared" si="9"/>
        <v/>
      </c>
      <c r="BH55" s="723"/>
      <c r="BI55" s="723"/>
      <c r="BJ55" s="723"/>
      <c r="BK55" s="724"/>
      <c r="BL55" s="722"/>
      <c r="BM55" s="723"/>
      <c r="BN55" s="723"/>
      <c r="BO55" s="723"/>
      <c r="BP55" s="725"/>
      <c r="BQ55" s="725"/>
      <c r="BR55" s="722" t="str">
        <f>IF(BP55="","",IF(OR(AND(Rev="H",Calculations!$F$27=TRUE),AND(Rev&lt;&gt;"H",Calculations!$F$30=TRUE)),IF(BP55&lt;=1,"Pass","Fail"),IF(BP55&lt;=1.05,"Pass","Fail")))</f>
        <v/>
      </c>
      <c r="BS55" s="723"/>
      <c r="BT55" s="724"/>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98"/>
      <c r="CP55" s="799"/>
      <c r="CQ55" s="800"/>
      <c r="CR55" s="798"/>
      <c r="CS55" s="799"/>
      <c r="CT55" s="800"/>
      <c r="CU55" s="798" t="str">
        <f t="shared" si="7"/>
        <v/>
      </c>
      <c r="CV55" s="799"/>
      <c r="CW55" s="806"/>
      <c r="CX55" s="726"/>
      <c r="CY55" s="727"/>
      <c r="CZ55" s="732"/>
      <c r="DA55" s="726"/>
      <c r="DB55" s="727"/>
      <c r="DC55" s="732"/>
      <c r="DD55" s="726" t="str">
        <f t="shared" si="8"/>
        <v/>
      </c>
      <c r="DE55" s="727"/>
      <c r="DF55" s="728"/>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6" t="str">
        <f t="shared" si="4"/>
        <v/>
      </c>
      <c r="E56" s="767"/>
      <c r="F56" s="17" t="str">
        <f t="shared" si="2"/>
        <v/>
      </c>
      <c r="G56" s="768"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9"/>
      <c r="I56" s="228"/>
      <c r="J56" s="228"/>
      <c r="K56" s="228"/>
      <c r="L56" s="717" t="str">
        <f t="shared" si="10"/>
        <v/>
      </c>
      <c r="M56" s="717"/>
      <c r="N56" s="717"/>
      <c r="O56" s="717"/>
      <c r="P56" s="717" t="str">
        <f>IF(OR(G56=0,G56=""),"",IF(VLOOKUP(G56,'Geometry 2'!$C$4:$AI$14,1,TRUE)=VLOOKUP(G57,'Geometry 2'!$C$4:$AI$14,1,TRUE),"",IF(VLOOKUP(G56,'Geometry 2'!$C$4:$AI$14,33,TRUE)&lt;&gt;"n/a",MIN(G56,VLOOKUP(G56,'Geometry 2'!$C$4:$AI$14,1,TRUE))-VLOOKUP(G56,'Geometry 2'!$C$4:$AI$14,33,TRUE),"check")))</f>
        <v/>
      </c>
      <c r="Q56" s="717"/>
      <c r="R56" s="717"/>
      <c r="S56" s="717"/>
      <c r="T56" s="717" t="str">
        <f>IF($G56="","",VLOOKUP($G56,'Geometry 2'!$E$4:$AH$14,11,TRUE))</f>
        <v/>
      </c>
      <c r="U56" s="717"/>
      <c r="V56" s="717"/>
      <c r="W56" s="717"/>
      <c r="X56" s="716" t="str">
        <f>IF($G56="","",VLOOKUP($G56,'Geometry 2'!$E$4:$AJ$14,19,TRUE)-12*VLOOKUP($G56,'Geometry 2'!$E$4:$AJ$14,32,TRUE)*($D56-VLOOKUP($G56,'Geometry 2'!$E$5:$AH$14,1,TRUE)))</f>
        <v/>
      </c>
      <c r="Y56" s="716"/>
      <c r="Z56" s="716"/>
      <c r="AA56" s="716"/>
      <c r="AB56" s="757" t="str">
        <f>IF($G56="","",VLOOKUP($G56,'Geometry 2'!$E$4:$AJ$14,19,TRUE)-12*VLOOKUP($G56,'Geometry 2'!$E$4:$AJ$14,32,TRUE)*($G56-VLOOKUP($G56,'Geometry 2'!$E$5:$AH$14,1,TRUE)))</f>
        <v/>
      </c>
      <c r="AC56" s="758"/>
      <c r="AD56" s="758"/>
      <c r="AE56" s="759"/>
      <c r="AF56" s="716" t="str">
        <f>IF($G56="","",VLOOKUP($G56,'Geometry 2'!$E$4:$AJ$14,19,TRUE)-12*VLOOKUP($G56,'Geometry 2'!$E$4:$AJ$14,32,TRUE)*($G56-IF($P56="",0,$P56)-VLOOKUP($G56,'Geometry 2'!$E$5:$AH$14,1,TRUE)))</f>
        <v/>
      </c>
      <c r="AG56" s="716"/>
      <c r="AH56" s="716"/>
      <c r="AI56" s="716"/>
      <c r="AJ56" s="746" t="str">
        <f>IF($G56="","",VLOOKUP($G56,'Geometry 2'!$E$4:$AH$14,23,TRUE))</f>
        <v/>
      </c>
      <c r="AK56" s="747"/>
      <c r="AL56" s="747"/>
      <c r="AM56" s="748"/>
      <c r="AN56" s="717"/>
      <c r="AO56" s="717"/>
      <c r="AP56" s="717"/>
      <c r="AQ56" s="717"/>
      <c r="AR56" s="717" t="str">
        <f>IF($G56="","",VLOOKUP($G56,'Geometry 2'!$E$4:$AH$14,27,TRUE))</f>
        <v/>
      </c>
      <c r="AS56" s="717"/>
      <c r="AT56" s="717"/>
      <c r="AU56" s="718"/>
      <c r="AV56" s="715"/>
      <c r="AW56" s="716"/>
      <c r="AX56" s="716"/>
      <c r="AZ56" s="722" t="str">
        <f t="shared" si="5"/>
        <v/>
      </c>
      <c r="BA56" s="723"/>
      <c r="BB56" s="723"/>
      <c r="BC56" s="724"/>
      <c r="BD56" s="722"/>
      <c r="BE56" s="723"/>
      <c r="BF56" s="723"/>
      <c r="BG56" s="722" t="str">
        <f t="shared" si="9"/>
        <v/>
      </c>
      <c r="BH56" s="723"/>
      <c r="BI56" s="723"/>
      <c r="BJ56" s="723"/>
      <c r="BK56" s="724"/>
      <c r="BL56" s="722"/>
      <c r="BM56" s="723"/>
      <c r="BN56" s="723"/>
      <c r="BO56" s="723"/>
      <c r="BP56" s="725"/>
      <c r="BQ56" s="725"/>
      <c r="BR56" s="722" t="str">
        <f>IF(BP56="","",IF(OR(AND(Rev="H",Calculations!$F$27=TRUE),AND(Rev&lt;&gt;"H",Calculations!$F$30=TRUE)),IF(BP56&lt;=1,"Pass","Fail"),IF(BP56&lt;=1.05,"Pass","Fail")))</f>
        <v/>
      </c>
      <c r="BS56" s="723"/>
      <c r="BT56" s="724"/>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91"/>
      <c r="CP56" s="792"/>
      <c r="CQ56" s="793"/>
      <c r="CR56" s="791"/>
      <c r="CS56" s="792"/>
      <c r="CT56" s="793"/>
      <c r="CU56" s="791" t="str">
        <f t="shared" si="7"/>
        <v/>
      </c>
      <c r="CV56" s="792"/>
      <c r="CW56" s="807"/>
      <c r="CX56" s="808"/>
      <c r="CY56" s="730"/>
      <c r="CZ56" s="809"/>
      <c r="DA56" s="733"/>
      <c r="DB56" s="734"/>
      <c r="DC56" s="735"/>
      <c r="DD56" s="729" t="str">
        <f t="shared" si="8"/>
        <v/>
      </c>
      <c r="DE56" s="730"/>
      <c r="DF56" s="731"/>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6" t="str">
        <f t="shared" si="4"/>
        <v/>
      </c>
      <c r="E57" s="767"/>
      <c r="F57" s="17" t="str">
        <f t="shared" si="2"/>
        <v/>
      </c>
      <c r="G57" s="768"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9"/>
      <c r="I57" s="228"/>
      <c r="J57" s="228"/>
      <c r="K57" s="228"/>
      <c r="L57" s="717" t="str">
        <f t="shared" si="10"/>
        <v/>
      </c>
      <c r="M57" s="717"/>
      <c r="N57" s="717"/>
      <c r="O57" s="717"/>
      <c r="P57" s="717" t="str">
        <f>IF(OR(G57=0,G57=""),"",IF(VLOOKUP(G57,'Geometry 2'!$C$4:$AI$14,1,TRUE)=VLOOKUP(G58,'Geometry 2'!$C$4:$AI$14,1,TRUE),"",IF(VLOOKUP(G57,'Geometry 2'!$C$4:$AI$14,33,TRUE)&lt;&gt;"n/a",MIN(G57,VLOOKUP(G57,'Geometry 2'!$C$4:$AI$14,1,TRUE))-VLOOKUP(G57,'Geometry 2'!$C$4:$AI$14,33,TRUE),"check")))</f>
        <v/>
      </c>
      <c r="Q57" s="717"/>
      <c r="R57" s="717"/>
      <c r="S57" s="717"/>
      <c r="T57" s="717" t="str">
        <f>IF($G57="","",VLOOKUP($G57,'Geometry 2'!$E$4:$AH$14,11,TRUE))</f>
        <v/>
      </c>
      <c r="U57" s="717"/>
      <c r="V57" s="717"/>
      <c r="W57" s="717"/>
      <c r="X57" s="716" t="str">
        <f>IF($G57="","",VLOOKUP($G57,'Geometry 2'!$E$4:$AJ$14,19,TRUE)-12*VLOOKUP($G57,'Geometry 2'!$E$4:$AJ$14,32,TRUE)*($D57-VLOOKUP($G57,'Geometry 2'!$E$5:$AH$14,1,TRUE)))</f>
        <v/>
      </c>
      <c r="Y57" s="716"/>
      <c r="Z57" s="716"/>
      <c r="AA57" s="716"/>
      <c r="AB57" s="757" t="str">
        <f>IF($G57="","",VLOOKUP($G57,'Geometry 2'!$E$4:$AJ$14,19,TRUE)-12*VLOOKUP($G57,'Geometry 2'!$E$4:$AJ$14,32,TRUE)*($G57-VLOOKUP($G57,'Geometry 2'!$E$5:$AH$14,1,TRUE)))</f>
        <v/>
      </c>
      <c r="AC57" s="758"/>
      <c r="AD57" s="758"/>
      <c r="AE57" s="759"/>
      <c r="AF57" s="716" t="str">
        <f>IF($G57="","",VLOOKUP($G57,'Geometry 2'!$E$4:$AJ$14,19,TRUE)-12*VLOOKUP($G57,'Geometry 2'!$E$4:$AJ$14,32,TRUE)*($G57-IF($P57="",0,$P57)-VLOOKUP($G57,'Geometry 2'!$E$5:$AH$14,1,TRUE)))</f>
        <v/>
      </c>
      <c r="AG57" s="716"/>
      <c r="AH57" s="716"/>
      <c r="AI57" s="716"/>
      <c r="AJ57" s="746" t="str">
        <f>IF($G57="","",VLOOKUP($G57,'Geometry 2'!$E$4:$AH$14,23,TRUE))</f>
        <v/>
      </c>
      <c r="AK57" s="747"/>
      <c r="AL57" s="747"/>
      <c r="AM57" s="748"/>
      <c r="AN57" s="717"/>
      <c r="AO57" s="717"/>
      <c r="AP57" s="717"/>
      <c r="AQ57" s="717"/>
      <c r="AR57" s="717" t="str">
        <f>IF($G57="","",VLOOKUP($G57,'Geometry 2'!$E$4:$AH$14,27,TRUE))</f>
        <v/>
      </c>
      <c r="AS57" s="717"/>
      <c r="AT57" s="717"/>
      <c r="AU57" s="718"/>
      <c r="AV57" s="715"/>
      <c r="AW57" s="716"/>
      <c r="AX57" s="716"/>
      <c r="AZ57" s="722" t="str">
        <f t="shared" si="5"/>
        <v/>
      </c>
      <c r="BA57" s="723"/>
      <c r="BB57" s="723"/>
      <c r="BC57" s="724"/>
      <c r="BD57" s="722"/>
      <c r="BE57" s="723"/>
      <c r="BF57" s="723"/>
      <c r="BG57" s="722" t="str">
        <f t="shared" si="9"/>
        <v/>
      </c>
      <c r="BH57" s="723"/>
      <c r="BI57" s="723"/>
      <c r="BJ57" s="723"/>
      <c r="BK57" s="724"/>
      <c r="BL57" s="722"/>
      <c r="BM57" s="723"/>
      <c r="BN57" s="723"/>
      <c r="BO57" s="723"/>
      <c r="BP57" s="725"/>
      <c r="BQ57" s="725"/>
      <c r="BR57" s="722" t="str">
        <f>IF(BP57="","",IF(OR(AND(Rev="H",Calculations!$F$27=TRUE),AND(Rev&lt;&gt;"H",Calculations!$F$30=TRUE)),IF(BP57&lt;=1,"Pass","Fail"),IF(BP57&lt;=1.05,"Pass","Fail")))</f>
        <v/>
      </c>
      <c r="BS57" s="723"/>
      <c r="BT57" s="724"/>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98"/>
      <c r="CP57" s="799"/>
      <c r="CQ57" s="800"/>
      <c r="CR57" s="798"/>
      <c r="CS57" s="799"/>
      <c r="CT57" s="800"/>
      <c r="CU57" s="798" t="str">
        <f t="shared" si="7"/>
        <v/>
      </c>
      <c r="CV57" s="799"/>
      <c r="CW57" s="806"/>
      <c r="CX57" s="726"/>
      <c r="CY57" s="727"/>
      <c r="CZ57" s="732"/>
      <c r="DA57" s="726"/>
      <c r="DB57" s="727"/>
      <c r="DC57" s="732"/>
      <c r="DD57" s="726" t="str">
        <f t="shared" si="8"/>
        <v/>
      </c>
      <c r="DE57" s="727"/>
      <c r="DF57" s="728"/>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6" t="str">
        <f t="shared" si="4"/>
        <v/>
      </c>
      <c r="E58" s="767"/>
      <c r="F58" s="17" t="str">
        <f t="shared" si="2"/>
        <v/>
      </c>
      <c r="G58" s="768"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9"/>
      <c r="I58" s="228"/>
      <c r="J58" s="228"/>
      <c r="K58" s="228"/>
      <c r="L58" s="717" t="str">
        <f t="shared" si="10"/>
        <v/>
      </c>
      <c r="M58" s="717"/>
      <c r="N58" s="717"/>
      <c r="O58" s="717"/>
      <c r="P58" s="717" t="str">
        <f>IF(OR(G58=0,G58=""),"",IF(VLOOKUP(G58,'Geometry 2'!$C$4:$AI$14,1,TRUE)=VLOOKUP(G59,'Geometry 2'!$C$4:$AI$14,1,TRUE),"",IF(VLOOKUP(G58,'Geometry 2'!$C$4:$AI$14,33,TRUE)&lt;&gt;"n/a",MIN(G58,VLOOKUP(G58,'Geometry 2'!$C$4:$AI$14,1,TRUE))-VLOOKUP(G58,'Geometry 2'!$C$4:$AI$14,33,TRUE),"check")))</f>
        <v/>
      </c>
      <c r="Q58" s="717"/>
      <c r="R58" s="717"/>
      <c r="S58" s="717"/>
      <c r="T58" s="717" t="str">
        <f>IF($G58="","",VLOOKUP($G58,'Geometry 2'!$E$4:$AH$14,11,TRUE))</f>
        <v/>
      </c>
      <c r="U58" s="717"/>
      <c r="V58" s="717"/>
      <c r="W58" s="717"/>
      <c r="X58" s="716" t="str">
        <f>IF($G58="","",VLOOKUP($G58,'Geometry 2'!$E$4:$AJ$14,19,TRUE)-12*VLOOKUP($G58,'Geometry 2'!$E$4:$AJ$14,32,TRUE)*($D58-VLOOKUP($G58,'Geometry 2'!$E$5:$AH$14,1,TRUE)))</f>
        <v/>
      </c>
      <c r="Y58" s="716"/>
      <c r="Z58" s="716"/>
      <c r="AA58" s="716"/>
      <c r="AB58" s="757" t="str">
        <f>IF($G58="","",VLOOKUP($G58,'Geometry 2'!$E$4:$AJ$14,19,TRUE)-12*VLOOKUP($G58,'Geometry 2'!$E$4:$AJ$14,32,TRUE)*($G58-VLOOKUP($G58,'Geometry 2'!$E$5:$AH$14,1,TRUE)))</f>
        <v/>
      </c>
      <c r="AC58" s="758"/>
      <c r="AD58" s="758"/>
      <c r="AE58" s="759"/>
      <c r="AF58" s="716" t="str">
        <f>IF($G58="","",VLOOKUP($G58,'Geometry 2'!$E$4:$AJ$14,19,TRUE)-12*VLOOKUP($G58,'Geometry 2'!$E$4:$AJ$14,32,TRUE)*($G58-IF($P58="",0,$P58)-VLOOKUP($G58,'Geometry 2'!$E$5:$AH$14,1,TRUE)))</f>
        <v/>
      </c>
      <c r="AG58" s="716"/>
      <c r="AH58" s="716"/>
      <c r="AI58" s="716"/>
      <c r="AJ58" s="746" t="str">
        <f>IF($G58="","",VLOOKUP($G58,'Geometry 2'!$E$4:$AH$14,23,TRUE))</f>
        <v/>
      </c>
      <c r="AK58" s="747"/>
      <c r="AL58" s="747"/>
      <c r="AM58" s="748"/>
      <c r="AN58" s="717"/>
      <c r="AO58" s="717"/>
      <c r="AP58" s="717"/>
      <c r="AQ58" s="717"/>
      <c r="AR58" s="717" t="str">
        <f>IF($G58="","",VLOOKUP($G58,'Geometry 2'!$E$4:$AH$14,27,TRUE))</f>
        <v/>
      </c>
      <c r="AS58" s="717"/>
      <c r="AT58" s="717"/>
      <c r="AU58" s="718"/>
      <c r="AV58" s="715"/>
      <c r="AW58" s="716"/>
      <c r="AX58" s="716"/>
      <c r="AZ58" s="722" t="str">
        <f t="shared" si="5"/>
        <v/>
      </c>
      <c r="BA58" s="723"/>
      <c r="BB58" s="723"/>
      <c r="BC58" s="724"/>
      <c r="BD58" s="722"/>
      <c r="BE58" s="723"/>
      <c r="BF58" s="723"/>
      <c r="BG58" s="722" t="str">
        <f t="shared" si="9"/>
        <v/>
      </c>
      <c r="BH58" s="723"/>
      <c r="BI58" s="723"/>
      <c r="BJ58" s="723"/>
      <c r="BK58" s="724"/>
      <c r="BL58" s="722"/>
      <c r="BM58" s="723"/>
      <c r="BN58" s="723"/>
      <c r="BO58" s="723"/>
      <c r="BP58" s="725"/>
      <c r="BQ58" s="725"/>
      <c r="BR58" s="722" t="str">
        <f>IF(BP58="","",IF(OR(AND(Rev="H",Calculations!$F$27=TRUE),AND(Rev&lt;&gt;"H",Calculations!$F$30=TRUE)),IF(BP58&lt;=1,"Pass","Fail"),IF(BP58&lt;=1.05,"Pass","Fail")))</f>
        <v/>
      </c>
      <c r="BS58" s="723"/>
      <c r="BT58" s="724"/>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91"/>
      <c r="CP58" s="792"/>
      <c r="CQ58" s="793"/>
      <c r="CR58" s="791"/>
      <c r="CS58" s="792"/>
      <c r="CT58" s="793"/>
      <c r="CU58" s="791" t="str">
        <f t="shared" si="7"/>
        <v/>
      </c>
      <c r="CV58" s="792"/>
      <c r="CW58" s="807"/>
      <c r="CX58" s="808"/>
      <c r="CY58" s="730"/>
      <c r="CZ58" s="809"/>
      <c r="DA58" s="733"/>
      <c r="DB58" s="734"/>
      <c r="DC58" s="735"/>
      <c r="DD58" s="729" t="str">
        <f t="shared" si="8"/>
        <v/>
      </c>
      <c r="DE58" s="730"/>
      <c r="DF58" s="731"/>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6" t="str">
        <f t="shared" si="4"/>
        <v/>
      </c>
      <c r="E59" s="767"/>
      <c r="F59" s="17" t="str">
        <f t="shared" si="2"/>
        <v/>
      </c>
      <c r="G59" s="768"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9"/>
      <c r="I59" s="228"/>
      <c r="J59" s="228"/>
      <c r="K59" s="228"/>
      <c r="L59" s="717" t="str">
        <f t="shared" si="10"/>
        <v/>
      </c>
      <c r="M59" s="717"/>
      <c r="N59" s="717"/>
      <c r="O59" s="717"/>
      <c r="P59" s="717" t="str">
        <f>IF(OR(G59=0,G59=""),"",IF(VLOOKUP(G59,'Geometry 2'!$C$4:$AI$14,1,TRUE)=VLOOKUP(G60,'Geometry 2'!$C$4:$AI$14,1,TRUE),"",IF(VLOOKUP(G59,'Geometry 2'!$C$4:$AI$14,33,TRUE)&lt;&gt;"n/a",MIN(G59,VLOOKUP(G59,'Geometry 2'!$C$4:$AI$14,1,TRUE))-VLOOKUP(G59,'Geometry 2'!$C$4:$AI$14,33,TRUE),"check")))</f>
        <v/>
      </c>
      <c r="Q59" s="717"/>
      <c r="R59" s="717"/>
      <c r="S59" s="717"/>
      <c r="T59" s="717" t="str">
        <f>IF($G59="","",VLOOKUP($G59,'Geometry 2'!$E$4:$AH$14,11,TRUE))</f>
        <v/>
      </c>
      <c r="U59" s="717"/>
      <c r="V59" s="717"/>
      <c r="W59" s="717"/>
      <c r="X59" s="716" t="str">
        <f>IF($G59="","",VLOOKUP($G59,'Geometry 2'!$E$4:$AJ$14,19,TRUE)-12*VLOOKUP($G59,'Geometry 2'!$E$4:$AJ$14,32,TRUE)*($D59-VLOOKUP($G59,'Geometry 2'!$E$5:$AH$14,1,TRUE)))</f>
        <v/>
      </c>
      <c r="Y59" s="716"/>
      <c r="Z59" s="716"/>
      <c r="AA59" s="716"/>
      <c r="AB59" s="757" t="str">
        <f>IF($G59="","",VLOOKUP($G59,'Geometry 2'!$E$4:$AJ$14,19,TRUE)-12*VLOOKUP($G59,'Geometry 2'!$E$4:$AJ$14,32,TRUE)*($G59-VLOOKUP($G59,'Geometry 2'!$E$5:$AH$14,1,TRUE)))</f>
        <v/>
      </c>
      <c r="AC59" s="758"/>
      <c r="AD59" s="758"/>
      <c r="AE59" s="759"/>
      <c r="AF59" s="716" t="str">
        <f>IF($G59="","",VLOOKUP($G59,'Geometry 2'!$E$4:$AJ$14,19,TRUE)-12*VLOOKUP($G59,'Geometry 2'!$E$4:$AJ$14,32,TRUE)*($G59-IF($P59="",0,$P59)-VLOOKUP($G59,'Geometry 2'!$E$5:$AH$14,1,TRUE)))</f>
        <v/>
      </c>
      <c r="AG59" s="716"/>
      <c r="AH59" s="716"/>
      <c r="AI59" s="716"/>
      <c r="AJ59" s="746" t="str">
        <f>IF($G59="","",VLOOKUP($G59,'Geometry 2'!$E$4:$AH$14,23,TRUE))</f>
        <v/>
      </c>
      <c r="AK59" s="747"/>
      <c r="AL59" s="747"/>
      <c r="AM59" s="748"/>
      <c r="AN59" s="717"/>
      <c r="AO59" s="717"/>
      <c r="AP59" s="717"/>
      <c r="AQ59" s="717"/>
      <c r="AR59" s="717" t="str">
        <f>IF($G59="","",VLOOKUP($G59,'Geometry 2'!$E$4:$AH$14,27,TRUE))</f>
        <v/>
      </c>
      <c r="AS59" s="717"/>
      <c r="AT59" s="717"/>
      <c r="AU59" s="718"/>
      <c r="AV59" s="715"/>
      <c r="AW59" s="716"/>
      <c r="AX59" s="716"/>
      <c r="AZ59" s="722" t="str">
        <f t="shared" si="5"/>
        <v/>
      </c>
      <c r="BA59" s="723"/>
      <c r="BB59" s="723"/>
      <c r="BC59" s="724"/>
      <c r="BD59" s="722"/>
      <c r="BE59" s="723"/>
      <c r="BF59" s="723"/>
      <c r="BG59" s="722" t="str">
        <f t="shared" si="9"/>
        <v/>
      </c>
      <c r="BH59" s="723"/>
      <c r="BI59" s="723"/>
      <c r="BJ59" s="723"/>
      <c r="BK59" s="724"/>
      <c r="BL59" s="722"/>
      <c r="BM59" s="723"/>
      <c r="BN59" s="723"/>
      <c r="BO59" s="723"/>
      <c r="BP59" s="725"/>
      <c r="BQ59" s="725"/>
      <c r="BR59" s="722" t="str">
        <f>IF(BP59="","",IF(OR(AND(Rev="H",Calculations!$F$27=TRUE),AND(Rev&lt;&gt;"H",Calculations!$F$30=TRUE)),IF(BP59&lt;=1,"Pass","Fail"),IF(BP59&lt;=1.05,"Pass","Fail")))</f>
        <v/>
      </c>
      <c r="BS59" s="723"/>
      <c r="BT59" s="724"/>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98"/>
      <c r="CP59" s="799"/>
      <c r="CQ59" s="800"/>
      <c r="CR59" s="798"/>
      <c r="CS59" s="799"/>
      <c r="CT59" s="800"/>
      <c r="CU59" s="798" t="str">
        <f t="shared" si="7"/>
        <v/>
      </c>
      <c r="CV59" s="799"/>
      <c r="CW59" s="806"/>
      <c r="CX59" s="726"/>
      <c r="CY59" s="727"/>
      <c r="CZ59" s="732"/>
      <c r="DA59" s="726"/>
      <c r="DB59" s="727"/>
      <c r="DC59" s="732"/>
      <c r="DD59" s="726" t="str">
        <f t="shared" si="8"/>
        <v/>
      </c>
      <c r="DE59" s="727"/>
      <c r="DF59" s="728"/>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6" t="str">
        <f t="shared" si="4"/>
        <v/>
      </c>
      <c r="E60" s="767"/>
      <c r="F60" s="17" t="str">
        <f t="shared" si="2"/>
        <v/>
      </c>
      <c r="G60" s="768"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9"/>
      <c r="I60" s="228"/>
      <c r="J60" s="228"/>
      <c r="K60" s="228"/>
      <c r="L60" s="717" t="str">
        <f t="shared" si="10"/>
        <v/>
      </c>
      <c r="M60" s="717"/>
      <c r="N60" s="717"/>
      <c r="O60" s="717"/>
      <c r="P60" s="717" t="str">
        <f>IF(OR(G60=0,G60=""),"",IF(VLOOKUP(G60,'Geometry 2'!$C$4:$AI$14,1,TRUE)=VLOOKUP(G61,'Geometry 2'!$C$4:$AI$14,1,TRUE),"",IF(VLOOKUP(G60,'Geometry 2'!$C$4:$AI$14,33,TRUE)&lt;&gt;"n/a",MIN(G60,VLOOKUP(G60,'Geometry 2'!$C$4:$AI$14,1,TRUE))-VLOOKUP(G60,'Geometry 2'!$C$4:$AI$14,33,TRUE),"check")))</f>
        <v/>
      </c>
      <c r="Q60" s="717"/>
      <c r="R60" s="717"/>
      <c r="S60" s="717"/>
      <c r="T60" s="717" t="str">
        <f>IF($G60="","",VLOOKUP($G60,'Geometry 2'!$E$4:$AH$14,11,TRUE))</f>
        <v/>
      </c>
      <c r="U60" s="717"/>
      <c r="V60" s="717"/>
      <c r="W60" s="717"/>
      <c r="X60" s="716" t="str">
        <f>IF($G60="","",VLOOKUP($G60,'Geometry 2'!$E$4:$AJ$14,19,TRUE)-12*VLOOKUP($G60,'Geometry 2'!$E$4:$AJ$14,32,TRUE)*($D60-VLOOKUP($G60,'Geometry 2'!$E$5:$AH$14,1,TRUE)))</f>
        <v/>
      </c>
      <c r="Y60" s="716"/>
      <c r="Z60" s="716"/>
      <c r="AA60" s="716"/>
      <c r="AB60" s="757" t="str">
        <f>IF($G60="","",VLOOKUP($G60,'Geometry 2'!$E$4:$AJ$14,19,TRUE)-12*VLOOKUP($G60,'Geometry 2'!$E$4:$AJ$14,32,TRUE)*($G60-VLOOKUP($G60,'Geometry 2'!$E$5:$AH$14,1,TRUE)))</f>
        <v/>
      </c>
      <c r="AC60" s="758"/>
      <c r="AD60" s="758"/>
      <c r="AE60" s="759"/>
      <c r="AF60" s="716" t="str">
        <f>IF($G60="","",VLOOKUP($G60,'Geometry 2'!$E$4:$AJ$14,19,TRUE)-12*VLOOKUP($G60,'Geometry 2'!$E$4:$AJ$14,32,TRUE)*($G60-IF($P60="",0,$P60)-VLOOKUP($G60,'Geometry 2'!$E$5:$AH$14,1,TRUE)))</f>
        <v/>
      </c>
      <c r="AG60" s="716"/>
      <c r="AH60" s="716"/>
      <c r="AI60" s="716"/>
      <c r="AJ60" s="746" t="str">
        <f>IF($G60="","",VLOOKUP($G60,'Geometry 2'!$E$4:$AH$14,23,TRUE))</f>
        <v/>
      </c>
      <c r="AK60" s="747"/>
      <c r="AL60" s="747"/>
      <c r="AM60" s="748"/>
      <c r="AN60" s="717"/>
      <c r="AO60" s="717"/>
      <c r="AP60" s="717"/>
      <c r="AQ60" s="717"/>
      <c r="AR60" s="717" t="str">
        <f>IF($G60="","",VLOOKUP($G60,'Geometry 2'!$E$4:$AH$14,27,TRUE))</f>
        <v/>
      </c>
      <c r="AS60" s="717"/>
      <c r="AT60" s="717"/>
      <c r="AU60" s="718"/>
      <c r="AV60" s="715"/>
      <c r="AW60" s="716"/>
      <c r="AX60" s="716"/>
      <c r="AZ60" s="722" t="str">
        <f t="shared" si="5"/>
        <v/>
      </c>
      <c r="BA60" s="723"/>
      <c r="BB60" s="723"/>
      <c r="BC60" s="724"/>
      <c r="BD60" s="722"/>
      <c r="BE60" s="723"/>
      <c r="BF60" s="723"/>
      <c r="BG60" s="722" t="str">
        <f t="shared" si="9"/>
        <v/>
      </c>
      <c r="BH60" s="723"/>
      <c r="BI60" s="723"/>
      <c r="BJ60" s="723"/>
      <c r="BK60" s="724"/>
      <c r="BL60" s="722"/>
      <c r="BM60" s="723"/>
      <c r="BN60" s="723"/>
      <c r="BO60" s="723"/>
      <c r="BP60" s="725"/>
      <c r="BQ60" s="725"/>
      <c r="BR60" s="722" t="str">
        <f>IF(BP60="","",IF(OR(AND(Rev="H",Calculations!$F$27=TRUE),AND(Rev&lt;&gt;"H",Calculations!$F$30=TRUE)),IF(BP60&lt;=1,"Pass","Fail"),IF(BP60&lt;=1.05,"Pass","Fail")))</f>
        <v/>
      </c>
      <c r="BS60" s="723"/>
      <c r="BT60" s="724"/>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91"/>
      <c r="CP60" s="792"/>
      <c r="CQ60" s="793"/>
      <c r="CR60" s="791"/>
      <c r="CS60" s="792"/>
      <c r="CT60" s="793"/>
      <c r="CU60" s="791" t="str">
        <f t="shared" si="7"/>
        <v/>
      </c>
      <c r="CV60" s="792"/>
      <c r="CW60" s="807"/>
      <c r="CX60" s="808"/>
      <c r="CY60" s="730"/>
      <c r="CZ60" s="809"/>
      <c r="DA60" s="733"/>
      <c r="DB60" s="734"/>
      <c r="DC60" s="735"/>
      <c r="DD60" s="729" t="str">
        <f t="shared" si="8"/>
        <v/>
      </c>
      <c r="DE60" s="730"/>
      <c r="DF60" s="731"/>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6" t="str">
        <f t="shared" si="4"/>
        <v/>
      </c>
      <c r="E61" s="767"/>
      <c r="F61" s="17" t="str">
        <f t="shared" si="2"/>
        <v/>
      </c>
      <c r="G61" s="768"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9"/>
      <c r="I61" s="228"/>
      <c r="J61" s="228"/>
      <c r="K61" s="228"/>
      <c r="L61" s="717" t="str">
        <f t="shared" si="10"/>
        <v/>
      </c>
      <c r="M61" s="717"/>
      <c r="N61" s="717"/>
      <c r="O61" s="717"/>
      <c r="P61" s="717" t="str">
        <f>IF(OR(G61=0,G61=""),"",IF(VLOOKUP(G61,'Geometry 2'!$C$4:$AI$14,1,TRUE)=VLOOKUP(G62,'Geometry 2'!$C$4:$AI$14,1,TRUE),"",IF(VLOOKUP(G61,'Geometry 2'!$C$4:$AI$14,33,TRUE)&lt;&gt;"n/a",MIN(G61,VLOOKUP(G61,'Geometry 2'!$C$4:$AI$14,1,TRUE))-VLOOKUP(G61,'Geometry 2'!$C$4:$AI$14,33,TRUE),"check")))</f>
        <v/>
      </c>
      <c r="Q61" s="717"/>
      <c r="R61" s="717"/>
      <c r="S61" s="717"/>
      <c r="T61" s="717" t="str">
        <f>IF($G61="","",VLOOKUP($G61,'Geometry 2'!$E$4:$AH$14,11,TRUE))</f>
        <v/>
      </c>
      <c r="U61" s="717"/>
      <c r="V61" s="717"/>
      <c r="W61" s="717"/>
      <c r="X61" s="716" t="str">
        <f>IF($G61="","",VLOOKUP($G61,'Geometry 2'!$E$4:$AJ$14,19,TRUE)-12*VLOOKUP($G61,'Geometry 2'!$E$4:$AJ$14,32,TRUE)*($D61-VLOOKUP($G61,'Geometry 2'!$E$5:$AH$14,1,TRUE)))</f>
        <v/>
      </c>
      <c r="Y61" s="716"/>
      <c r="Z61" s="716"/>
      <c r="AA61" s="716"/>
      <c r="AB61" s="757" t="str">
        <f>IF($G61="","",VLOOKUP($G61,'Geometry 2'!$E$4:$AJ$14,19,TRUE)-12*VLOOKUP($G61,'Geometry 2'!$E$4:$AJ$14,32,TRUE)*($G61-VLOOKUP($G61,'Geometry 2'!$E$5:$AH$14,1,TRUE)))</f>
        <v/>
      </c>
      <c r="AC61" s="758"/>
      <c r="AD61" s="758"/>
      <c r="AE61" s="759"/>
      <c r="AF61" s="716" t="str">
        <f>IF($G61="","",VLOOKUP($G61,'Geometry 2'!$E$4:$AJ$14,19,TRUE)-12*VLOOKUP($G61,'Geometry 2'!$E$4:$AJ$14,32,TRUE)*($G61-IF($P61="",0,$P61)-VLOOKUP($G61,'Geometry 2'!$E$5:$AH$14,1,TRUE)))</f>
        <v/>
      </c>
      <c r="AG61" s="716"/>
      <c r="AH61" s="716"/>
      <c r="AI61" s="716"/>
      <c r="AJ61" s="746" t="str">
        <f>IF($G61="","",VLOOKUP($G61,'Geometry 2'!$E$4:$AH$14,23,TRUE))</f>
        <v/>
      </c>
      <c r="AK61" s="747"/>
      <c r="AL61" s="747"/>
      <c r="AM61" s="748"/>
      <c r="AN61" s="717"/>
      <c r="AO61" s="717"/>
      <c r="AP61" s="717"/>
      <c r="AQ61" s="717"/>
      <c r="AR61" s="717" t="str">
        <f>IF($G61="","",VLOOKUP($G61,'Geometry 2'!$E$4:$AH$14,27,TRUE))</f>
        <v/>
      </c>
      <c r="AS61" s="717"/>
      <c r="AT61" s="717"/>
      <c r="AU61" s="718"/>
      <c r="AV61" s="715"/>
      <c r="AW61" s="716"/>
      <c r="AX61" s="716"/>
      <c r="AZ61" s="722" t="str">
        <f t="shared" si="5"/>
        <v/>
      </c>
      <c r="BA61" s="723"/>
      <c r="BB61" s="723"/>
      <c r="BC61" s="724"/>
      <c r="BD61" s="722"/>
      <c r="BE61" s="723"/>
      <c r="BF61" s="723"/>
      <c r="BG61" s="722" t="str">
        <f t="shared" si="9"/>
        <v/>
      </c>
      <c r="BH61" s="723"/>
      <c r="BI61" s="723"/>
      <c r="BJ61" s="723"/>
      <c r="BK61" s="724"/>
      <c r="BL61" s="722"/>
      <c r="BM61" s="723"/>
      <c r="BN61" s="723"/>
      <c r="BO61" s="723"/>
      <c r="BP61" s="725"/>
      <c r="BQ61" s="725"/>
      <c r="BR61" s="722" t="str">
        <f>IF(BP61="","",IF(OR(AND(Rev="H",Calculations!$F$27=TRUE),AND(Rev&lt;&gt;"H",Calculations!$F$30=TRUE)),IF(BP61&lt;=1,"Pass","Fail"),IF(BP61&lt;=1.05,"Pass","Fail")))</f>
        <v/>
      </c>
      <c r="BS61" s="723"/>
      <c r="BT61" s="724"/>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98"/>
      <c r="CP61" s="799"/>
      <c r="CQ61" s="800"/>
      <c r="CR61" s="798"/>
      <c r="CS61" s="799"/>
      <c r="CT61" s="800"/>
      <c r="CU61" s="798" t="str">
        <f t="shared" si="7"/>
        <v/>
      </c>
      <c r="CV61" s="799"/>
      <c r="CW61" s="806"/>
      <c r="CX61" s="726"/>
      <c r="CY61" s="727"/>
      <c r="CZ61" s="732"/>
      <c r="DA61" s="726"/>
      <c r="DB61" s="727"/>
      <c r="DC61" s="732"/>
      <c r="DD61" s="726" t="str">
        <f t="shared" si="8"/>
        <v/>
      </c>
      <c r="DE61" s="727"/>
      <c r="DF61" s="728"/>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6" t="str">
        <f t="shared" si="4"/>
        <v/>
      </c>
      <c r="E62" s="767"/>
      <c r="F62" s="17" t="str">
        <f t="shared" si="2"/>
        <v/>
      </c>
      <c r="G62" s="768"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9"/>
      <c r="I62" s="228"/>
      <c r="J62" s="228"/>
      <c r="K62" s="228"/>
      <c r="L62" s="717" t="str">
        <f t="shared" si="10"/>
        <v/>
      </c>
      <c r="M62" s="717"/>
      <c r="N62" s="717"/>
      <c r="O62" s="717"/>
      <c r="P62" s="717" t="str">
        <f>IF(OR(G62=0,G62=""),"",IF(VLOOKUP(G62,'Geometry 2'!$C$4:$AI$14,1,TRUE)=VLOOKUP(G63,'Geometry 2'!$C$4:$AI$14,1,TRUE),"",IF(VLOOKUP(G62,'Geometry 2'!$C$4:$AI$14,33,TRUE)&lt;&gt;"n/a",MIN(G62,VLOOKUP(G62,'Geometry 2'!$C$4:$AI$14,1,TRUE))-VLOOKUP(G62,'Geometry 2'!$C$4:$AI$14,33,TRUE),"check")))</f>
        <v/>
      </c>
      <c r="Q62" s="717"/>
      <c r="R62" s="717"/>
      <c r="S62" s="717"/>
      <c r="T62" s="717" t="str">
        <f>IF($G62="","",VLOOKUP($G62,'Geometry 2'!$E$4:$AH$14,11,TRUE))</f>
        <v/>
      </c>
      <c r="U62" s="717"/>
      <c r="V62" s="717"/>
      <c r="W62" s="717"/>
      <c r="X62" s="716" t="str">
        <f>IF($G62="","",VLOOKUP($G62,'Geometry 2'!$E$4:$AJ$14,19,TRUE)-12*VLOOKUP($G62,'Geometry 2'!$E$4:$AJ$14,32,TRUE)*($D62-VLOOKUP($G62,'Geometry 2'!$E$5:$AH$14,1,TRUE)))</f>
        <v/>
      </c>
      <c r="Y62" s="716"/>
      <c r="Z62" s="716"/>
      <c r="AA62" s="716"/>
      <c r="AB62" s="757" t="str">
        <f>IF($G62="","",VLOOKUP($G62,'Geometry 2'!$E$4:$AJ$14,19,TRUE)-12*VLOOKUP($G62,'Geometry 2'!$E$4:$AJ$14,32,TRUE)*($G62-VLOOKUP($G62,'Geometry 2'!$E$5:$AH$14,1,TRUE)))</f>
        <v/>
      </c>
      <c r="AC62" s="758"/>
      <c r="AD62" s="758"/>
      <c r="AE62" s="759"/>
      <c r="AF62" s="716" t="str">
        <f>IF($G62="","",VLOOKUP($G62,'Geometry 2'!$E$4:$AJ$14,19,TRUE)-12*VLOOKUP($G62,'Geometry 2'!$E$4:$AJ$14,32,TRUE)*($G62-IF($P62="",0,$P62)-VLOOKUP($G62,'Geometry 2'!$E$5:$AH$14,1,TRUE)))</f>
        <v/>
      </c>
      <c r="AG62" s="716"/>
      <c r="AH62" s="716"/>
      <c r="AI62" s="716"/>
      <c r="AJ62" s="746" t="str">
        <f>IF($G62="","",VLOOKUP($G62,'Geometry 2'!$E$4:$AH$14,23,TRUE))</f>
        <v/>
      </c>
      <c r="AK62" s="747"/>
      <c r="AL62" s="747"/>
      <c r="AM62" s="748"/>
      <c r="AN62" s="717"/>
      <c r="AO62" s="717"/>
      <c r="AP62" s="717"/>
      <c r="AQ62" s="717"/>
      <c r="AR62" s="717" t="str">
        <f>IF($G62="","",VLOOKUP($G62,'Geometry 2'!$E$4:$AH$14,27,TRUE))</f>
        <v/>
      </c>
      <c r="AS62" s="717"/>
      <c r="AT62" s="717"/>
      <c r="AU62" s="718"/>
      <c r="AV62" s="715"/>
      <c r="AW62" s="716"/>
      <c r="AX62" s="716"/>
      <c r="AZ62" s="722" t="str">
        <f t="shared" si="5"/>
        <v/>
      </c>
      <c r="BA62" s="723"/>
      <c r="BB62" s="723"/>
      <c r="BC62" s="724"/>
      <c r="BD62" s="722"/>
      <c r="BE62" s="723"/>
      <c r="BF62" s="723"/>
      <c r="BG62" s="722" t="str">
        <f t="shared" si="9"/>
        <v/>
      </c>
      <c r="BH62" s="723"/>
      <c r="BI62" s="723"/>
      <c r="BJ62" s="723"/>
      <c r="BK62" s="724"/>
      <c r="BL62" s="722"/>
      <c r="BM62" s="723"/>
      <c r="BN62" s="723"/>
      <c r="BO62" s="723"/>
      <c r="BP62" s="725"/>
      <c r="BQ62" s="725"/>
      <c r="BR62" s="722" t="str">
        <f>IF(BP62="","",IF(OR(AND(Rev="H",Calculations!$F$27=TRUE),AND(Rev&lt;&gt;"H",Calculations!$F$30=TRUE)),IF(BP62&lt;=1,"Pass","Fail"),IF(BP62&lt;=1.05,"Pass","Fail")))</f>
        <v/>
      </c>
      <c r="BS62" s="723"/>
      <c r="BT62" s="724"/>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91"/>
      <c r="CP62" s="792"/>
      <c r="CQ62" s="793"/>
      <c r="CR62" s="791"/>
      <c r="CS62" s="792"/>
      <c r="CT62" s="793"/>
      <c r="CU62" s="791" t="str">
        <f t="shared" si="7"/>
        <v/>
      </c>
      <c r="CV62" s="792"/>
      <c r="CW62" s="807"/>
      <c r="CX62" s="808"/>
      <c r="CY62" s="730"/>
      <c r="CZ62" s="809"/>
      <c r="DA62" s="733"/>
      <c r="DB62" s="734"/>
      <c r="DC62" s="735"/>
      <c r="DD62" s="729" t="str">
        <f t="shared" si="8"/>
        <v/>
      </c>
      <c r="DE62" s="730"/>
      <c r="DF62" s="731"/>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6" t="str">
        <f t="shared" si="4"/>
        <v/>
      </c>
      <c r="E63" s="767"/>
      <c r="F63" s="17" t="str">
        <f t="shared" si="2"/>
        <v/>
      </c>
      <c r="G63" s="768"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9"/>
      <c r="I63" s="228"/>
      <c r="J63" s="228"/>
      <c r="K63" s="228"/>
      <c r="L63" s="717" t="str">
        <f t="shared" si="10"/>
        <v/>
      </c>
      <c r="M63" s="717"/>
      <c r="N63" s="717"/>
      <c r="O63" s="717"/>
      <c r="P63" s="717" t="str">
        <f>IF(OR(G63=0,G63=""),"",IF(VLOOKUP(G63,'Geometry 2'!$C$4:$AI$14,1,TRUE)=VLOOKUP(G64,'Geometry 2'!$C$4:$AI$14,1,TRUE),"",IF(VLOOKUP(G63,'Geometry 2'!$C$4:$AI$14,33,TRUE)&lt;&gt;"n/a",MIN(G63,VLOOKUP(G63,'Geometry 2'!$C$4:$AI$14,1,TRUE))-VLOOKUP(G63,'Geometry 2'!$C$4:$AI$14,33,TRUE),"check")))</f>
        <v/>
      </c>
      <c r="Q63" s="717"/>
      <c r="R63" s="717"/>
      <c r="S63" s="717"/>
      <c r="T63" s="717" t="str">
        <f>IF($G63="","",VLOOKUP($G63,'Geometry 2'!$E$4:$AH$14,11,TRUE))</f>
        <v/>
      </c>
      <c r="U63" s="717"/>
      <c r="V63" s="717"/>
      <c r="W63" s="717"/>
      <c r="X63" s="716" t="str">
        <f>IF($G63="","",VLOOKUP($G63,'Geometry 2'!$E$4:$AJ$14,19,TRUE)-12*VLOOKUP($G63,'Geometry 2'!$E$4:$AJ$14,32,TRUE)*($D63-VLOOKUP($G63,'Geometry 2'!$E$5:$AH$14,1,TRUE)))</f>
        <v/>
      </c>
      <c r="Y63" s="716"/>
      <c r="Z63" s="716"/>
      <c r="AA63" s="716"/>
      <c r="AB63" s="757" t="str">
        <f>IF($G63="","",VLOOKUP($G63,'Geometry 2'!$E$4:$AJ$14,19,TRUE)-12*VLOOKUP($G63,'Geometry 2'!$E$4:$AJ$14,32,TRUE)*($G63-VLOOKUP($G63,'Geometry 2'!$E$5:$AH$14,1,TRUE)))</f>
        <v/>
      </c>
      <c r="AC63" s="758"/>
      <c r="AD63" s="758"/>
      <c r="AE63" s="759"/>
      <c r="AF63" s="716" t="str">
        <f>IF($G63="","",VLOOKUP($G63,'Geometry 2'!$E$4:$AJ$14,19,TRUE)-12*VLOOKUP($G63,'Geometry 2'!$E$4:$AJ$14,32,TRUE)*($G63-IF($P63="",0,$P63)-VLOOKUP($G63,'Geometry 2'!$E$5:$AH$14,1,TRUE)))</f>
        <v/>
      </c>
      <c r="AG63" s="716"/>
      <c r="AH63" s="716"/>
      <c r="AI63" s="716"/>
      <c r="AJ63" s="746" t="str">
        <f>IF($G63="","",VLOOKUP($G63,'Geometry 2'!$E$4:$AH$14,23,TRUE))</f>
        <v/>
      </c>
      <c r="AK63" s="747"/>
      <c r="AL63" s="747"/>
      <c r="AM63" s="748"/>
      <c r="AN63" s="717"/>
      <c r="AO63" s="717"/>
      <c r="AP63" s="717"/>
      <c r="AQ63" s="717"/>
      <c r="AR63" s="717" t="str">
        <f>IF($G63="","",VLOOKUP($G63,'Geometry 2'!$E$4:$AH$14,27,TRUE))</f>
        <v/>
      </c>
      <c r="AS63" s="717"/>
      <c r="AT63" s="717"/>
      <c r="AU63" s="718"/>
      <c r="AV63" s="715"/>
      <c r="AW63" s="716"/>
      <c r="AX63" s="716"/>
      <c r="AZ63" s="722" t="str">
        <f t="shared" si="5"/>
        <v/>
      </c>
      <c r="BA63" s="723"/>
      <c r="BB63" s="723"/>
      <c r="BC63" s="724"/>
      <c r="BD63" s="722"/>
      <c r="BE63" s="723"/>
      <c r="BF63" s="723"/>
      <c r="BG63" s="722" t="str">
        <f t="shared" si="9"/>
        <v/>
      </c>
      <c r="BH63" s="723"/>
      <c r="BI63" s="723"/>
      <c r="BJ63" s="723"/>
      <c r="BK63" s="724"/>
      <c r="BL63" s="722"/>
      <c r="BM63" s="723"/>
      <c r="BN63" s="723"/>
      <c r="BO63" s="723"/>
      <c r="BP63" s="725"/>
      <c r="BQ63" s="725"/>
      <c r="BR63" s="722" t="str">
        <f>IF(BP63="","",IF(OR(AND(Rev="H",Calculations!$F$27=TRUE),AND(Rev&lt;&gt;"H",Calculations!$F$30=TRUE)),IF(BP63&lt;=1,"Pass","Fail"),IF(BP63&lt;=1.05,"Pass","Fail")))</f>
        <v/>
      </c>
      <c r="BS63" s="723"/>
      <c r="BT63" s="724"/>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98"/>
      <c r="CP63" s="799"/>
      <c r="CQ63" s="800"/>
      <c r="CR63" s="798"/>
      <c r="CS63" s="799"/>
      <c r="CT63" s="800"/>
      <c r="CU63" s="798" t="str">
        <f t="shared" si="7"/>
        <v/>
      </c>
      <c r="CV63" s="799"/>
      <c r="CW63" s="806"/>
      <c r="CX63" s="726"/>
      <c r="CY63" s="727"/>
      <c r="CZ63" s="732"/>
      <c r="DA63" s="726"/>
      <c r="DB63" s="727"/>
      <c r="DC63" s="732"/>
      <c r="DD63" s="726" t="str">
        <f t="shared" si="8"/>
        <v/>
      </c>
      <c r="DE63" s="727"/>
      <c r="DF63" s="728"/>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6" t="str">
        <f t="shared" si="4"/>
        <v/>
      </c>
      <c r="E64" s="767"/>
      <c r="F64" s="17" t="str">
        <f t="shared" si="2"/>
        <v/>
      </c>
      <c r="G64" s="768"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9"/>
      <c r="I64" s="228"/>
      <c r="J64" s="228"/>
      <c r="K64" s="228"/>
      <c r="L64" s="717" t="str">
        <f t="shared" si="10"/>
        <v/>
      </c>
      <c r="M64" s="717"/>
      <c r="N64" s="717"/>
      <c r="O64" s="717"/>
      <c r="P64" s="717" t="str">
        <f>IF(OR(G64=0,G64=""),"",IF(VLOOKUP(G64,'Geometry 2'!$C$4:$AI$14,1,TRUE)=VLOOKUP(G65,'Geometry 2'!$C$4:$AI$14,1,TRUE),"",IF(VLOOKUP(G64,'Geometry 2'!$C$4:$AI$14,33,TRUE)&lt;&gt;"n/a",MIN(G64,VLOOKUP(G64,'Geometry 2'!$C$4:$AI$14,1,TRUE))-VLOOKUP(G64,'Geometry 2'!$C$4:$AI$14,33,TRUE),"check")))</f>
        <v/>
      </c>
      <c r="Q64" s="717"/>
      <c r="R64" s="717"/>
      <c r="S64" s="717"/>
      <c r="T64" s="717" t="str">
        <f>IF($G64="","",VLOOKUP($G64,'Geometry 2'!$E$4:$AH$14,11,TRUE))</f>
        <v/>
      </c>
      <c r="U64" s="717"/>
      <c r="V64" s="717"/>
      <c r="W64" s="717"/>
      <c r="X64" s="716" t="str">
        <f>IF($G64="","",VLOOKUP($G64,'Geometry 2'!$E$4:$AJ$14,19,TRUE)-12*VLOOKUP($G64,'Geometry 2'!$E$4:$AJ$14,32,TRUE)*($D64-VLOOKUP($G64,'Geometry 2'!$E$5:$AH$14,1,TRUE)))</f>
        <v/>
      </c>
      <c r="Y64" s="716"/>
      <c r="Z64" s="716"/>
      <c r="AA64" s="716"/>
      <c r="AB64" s="757" t="str">
        <f>IF($G64="","",VLOOKUP($G64,'Geometry 2'!$E$4:$AJ$14,19,TRUE)-12*VLOOKUP($G64,'Geometry 2'!$E$4:$AJ$14,32,TRUE)*($G64-VLOOKUP($G64,'Geometry 2'!$E$5:$AH$14,1,TRUE)))</f>
        <v/>
      </c>
      <c r="AC64" s="758"/>
      <c r="AD64" s="758"/>
      <c r="AE64" s="759"/>
      <c r="AF64" s="716" t="str">
        <f>IF($G64="","",VLOOKUP($G64,'Geometry 2'!$E$4:$AJ$14,19,TRUE)-12*VLOOKUP($G64,'Geometry 2'!$E$4:$AJ$14,32,TRUE)*($G64-IF($P64="",0,$P64)-VLOOKUP($G64,'Geometry 2'!$E$5:$AH$14,1,TRUE)))</f>
        <v/>
      </c>
      <c r="AG64" s="716"/>
      <c r="AH64" s="716"/>
      <c r="AI64" s="716"/>
      <c r="AJ64" s="746" t="str">
        <f>IF($G64="","",VLOOKUP($G64,'Geometry 2'!$E$4:$AH$14,23,TRUE))</f>
        <v/>
      </c>
      <c r="AK64" s="747"/>
      <c r="AL64" s="747"/>
      <c r="AM64" s="748"/>
      <c r="AN64" s="717"/>
      <c r="AO64" s="717"/>
      <c r="AP64" s="717"/>
      <c r="AQ64" s="717"/>
      <c r="AR64" s="717" t="str">
        <f>IF($G64="","",VLOOKUP($G64,'Geometry 2'!$E$4:$AH$14,27,TRUE))</f>
        <v/>
      </c>
      <c r="AS64" s="717"/>
      <c r="AT64" s="717"/>
      <c r="AU64" s="718"/>
      <c r="AV64" s="715"/>
      <c r="AW64" s="716"/>
      <c r="AX64" s="716"/>
      <c r="AZ64" s="722" t="str">
        <f t="shared" si="5"/>
        <v/>
      </c>
      <c r="BA64" s="723"/>
      <c r="BB64" s="723"/>
      <c r="BC64" s="724"/>
      <c r="BD64" s="722"/>
      <c r="BE64" s="723"/>
      <c r="BF64" s="723"/>
      <c r="BG64" s="722" t="str">
        <f t="shared" si="9"/>
        <v/>
      </c>
      <c r="BH64" s="723"/>
      <c r="BI64" s="723"/>
      <c r="BJ64" s="723"/>
      <c r="BK64" s="724"/>
      <c r="BL64" s="722"/>
      <c r="BM64" s="723"/>
      <c r="BN64" s="723"/>
      <c r="BO64" s="723"/>
      <c r="BP64" s="725"/>
      <c r="BQ64" s="725"/>
      <c r="BR64" s="722" t="str">
        <f>IF(BP64="","",IF(OR(AND(Rev="H",Calculations!$F$27=TRUE),AND(Rev&lt;&gt;"H",Calculations!$F$30=TRUE)),IF(BP64&lt;=1,"Pass","Fail"),IF(BP64&lt;=1.05,"Pass","Fail")))</f>
        <v/>
      </c>
      <c r="BS64" s="723"/>
      <c r="BT64" s="724"/>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91"/>
      <c r="CP64" s="792"/>
      <c r="CQ64" s="793"/>
      <c r="CR64" s="791"/>
      <c r="CS64" s="792"/>
      <c r="CT64" s="793"/>
      <c r="CU64" s="791" t="str">
        <f t="shared" si="7"/>
        <v/>
      </c>
      <c r="CV64" s="792"/>
      <c r="CW64" s="807"/>
      <c r="CX64" s="808"/>
      <c r="CY64" s="730"/>
      <c r="CZ64" s="809"/>
      <c r="DA64" s="733"/>
      <c r="DB64" s="734"/>
      <c r="DC64" s="735"/>
      <c r="DD64" s="729" t="str">
        <f t="shared" si="8"/>
        <v/>
      </c>
      <c r="DE64" s="730"/>
      <c r="DF64" s="731"/>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6" t="str">
        <f t="shared" si="4"/>
        <v/>
      </c>
      <c r="E65" s="767"/>
      <c r="F65" s="17" t="str">
        <f t="shared" si="2"/>
        <v/>
      </c>
      <c r="G65" s="768"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9"/>
      <c r="I65" s="228"/>
      <c r="J65" s="228"/>
      <c r="K65" s="228"/>
      <c r="L65" s="717" t="str">
        <f t="shared" si="10"/>
        <v/>
      </c>
      <c r="M65" s="717"/>
      <c r="N65" s="717"/>
      <c r="O65" s="717"/>
      <c r="P65" s="717" t="str">
        <f>IF(OR(G65=0,G65=""),"",IF(VLOOKUP(G65,'Geometry 2'!$C$4:$AI$14,1,TRUE)=VLOOKUP(G66,'Geometry 2'!$C$4:$AI$14,1,TRUE),"",IF(VLOOKUP(G65,'Geometry 2'!$C$4:$AI$14,33,TRUE)&lt;&gt;"n/a",MIN(G65,VLOOKUP(G65,'Geometry 2'!$C$4:$AI$14,1,TRUE))-VLOOKUP(G65,'Geometry 2'!$C$4:$AI$14,33,TRUE),"check")))</f>
        <v/>
      </c>
      <c r="Q65" s="717"/>
      <c r="R65" s="717"/>
      <c r="S65" s="717"/>
      <c r="T65" s="717" t="str">
        <f>IF($G65="","",VLOOKUP($G65,'Geometry 2'!$E$4:$AH$14,11,TRUE))</f>
        <v/>
      </c>
      <c r="U65" s="717"/>
      <c r="V65" s="717"/>
      <c r="W65" s="717"/>
      <c r="X65" s="716" t="str">
        <f>IF($G65="","",VLOOKUP($G65,'Geometry 2'!$E$4:$AJ$14,19,TRUE)-12*VLOOKUP($G65,'Geometry 2'!$E$4:$AJ$14,32,TRUE)*($D65-VLOOKUP($G65,'Geometry 2'!$E$5:$AH$14,1,TRUE)))</f>
        <v/>
      </c>
      <c r="Y65" s="716"/>
      <c r="Z65" s="716"/>
      <c r="AA65" s="716"/>
      <c r="AB65" s="757" t="str">
        <f>IF($G65="","",VLOOKUP($G65,'Geometry 2'!$E$4:$AJ$14,19,TRUE)-12*VLOOKUP($G65,'Geometry 2'!$E$4:$AJ$14,32,TRUE)*($G65-VLOOKUP($G65,'Geometry 2'!$E$5:$AH$14,1,TRUE)))</f>
        <v/>
      </c>
      <c r="AC65" s="758"/>
      <c r="AD65" s="758"/>
      <c r="AE65" s="759"/>
      <c r="AF65" s="716" t="str">
        <f>IF($G65="","",VLOOKUP($G65,'Geometry 2'!$E$4:$AJ$14,19,TRUE)-12*VLOOKUP($G65,'Geometry 2'!$E$4:$AJ$14,32,TRUE)*($G65-IF($P65="",0,$P65)-VLOOKUP($G65,'Geometry 2'!$E$5:$AH$14,1,TRUE)))</f>
        <v/>
      </c>
      <c r="AG65" s="716"/>
      <c r="AH65" s="716"/>
      <c r="AI65" s="716"/>
      <c r="AJ65" s="746" t="str">
        <f>IF($G65="","",VLOOKUP($G65,'Geometry 2'!$E$4:$AH$14,23,TRUE))</f>
        <v/>
      </c>
      <c r="AK65" s="747"/>
      <c r="AL65" s="747"/>
      <c r="AM65" s="748"/>
      <c r="AN65" s="717"/>
      <c r="AO65" s="717"/>
      <c r="AP65" s="717"/>
      <c r="AQ65" s="717"/>
      <c r="AR65" s="717" t="str">
        <f>IF($G65="","",VLOOKUP($G65,'Geometry 2'!$E$4:$AH$14,27,TRUE))</f>
        <v/>
      </c>
      <c r="AS65" s="717"/>
      <c r="AT65" s="717"/>
      <c r="AU65" s="718"/>
      <c r="AV65" s="715"/>
      <c r="AW65" s="716"/>
      <c r="AX65" s="716"/>
      <c r="AZ65" s="722" t="str">
        <f t="shared" si="5"/>
        <v/>
      </c>
      <c r="BA65" s="723"/>
      <c r="BB65" s="723"/>
      <c r="BC65" s="724"/>
      <c r="BD65" s="722"/>
      <c r="BE65" s="723"/>
      <c r="BF65" s="723"/>
      <c r="BG65" s="722" t="str">
        <f t="shared" si="9"/>
        <v/>
      </c>
      <c r="BH65" s="723"/>
      <c r="BI65" s="723"/>
      <c r="BJ65" s="723"/>
      <c r="BK65" s="724"/>
      <c r="BL65" s="722"/>
      <c r="BM65" s="723"/>
      <c r="BN65" s="723"/>
      <c r="BO65" s="723"/>
      <c r="BP65" s="725"/>
      <c r="BQ65" s="725"/>
      <c r="BR65" s="722" t="str">
        <f>IF(BP65="","",IF(OR(AND(Rev="H",Calculations!$F$27=TRUE),AND(Rev&lt;&gt;"H",Calculations!$F$30=TRUE)),IF(BP65&lt;=1,"Pass","Fail"),IF(BP65&lt;=1.05,"Pass","Fail")))</f>
        <v/>
      </c>
      <c r="BS65" s="723"/>
      <c r="BT65" s="724"/>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98"/>
      <c r="CP65" s="799"/>
      <c r="CQ65" s="800"/>
      <c r="CR65" s="798"/>
      <c r="CS65" s="799"/>
      <c r="CT65" s="800"/>
      <c r="CU65" s="798" t="str">
        <f t="shared" si="7"/>
        <v/>
      </c>
      <c r="CV65" s="799"/>
      <c r="CW65" s="806"/>
      <c r="CX65" s="726"/>
      <c r="CY65" s="727"/>
      <c r="CZ65" s="732"/>
      <c r="DA65" s="726"/>
      <c r="DB65" s="727"/>
      <c r="DC65" s="732"/>
      <c r="DD65" s="726" t="str">
        <f t="shared" si="8"/>
        <v/>
      </c>
      <c r="DE65" s="727"/>
      <c r="DF65" s="728"/>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6" t="str">
        <f t="shared" si="4"/>
        <v/>
      </c>
      <c r="E66" s="767"/>
      <c r="F66" s="17" t="str">
        <f t="shared" si="2"/>
        <v/>
      </c>
      <c r="G66" s="768"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9"/>
      <c r="I66" s="228"/>
      <c r="J66" s="228"/>
      <c r="K66" s="228"/>
      <c r="L66" s="717" t="str">
        <f t="shared" si="10"/>
        <v/>
      </c>
      <c r="M66" s="717"/>
      <c r="N66" s="717"/>
      <c r="O66" s="717"/>
      <c r="P66" s="717" t="str">
        <f>IF(OR(G66=0,G66=""),"",IF(VLOOKUP(G66,'Geometry 2'!$C$4:$AI$14,1,TRUE)=VLOOKUP(G67,'Geometry 2'!$C$4:$AI$14,1,TRUE),"",IF(VLOOKUP(G66,'Geometry 2'!$C$4:$AI$14,33,TRUE)&lt;&gt;"n/a",MIN(G66,VLOOKUP(G66,'Geometry 2'!$C$4:$AI$14,1,TRUE))-VLOOKUP(G66,'Geometry 2'!$C$4:$AI$14,33,TRUE),"check")))</f>
        <v/>
      </c>
      <c r="Q66" s="717"/>
      <c r="R66" s="717"/>
      <c r="S66" s="717"/>
      <c r="T66" s="717" t="str">
        <f>IF($G66="","",VLOOKUP($G66,'Geometry 2'!$E$4:$AH$14,11,TRUE))</f>
        <v/>
      </c>
      <c r="U66" s="717"/>
      <c r="V66" s="717"/>
      <c r="W66" s="717"/>
      <c r="X66" s="716" t="str">
        <f>IF($G66="","",VLOOKUP($G66,'Geometry 2'!$E$4:$AJ$14,19,TRUE)-12*VLOOKUP($G66,'Geometry 2'!$E$4:$AJ$14,32,TRUE)*($D66-VLOOKUP($G66,'Geometry 2'!$E$5:$AH$14,1,TRUE)))</f>
        <v/>
      </c>
      <c r="Y66" s="716"/>
      <c r="Z66" s="716"/>
      <c r="AA66" s="716"/>
      <c r="AB66" s="757" t="str">
        <f>IF($G66="","",VLOOKUP($G66,'Geometry 2'!$E$4:$AJ$14,19,TRUE)-12*VLOOKUP($G66,'Geometry 2'!$E$4:$AJ$14,32,TRUE)*($G66-VLOOKUP($G66,'Geometry 2'!$E$5:$AH$14,1,TRUE)))</f>
        <v/>
      </c>
      <c r="AC66" s="758"/>
      <c r="AD66" s="758"/>
      <c r="AE66" s="759"/>
      <c r="AF66" s="716" t="str">
        <f>IF($G66="","",VLOOKUP($G66,'Geometry 2'!$E$4:$AJ$14,19,TRUE)-12*VLOOKUP($G66,'Geometry 2'!$E$4:$AJ$14,32,TRUE)*($G66-IF($P66="",0,$P66)-VLOOKUP($G66,'Geometry 2'!$E$5:$AH$14,1,TRUE)))</f>
        <v/>
      </c>
      <c r="AG66" s="716"/>
      <c r="AH66" s="716"/>
      <c r="AI66" s="716"/>
      <c r="AJ66" s="746" t="str">
        <f>IF($G66="","",VLOOKUP($G66,'Geometry 2'!$E$4:$AH$14,23,TRUE))</f>
        <v/>
      </c>
      <c r="AK66" s="747"/>
      <c r="AL66" s="747"/>
      <c r="AM66" s="748"/>
      <c r="AN66" s="717"/>
      <c r="AO66" s="717"/>
      <c r="AP66" s="717"/>
      <c r="AQ66" s="717"/>
      <c r="AR66" s="717" t="str">
        <f>IF($G66="","",VLOOKUP($G66,'Geometry 2'!$E$4:$AH$14,27,TRUE))</f>
        <v/>
      </c>
      <c r="AS66" s="717"/>
      <c r="AT66" s="717"/>
      <c r="AU66" s="718"/>
      <c r="AV66" s="715"/>
      <c r="AW66" s="716"/>
      <c r="AX66" s="716"/>
      <c r="AZ66" s="722" t="str">
        <f t="shared" si="5"/>
        <v/>
      </c>
      <c r="BA66" s="723"/>
      <c r="BB66" s="723"/>
      <c r="BC66" s="724"/>
      <c r="BD66" s="722"/>
      <c r="BE66" s="723"/>
      <c r="BF66" s="723"/>
      <c r="BG66" s="722" t="str">
        <f t="shared" si="9"/>
        <v/>
      </c>
      <c r="BH66" s="723"/>
      <c r="BI66" s="723"/>
      <c r="BJ66" s="723"/>
      <c r="BK66" s="724"/>
      <c r="BL66" s="722"/>
      <c r="BM66" s="723"/>
      <c r="BN66" s="723"/>
      <c r="BO66" s="723"/>
      <c r="BP66" s="725"/>
      <c r="BQ66" s="725"/>
      <c r="BR66" s="722" t="str">
        <f>IF(BP66="","",IF(OR(AND(Rev="H",Calculations!$F$27=TRUE),AND(Rev&lt;&gt;"H",Calculations!$F$30=TRUE)),IF(BP66&lt;=1,"Pass","Fail"),IF(BP66&lt;=1.05,"Pass","Fail")))</f>
        <v/>
      </c>
      <c r="BS66" s="723"/>
      <c r="BT66" s="724"/>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91"/>
      <c r="CP66" s="792"/>
      <c r="CQ66" s="793"/>
      <c r="CR66" s="791"/>
      <c r="CS66" s="792"/>
      <c r="CT66" s="793"/>
      <c r="CU66" s="791" t="str">
        <f t="shared" si="7"/>
        <v/>
      </c>
      <c r="CV66" s="792"/>
      <c r="CW66" s="807"/>
      <c r="CX66" s="808"/>
      <c r="CY66" s="730"/>
      <c r="CZ66" s="809"/>
      <c r="DA66" s="733"/>
      <c r="DB66" s="734"/>
      <c r="DC66" s="735"/>
      <c r="DD66" s="729" t="str">
        <f t="shared" si="8"/>
        <v/>
      </c>
      <c r="DE66" s="730"/>
      <c r="DF66" s="731"/>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6" t="str">
        <f t="shared" si="4"/>
        <v/>
      </c>
      <c r="E67" s="767"/>
      <c r="F67" s="17" t="str">
        <f t="shared" si="2"/>
        <v/>
      </c>
      <c r="G67" s="768"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9"/>
      <c r="I67" s="228"/>
      <c r="J67" s="228"/>
      <c r="K67" s="228"/>
      <c r="L67" s="717" t="str">
        <f t="shared" si="10"/>
        <v/>
      </c>
      <c r="M67" s="717"/>
      <c r="N67" s="717"/>
      <c r="O67" s="717"/>
      <c r="P67" s="717" t="str">
        <f>IF(OR(G67=0,G67=""),"",IF(VLOOKUP(G67,'Geometry 2'!$C$4:$AI$14,1,TRUE)=VLOOKUP(G68,'Geometry 2'!$C$4:$AI$14,1,TRUE),"",IF(VLOOKUP(G67,'Geometry 2'!$C$4:$AI$14,33,TRUE)&lt;&gt;"n/a",MIN(G67,VLOOKUP(G67,'Geometry 2'!$C$4:$AI$14,1,TRUE))-VLOOKUP(G67,'Geometry 2'!$C$4:$AI$14,33,TRUE),"check")))</f>
        <v/>
      </c>
      <c r="Q67" s="717"/>
      <c r="R67" s="717"/>
      <c r="S67" s="717"/>
      <c r="T67" s="717" t="str">
        <f>IF($G67="","",VLOOKUP($G67,'Geometry 2'!$E$4:$AH$14,11,TRUE))</f>
        <v/>
      </c>
      <c r="U67" s="717"/>
      <c r="V67" s="717"/>
      <c r="W67" s="717"/>
      <c r="X67" s="716" t="str">
        <f>IF($G67="","",VLOOKUP($G67,'Geometry 2'!$E$4:$AJ$14,19,TRUE)-12*VLOOKUP($G67,'Geometry 2'!$E$4:$AJ$14,32,TRUE)*($D67-VLOOKUP($G67,'Geometry 2'!$E$5:$AH$14,1,TRUE)))</f>
        <v/>
      </c>
      <c r="Y67" s="716"/>
      <c r="Z67" s="716"/>
      <c r="AA67" s="716"/>
      <c r="AB67" s="757" t="str">
        <f>IF($G67="","",VLOOKUP($G67,'Geometry 2'!$E$4:$AJ$14,19,TRUE)-12*VLOOKUP($G67,'Geometry 2'!$E$4:$AJ$14,32,TRUE)*($G67-VLOOKUP($G67,'Geometry 2'!$E$5:$AH$14,1,TRUE)))</f>
        <v/>
      </c>
      <c r="AC67" s="758"/>
      <c r="AD67" s="758"/>
      <c r="AE67" s="759"/>
      <c r="AF67" s="716" t="str">
        <f>IF($G67="","",VLOOKUP($G67,'Geometry 2'!$E$4:$AJ$14,19,TRUE)-12*VLOOKUP($G67,'Geometry 2'!$E$4:$AJ$14,32,TRUE)*($G67-IF($P67="",0,$P67)-VLOOKUP($G67,'Geometry 2'!$E$5:$AH$14,1,TRUE)))</f>
        <v/>
      </c>
      <c r="AG67" s="716"/>
      <c r="AH67" s="716"/>
      <c r="AI67" s="716"/>
      <c r="AJ67" s="746" t="str">
        <f>IF($G67="","",VLOOKUP($G67,'Geometry 2'!$E$4:$AH$14,23,TRUE))</f>
        <v/>
      </c>
      <c r="AK67" s="747"/>
      <c r="AL67" s="747"/>
      <c r="AM67" s="748"/>
      <c r="AN67" s="717"/>
      <c r="AO67" s="717"/>
      <c r="AP67" s="717"/>
      <c r="AQ67" s="717"/>
      <c r="AR67" s="717" t="str">
        <f>IF($G67="","",VLOOKUP($G67,'Geometry 2'!$E$4:$AH$14,27,TRUE))</f>
        <v/>
      </c>
      <c r="AS67" s="717"/>
      <c r="AT67" s="717"/>
      <c r="AU67" s="718"/>
      <c r="AV67" s="715"/>
      <c r="AW67" s="716"/>
      <c r="AX67" s="716"/>
      <c r="AZ67" s="722" t="str">
        <f t="shared" si="5"/>
        <v/>
      </c>
      <c r="BA67" s="723"/>
      <c r="BB67" s="723"/>
      <c r="BC67" s="724"/>
      <c r="BD67" s="722"/>
      <c r="BE67" s="723"/>
      <c r="BF67" s="723"/>
      <c r="BG67" s="722" t="str">
        <f t="shared" si="9"/>
        <v/>
      </c>
      <c r="BH67" s="723"/>
      <c r="BI67" s="723"/>
      <c r="BJ67" s="723"/>
      <c r="BK67" s="724"/>
      <c r="BL67" s="722"/>
      <c r="BM67" s="723"/>
      <c r="BN67" s="723"/>
      <c r="BO67" s="723"/>
      <c r="BP67" s="725"/>
      <c r="BQ67" s="725"/>
      <c r="BR67" s="722" t="str">
        <f>IF(BP67="","",IF(OR(AND(Rev="H",Calculations!$F$27=TRUE),AND(Rev&lt;&gt;"H",Calculations!$F$30=TRUE)),IF(BP67&lt;=1,"Pass","Fail"),IF(BP67&lt;=1.05,"Pass","Fail")))</f>
        <v/>
      </c>
      <c r="BS67" s="723"/>
      <c r="BT67" s="724"/>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98"/>
      <c r="CP67" s="799"/>
      <c r="CQ67" s="800"/>
      <c r="CR67" s="798"/>
      <c r="CS67" s="799"/>
      <c r="CT67" s="800"/>
      <c r="CU67" s="798" t="str">
        <f t="shared" si="7"/>
        <v/>
      </c>
      <c r="CV67" s="799"/>
      <c r="CW67" s="806"/>
      <c r="CX67" s="726"/>
      <c r="CY67" s="727"/>
      <c r="CZ67" s="732"/>
      <c r="DA67" s="726"/>
      <c r="DB67" s="727"/>
      <c r="DC67" s="732"/>
      <c r="DD67" s="726" t="str">
        <f t="shared" si="8"/>
        <v/>
      </c>
      <c r="DE67" s="727"/>
      <c r="DF67" s="728"/>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6" t="str">
        <f t="shared" si="4"/>
        <v/>
      </c>
      <c r="E68" s="767"/>
      <c r="F68" s="17" t="str">
        <f t="shared" si="2"/>
        <v/>
      </c>
      <c r="G68" s="768"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9"/>
      <c r="I68" s="228"/>
      <c r="J68" s="228"/>
      <c r="K68" s="228"/>
      <c r="L68" s="717" t="str">
        <f t="shared" si="10"/>
        <v/>
      </c>
      <c r="M68" s="717"/>
      <c r="N68" s="717"/>
      <c r="O68" s="717"/>
      <c r="P68" s="717" t="str">
        <f>IF(OR(G68=0,G68=""),"",IF(VLOOKUP(G68,'Geometry 2'!$C$4:$AI$14,1,TRUE)=VLOOKUP(G69,'Geometry 2'!$C$4:$AI$14,1,TRUE),"",IF(VLOOKUP(G68,'Geometry 2'!$C$4:$AI$14,33,TRUE)&lt;&gt;"n/a",MIN(G68,VLOOKUP(G68,'Geometry 2'!$C$4:$AI$14,1,TRUE))-VLOOKUP(G68,'Geometry 2'!$C$4:$AI$14,33,TRUE),"check")))</f>
        <v/>
      </c>
      <c r="Q68" s="717"/>
      <c r="R68" s="717"/>
      <c r="S68" s="717"/>
      <c r="T68" s="717" t="str">
        <f>IF($G68="","",VLOOKUP($G68,'Geometry 2'!$E$4:$AH$14,11,TRUE))</f>
        <v/>
      </c>
      <c r="U68" s="717"/>
      <c r="V68" s="717"/>
      <c r="W68" s="717"/>
      <c r="X68" s="716" t="str">
        <f>IF($G68="","",VLOOKUP($G68,'Geometry 2'!$E$4:$AJ$14,19,TRUE)-12*VLOOKUP($G68,'Geometry 2'!$E$4:$AJ$14,32,TRUE)*($D68-VLOOKUP($G68,'Geometry 2'!$E$5:$AH$14,1,TRUE)))</f>
        <v/>
      </c>
      <c r="Y68" s="716"/>
      <c r="Z68" s="716"/>
      <c r="AA68" s="716"/>
      <c r="AB68" s="757" t="str">
        <f>IF($G68="","",VLOOKUP($G68,'Geometry 2'!$E$4:$AJ$14,19,TRUE)-12*VLOOKUP($G68,'Geometry 2'!$E$4:$AJ$14,32,TRUE)*($G68-VLOOKUP($G68,'Geometry 2'!$E$5:$AH$14,1,TRUE)))</f>
        <v/>
      </c>
      <c r="AC68" s="758"/>
      <c r="AD68" s="758"/>
      <c r="AE68" s="759"/>
      <c r="AF68" s="716" t="str">
        <f>IF($G68="","",VLOOKUP($G68,'Geometry 2'!$E$4:$AJ$14,19,TRUE)-12*VLOOKUP($G68,'Geometry 2'!$E$4:$AJ$14,32,TRUE)*($G68-IF($P68="",0,$P68)-VLOOKUP($G68,'Geometry 2'!$E$5:$AH$14,1,TRUE)))</f>
        <v/>
      </c>
      <c r="AG68" s="716"/>
      <c r="AH68" s="716"/>
      <c r="AI68" s="716"/>
      <c r="AJ68" s="746" t="str">
        <f>IF($G68="","",VLOOKUP($G68,'Geometry 2'!$E$4:$AH$14,23,TRUE))</f>
        <v/>
      </c>
      <c r="AK68" s="747"/>
      <c r="AL68" s="747"/>
      <c r="AM68" s="748"/>
      <c r="AN68" s="717"/>
      <c r="AO68" s="717"/>
      <c r="AP68" s="717"/>
      <c r="AQ68" s="717"/>
      <c r="AR68" s="717" t="str">
        <f>IF($G68="","",VLOOKUP($G68,'Geometry 2'!$E$4:$AH$14,27,TRUE))</f>
        <v/>
      </c>
      <c r="AS68" s="717"/>
      <c r="AT68" s="717"/>
      <c r="AU68" s="718"/>
      <c r="AV68" s="715"/>
      <c r="AW68" s="716"/>
      <c r="AX68" s="716"/>
      <c r="AZ68" s="722" t="str">
        <f t="shared" si="5"/>
        <v/>
      </c>
      <c r="BA68" s="723"/>
      <c r="BB68" s="723"/>
      <c r="BC68" s="724"/>
      <c r="BD68" s="722"/>
      <c r="BE68" s="723"/>
      <c r="BF68" s="723"/>
      <c r="BG68" s="722" t="str">
        <f t="shared" si="9"/>
        <v/>
      </c>
      <c r="BH68" s="723"/>
      <c r="BI68" s="723"/>
      <c r="BJ68" s="723"/>
      <c r="BK68" s="724"/>
      <c r="BL68" s="722"/>
      <c r="BM68" s="723"/>
      <c r="BN68" s="723"/>
      <c r="BO68" s="723"/>
      <c r="BP68" s="725"/>
      <c r="BQ68" s="725"/>
      <c r="BR68" s="722" t="str">
        <f>IF(BP68="","",IF(OR(AND(Rev="H",Calculations!$F$27=TRUE),AND(Rev&lt;&gt;"H",Calculations!$F$30=TRUE)),IF(BP68&lt;=1,"Pass","Fail"),IF(BP68&lt;=1.05,"Pass","Fail")))</f>
        <v/>
      </c>
      <c r="BS68" s="723"/>
      <c r="BT68" s="724"/>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91"/>
      <c r="CP68" s="792"/>
      <c r="CQ68" s="793"/>
      <c r="CR68" s="791"/>
      <c r="CS68" s="792"/>
      <c r="CT68" s="793"/>
      <c r="CU68" s="791" t="str">
        <f t="shared" si="7"/>
        <v/>
      </c>
      <c r="CV68" s="792"/>
      <c r="CW68" s="807"/>
      <c r="CX68" s="808"/>
      <c r="CY68" s="730"/>
      <c r="CZ68" s="809"/>
      <c r="DA68" s="733"/>
      <c r="DB68" s="734"/>
      <c r="DC68" s="735"/>
      <c r="DD68" s="729" t="str">
        <f t="shared" si="8"/>
        <v/>
      </c>
      <c r="DE68" s="730"/>
      <c r="DF68" s="731"/>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6" t="str">
        <f t="shared" si="4"/>
        <v/>
      </c>
      <c r="E69" s="767"/>
      <c r="F69" s="17" t="str">
        <f t="shared" si="2"/>
        <v/>
      </c>
      <c r="G69" s="768"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9"/>
      <c r="I69" s="228"/>
      <c r="J69" s="228"/>
      <c r="K69" s="228"/>
      <c r="L69" s="717" t="str">
        <f t="shared" ref="L69:L104" si="11">IF(D69="","",D69-G69+IF(P69="",0,P69))</f>
        <v/>
      </c>
      <c r="M69" s="717"/>
      <c r="N69" s="717"/>
      <c r="O69" s="717"/>
      <c r="P69" s="717" t="str">
        <f>IF(OR(G69=0,G69=""),"",IF(VLOOKUP(G69,'Geometry 2'!$C$4:$AI$14,1,TRUE)=VLOOKUP(G70,'Geometry 2'!$C$4:$AI$14,1,TRUE),"",IF(VLOOKUP(G69,'Geometry 2'!$C$4:$AI$14,33,TRUE)&lt;&gt;"n/a",MIN(G69,VLOOKUP(G69,'Geometry 2'!$C$4:$AI$14,1,TRUE))-VLOOKUP(G69,'Geometry 2'!$C$4:$AI$14,33,TRUE),"check")))</f>
        <v/>
      </c>
      <c r="Q69" s="717"/>
      <c r="R69" s="717"/>
      <c r="S69" s="717"/>
      <c r="T69" s="717" t="str">
        <f>IF($G69="","",VLOOKUP($G69,'Geometry 2'!$E$4:$AH$14,11,TRUE))</f>
        <v/>
      </c>
      <c r="U69" s="717"/>
      <c r="V69" s="717"/>
      <c r="W69" s="717"/>
      <c r="X69" s="716" t="str">
        <f>IF($G69="","",VLOOKUP($G69,'Geometry 2'!$E$4:$AJ$14,19,TRUE)-12*VLOOKUP($G69,'Geometry 2'!$E$4:$AJ$14,32,TRUE)*($D69-VLOOKUP($G69,'Geometry 2'!$E$5:$AH$14,1,TRUE)))</f>
        <v/>
      </c>
      <c r="Y69" s="716"/>
      <c r="Z69" s="716"/>
      <c r="AA69" s="716"/>
      <c r="AB69" s="757" t="str">
        <f>IF($G69="","",VLOOKUP($G69,'Geometry 2'!$E$4:$AJ$14,19,TRUE)-12*VLOOKUP($G69,'Geometry 2'!$E$4:$AJ$14,32,TRUE)*($G69-VLOOKUP($G69,'Geometry 2'!$E$5:$AH$14,1,TRUE)))</f>
        <v/>
      </c>
      <c r="AC69" s="758"/>
      <c r="AD69" s="758"/>
      <c r="AE69" s="759"/>
      <c r="AF69" s="716" t="str">
        <f>IF($G69="","",VLOOKUP($G69,'Geometry 2'!$E$4:$AJ$14,19,TRUE)-12*VLOOKUP($G69,'Geometry 2'!$E$4:$AJ$14,32,TRUE)*($G69-IF($P69="",0,$P69)-VLOOKUP($G69,'Geometry 2'!$E$5:$AH$14,1,TRUE)))</f>
        <v/>
      </c>
      <c r="AG69" s="716"/>
      <c r="AH69" s="716"/>
      <c r="AI69" s="716"/>
      <c r="AJ69" s="746" t="str">
        <f>IF($G69="","",VLOOKUP($G69,'Geometry 2'!$E$4:$AH$14,23,TRUE))</f>
        <v/>
      </c>
      <c r="AK69" s="747"/>
      <c r="AL69" s="747"/>
      <c r="AM69" s="748"/>
      <c r="AN69" s="717"/>
      <c r="AO69" s="717"/>
      <c r="AP69" s="717"/>
      <c r="AQ69" s="717"/>
      <c r="AR69" s="717" t="str">
        <f>IF($G69="","",VLOOKUP($G69,'Geometry 2'!$E$4:$AH$14,27,TRUE))</f>
        <v/>
      </c>
      <c r="AS69" s="717"/>
      <c r="AT69" s="717"/>
      <c r="AU69" s="718"/>
      <c r="AV69" s="715"/>
      <c r="AW69" s="716"/>
      <c r="AX69" s="716"/>
      <c r="AZ69" s="722" t="str">
        <f t="shared" si="5"/>
        <v/>
      </c>
      <c r="BA69" s="723"/>
      <c r="BB69" s="723"/>
      <c r="BC69" s="724"/>
      <c r="BD69" s="722"/>
      <c r="BE69" s="723"/>
      <c r="BF69" s="723"/>
      <c r="BG69" s="722" t="str">
        <f t="shared" si="9"/>
        <v/>
      </c>
      <c r="BH69" s="723"/>
      <c r="BI69" s="723"/>
      <c r="BJ69" s="723"/>
      <c r="BK69" s="724"/>
      <c r="BL69" s="722"/>
      <c r="BM69" s="723"/>
      <c r="BN69" s="723"/>
      <c r="BO69" s="723"/>
      <c r="BP69" s="725"/>
      <c r="BQ69" s="725"/>
      <c r="BR69" s="722" t="str">
        <f>IF(BP69="","",IF(OR(AND(Rev="H",Calculations!$F$27=TRUE),AND(Rev&lt;&gt;"H",Calculations!$F$30=TRUE)),IF(BP69&lt;=1,"Pass","Fail"),IF(BP69&lt;=1.05,"Pass","Fail")))</f>
        <v/>
      </c>
      <c r="BS69" s="723"/>
      <c r="BT69" s="724"/>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98"/>
      <c r="CP69" s="799"/>
      <c r="CQ69" s="800"/>
      <c r="CR69" s="798"/>
      <c r="CS69" s="799"/>
      <c r="CT69" s="800"/>
      <c r="CU69" s="798" t="str">
        <f t="shared" si="7"/>
        <v/>
      </c>
      <c r="CV69" s="799"/>
      <c r="CW69" s="806"/>
      <c r="CX69" s="726"/>
      <c r="CY69" s="727"/>
      <c r="CZ69" s="732"/>
      <c r="DA69" s="726"/>
      <c r="DB69" s="727"/>
      <c r="DC69" s="732"/>
      <c r="DD69" s="726" t="str">
        <f t="shared" si="8"/>
        <v/>
      </c>
      <c r="DE69" s="727"/>
      <c r="DF69" s="728"/>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6" t="str">
        <f t="shared" si="4"/>
        <v/>
      </c>
      <c r="E70" s="767"/>
      <c r="F70" s="17" t="str">
        <f t="shared" ref="F70:F104" si="12">IF(D70="","","-")</f>
        <v/>
      </c>
      <c r="G70" s="768"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9"/>
      <c r="I70" s="228"/>
      <c r="J70" s="228"/>
      <c r="K70" s="228"/>
      <c r="L70" s="717" t="str">
        <f t="shared" si="11"/>
        <v/>
      </c>
      <c r="M70" s="717"/>
      <c r="N70" s="717"/>
      <c r="O70" s="717"/>
      <c r="P70" s="717" t="str">
        <f>IF(OR(G70=0,G70=""),"",IF(VLOOKUP(G70,'Geometry 2'!$C$4:$AI$14,1,TRUE)=VLOOKUP(G71,'Geometry 2'!$C$4:$AI$14,1,TRUE),"",IF(VLOOKUP(G70,'Geometry 2'!$C$4:$AI$14,33,TRUE)&lt;&gt;"n/a",MIN(G70,VLOOKUP(G70,'Geometry 2'!$C$4:$AI$14,1,TRUE))-VLOOKUP(G70,'Geometry 2'!$C$4:$AI$14,33,TRUE),"check")))</f>
        <v/>
      </c>
      <c r="Q70" s="717"/>
      <c r="R70" s="717"/>
      <c r="S70" s="717"/>
      <c r="T70" s="717" t="str">
        <f>IF($G70="","",VLOOKUP($G70,'Geometry 2'!$E$4:$AH$14,11,TRUE))</f>
        <v/>
      </c>
      <c r="U70" s="717"/>
      <c r="V70" s="717"/>
      <c r="W70" s="717"/>
      <c r="X70" s="716" t="str">
        <f>IF($G70="","",VLOOKUP($G70,'Geometry 2'!$E$4:$AJ$14,19,TRUE)-12*VLOOKUP($G70,'Geometry 2'!$E$4:$AJ$14,32,TRUE)*($D70-VLOOKUP($G70,'Geometry 2'!$E$5:$AH$14,1,TRUE)))</f>
        <v/>
      </c>
      <c r="Y70" s="716"/>
      <c r="Z70" s="716"/>
      <c r="AA70" s="716"/>
      <c r="AB70" s="757" t="str">
        <f>IF($G70="","",VLOOKUP($G70,'Geometry 2'!$E$4:$AJ$14,19,TRUE)-12*VLOOKUP($G70,'Geometry 2'!$E$4:$AJ$14,32,TRUE)*($G70-VLOOKUP($G70,'Geometry 2'!$E$5:$AH$14,1,TRUE)))</f>
        <v/>
      </c>
      <c r="AC70" s="758"/>
      <c r="AD70" s="758"/>
      <c r="AE70" s="759"/>
      <c r="AF70" s="716" t="str">
        <f>IF($G70="","",VLOOKUP($G70,'Geometry 2'!$E$4:$AJ$14,19,TRUE)-12*VLOOKUP($G70,'Geometry 2'!$E$4:$AJ$14,32,TRUE)*($G70-IF($P70="",0,$P70)-VLOOKUP($G70,'Geometry 2'!$E$5:$AH$14,1,TRUE)))</f>
        <v/>
      </c>
      <c r="AG70" s="716"/>
      <c r="AH70" s="716"/>
      <c r="AI70" s="716"/>
      <c r="AJ70" s="746" t="str">
        <f>IF($G70="","",VLOOKUP($G70,'Geometry 2'!$E$4:$AH$14,23,TRUE))</f>
        <v/>
      </c>
      <c r="AK70" s="747"/>
      <c r="AL70" s="747"/>
      <c r="AM70" s="748"/>
      <c r="AN70" s="717"/>
      <c r="AO70" s="717"/>
      <c r="AP70" s="717"/>
      <c r="AQ70" s="717"/>
      <c r="AR70" s="717" t="str">
        <f>IF($G70="","",VLOOKUP($G70,'Geometry 2'!$E$4:$AH$14,27,TRUE))</f>
        <v/>
      </c>
      <c r="AS70" s="717"/>
      <c r="AT70" s="717"/>
      <c r="AU70" s="718"/>
      <c r="AV70" s="715"/>
      <c r="AW70" s="716"/>
      <c r="AX70" s="716"/>
      <c r="AZ70" s="722" t="str">
        <f t="shared" si="5"/>
        <v/>
      </c>
      <c r="BA70" s="723"/>
      <c r="BB70" s="723"/>
      <c r="BC70" s="724"/>
      <c r="BD70" s="722"/>
      <c r="BE70" s="723"/>
      <c r="BF70" s="723"/>
      <c r="BG70" s="722" t="str">
        <f t="shared" si="9"/>
        <v/>
      </c>
      <c r="BH70" s="723"/>
      <c r="BI70" s="723"/>
      <c r="BJ70" s="723"/>
      <c r="BK70" s="724"/>
      <c r="BL70" s="722"/>
      <c r="BM70" s="723"/>
      <c r="BN70" s="723"/>
      <c r="BO70" s="723"/>
      <c r="BP70" s="725"/>
      <c r="BQ70" s="725"/>
      <c r="BR70" s="722" t="str">
        <f>IF(BP70="","",IF(OR(AND(Rev="H",Calculations!$F$27=TRUE),AND(Rev&lt;&gt;"H",Calculations!$F$30=TRUE)),IF(BP70&lt;=1,"Pass","Fail"),IF(BP70&lt;=1.05,"Pass","Fail")))</f>
        <v/>
      </c>
      <c r="BS70" s="723"/>
      <c r="BT70" s="724"/>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91"/>
      <c r="CP70" s="792"/>
      <c r="CQ70" s="793"/>
      <c r="CR70" s="791"/>
      <c r="CS70" s="792"/>
      <c r="CT70" s="793"/>
      <c r="CU70" s="791" t="str">
        <f t="shared" si="7"/>
        <v/>
      </c>
      <c r="CV70" s="792"/>
      <c r="CW70" s="807"/>
      <c r="CX70" s="808"/>
      <c r="CY70" s="730"/>
      <c r="CZ70" s="809"/>
      <c r="DA70" s="733"/>
      <c r="DB70" s="734"/>
      <c r="DC70" s="735"/>
      <c r="DD70" s="729" t="str">
        <f t="shared" si="8"/>
        <v/>
      </c>
      <c r="DE70" s="730"/>
      <c r="DF70" s="731"/>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6" t="str">
        <f t="shared" ref="D71:D104" si="14">IF(OR(G70=0,G70=""),"",G70)</f>
        <v/>
      </c>
      <c r="E71" s="767"/>
      <c r="F71" s="17" t="str">
        <f t="shared" si="12"/>
        <v/>
      </c>
      <c r="G71" s="768"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9"/>
      <c r="I71" s="228"/>
      <c r="J71" s="228"/>
      <c r="K71" s="228"/>
      <c r="L71" s="717" t="str">
        <f t="shared" si="11"/>
        <v/>
      </c>
      <c r="M71" s="717"/>
      <c r="N71" s="717"/>
      <c r="O71" s="717"/>
      <c r="P71" s="717" t="str">
        <f>IF(OR(G71=0,G71=""),"",IF(VLOOKUP(G71,'Geometry 2'!$C$4:$AI$14,1,TRUE)=VLOOKUP(G72,'Geometry 2'!$C$4:$AI$14,1,TRUE),"",IF(VLOOKUP(G71,'Geometry 2'!$C$4:$AI$14,33,TRUE)&lt;&gt;"n/a",MIN(G71,VLOOKUP(G71,'Geometry 2'!$C$4:$AI$14,1,TRUE))-VLOOKUP(G71,'Geometry 2'!$C$4:$AI$14,33,TRUE),"check")))</f>
        <v/>
      </c>
      <c r="Q71" s="717"/>
      <c r="R71" s="717"/>
      <c r="S71" s="717"/>
      <c r="T71" s="717" t="str">
        <f>IF($G71="","",VLOOKUP($G71,'Geometry 2'!$E$4:$AH$14,11,TRUE))</f>
        <v/>
      </c>
      <c r="U71" s="717"/>
      <c r="V71" s="717"/>
      <c r="W71" s="717"/>
      <c r="X71" s="716" t="str">
        <f>IF($G71="","",VLOOKUP($G71,'Geometry 2'!$E$4:$AJ$14,19,TRUE)-12*VLOOKUP($G71,'Geometry 2'!$E$4:$AJ$14,32,TRUE)*($D71-VLOOKUP($G71,'Geometry 2'!$E$5:$AH$14,1,TRUE)))</f>
        <v/>
      </c>
      <c r="Y71" s="716"/>
      <c r="Z71" s="716"/>
      <c r="AA71" s="716"/>
      <c r="AB71" s="757" t="str">
        <f>IF($G71="","",VLOOKUP($G71,'Geometry 2'!$E$4:$AJ$14,19,TRUE)-12*VLOOKUP($G71,'Geometry 2'!$E$4:$AJ$14,32,TRUE)*($G71-VLOOKUP($G71,'Geometry 2'!$E$5:$AH$14,1,TRUE)))</f>
        <v/>
      </c>
      <c r="AC71" s="758"/>
      <c r="AD71" s="758"/>
      <c r="AE71" s="759"/>
      <c r="AF71" s="716" t="str">
        <f>IF($G71="","",VLOOKUP($G71,'Geometry 2'!$E$4:$AJ$14,19,TRUE)-12*VLOOKUP($G71,'Geometry 2'!$E$4:$AJ$14,32,TRUE)*($G71-IF($P71="",0,$P71)-VLOOKUP($G71,'Geometry 2'!$E$5:$AH$14,1,TRUE)))</f>
        <v/>
      </c>
      <c r="AG71" s="716"/>
      <c r="AH71" s="716"/>
      <c r="AI71" s="716"/>
      <c r="AJ71" s="746" t="str">
        <f>IF($G71="","",VLOOKUP($G71,'Geometry 2'!$E$4:$AH$14,23,TRUE))</f>
        <v/>
      </c>
      <c r="AK71" s="747"/>
      <c r="AL71" s="747"/>
      <c r="AM71" s="748"/>
      <c r="AN71" s="717"/>
      <c r="AO71" s="717"/>
      <c r="AP71" s="717"/>
      <c r="AQ71" s="717"/>
      <c r="AR71" s="717" t="str">
        <f>IF($G71="","",VLOOKUP($G71,'Geometry 2'!$E$4:$AH$14,27,TRUE))</f>
        <v/>
      </c>
      <c r="AS71" s="717"/>
      <c r="AT71" s="717"/>
      <c r="AU71" s="718"/>
      <c r="AV71" s="715"/>
      <c r="AW71" s="716"/>
      <c r="AX71" s="716"/>
      <c r="AZ71" s="722" t="str">
        <f t="shared" ref="AZ71:AZ104" si="15">IF(G71="","",CONCATENATE(ROUND(D71,2)," ",F71," ",ROUND(G71,2)))</f>
        <v/>
      </c>
      <c r="BA71" s="723"/>
      <c r="BB71" s="723"/>
      <c r="BC71" s="724"/>
      <c r="BD71" s="722"/>
      <c r="BE71" s="723"/>
      <c r="BF71" s="723"/>
      <c r="BG71" s="722" t="str">
        <f t="shared" si="9"/>
        <v/>
      </c>
      <c r="BH71" s="723"/>
      <c r="BI71" s="723"/>
      <c r="BJ71" s="723"/>
      <c r="BK71" s="724"/>
      <c r="BL71" s="722"/>
      <c r="BM71" s="723"/>
      <c r="BN71" s="723"/>
      <c r="BO71" s="723"/>
      <c r="BP71" s="725"/>
      <c r="BQ71" s="725"/>
      <c r="BR71" s="722" t="str">
        <f>IF(BP71="","",IF(OR(AND(Rev="H",Calculations!$F$27=TRUE),AND(Rev&lt;&gt;"H",Calculations!$F$30=TRUE)),IF(BP71&lt;=1,"Pass","Fail"),IF(BP71&lt;=1.05,"Pass","Fail")))</f>
        <v/>
      </c>
      <c r="BS71" s="723"/>
      <c r="BT71" s="724"/>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98"/>
      <c r="CP71" s="799"/>
      <c r="CQ71" s="800"/>
      <c r="CR71" s="798"/>
      <c r="CS71" s="799"/>
      <c r="CT71" s="800"/>
      <c r="CU71" s="798" t="str">
        <f t="shared" ref="CU71:CU104" si="17">IF(CO71="","",IF(CR71="n/a",CO71,CO71+CR71))</f>
        <v/>
      </c>
      <c r="CV71" s="799"/>
      <c r="CW71" s="806"/>
      <c r="CX71" s="726"/>
      <c r="CY71" s="727"/>
      <c r="CZ71" s="732"/>
      <c r="DA71" s="726"/>
      <c r="DB71" s="727"/>
      <c r="DC71" s="732"/>
      <c r="DD71" s="726" t="str">
        <f t="shared" ref="DD71:DD104" si="18">IF(CX71="","",IF(DA71="n/a",CX71,CX71+DA71))</f>
        <v/>
      </c>
      <c r="DE71" s="727"/>
      <c r="DF71" s="728"/>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6" t="str">
        <f t="shared" si="14"/>
        <v/>
      </c>
      <c r="E72" s="767"/>
      <c r="F72" s="17" t="str">
        <f t="shared" si="12"/>
        <v/>
      </c>
      <c r="G72" s="768"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9"/>
      <c r="I72" s="228"/>
      <c r="J72" s="228"/>
      <c r="K72" s="228"/>
      <c r="L72" s="717" t="str">
        <f t="shared" si="11"/>
        <v/>
      </c>
      <c r="M72" s="717"/>
      <c r="N72" s="717"/>
      <c r="O72" s="717"/>
      <c r="P72" s="717" t="str">
        <f>IF(OR(G72=0,G72=""),"",IF(VLOOKUP(G72,'Geometry 2'!$C$4:$AI$14,1,TRUE)=VLOOKUP(G73,'Geometry 2'!$C$4:$AI$14,1,TRUE),"",IF(VLOOKUP(G72,'Geometry 2'!$C$4:$AI$14,33,TRUE)&lt;&gt;"n/a",MIN(G72,VLOOKUP(G72,'Geometry 2'!$C$4:$AI$14,1,TRUE))-VLOOKUP(G72,'Geometry 2'!$C$4:$AI$14,33,TRUE),"check")))</f>
        <v/>
      </c>
      <c r="Q72" s="717"/>
      <c r="R72" s="717"/>
      <c r="S72" s="717"/>
      <c r="T72" s="717" t="str">
        <f>IF($G72="","",VLOOKUP($G72,'Geometry 2'!$E$4:$AH$14,11,TRUE))</f>
        <v/>
      </c>
      <c r="U72" s="717"/>
      <c r="V72" s="717"/>
      <c r="W72" s="717"/>
      <c r="X72" s="716" t="str">
        <f>IF($G72="","",VLOOKUP($G72,'Geometry 2'!$E$4:$AJ$14,19,TRUE)-12*VLOOKUP($G72,'Geometry 2'!$E$4:$AJ$14,32,TRUE)*($D72-VLOOKUP($G72,'Geometry 2'!$E$5:$AH$14,1,TRUE)))</f>
        <v/>
      </c>
      <c r="Y72" s="716"/>
      <c r="Z72" s="716"/>
      <c r="AA72" s="716"/>
      <c r="AB72" s="757" t="str">
        <f>IF($G72="","",VLOOKUP($G72,'Geometry 2'!$E$4:$AJ$14,19,TRUE)-12*VLOOKUP($G72,'Geometry 2'!$E$4:$AJ$14,32,TRUE)*($G72-VLOOKUP($G72,'Geometry 2'!$E$5:$AH$14,1,TRUE)))</f>
        <v/>
      </c>
      <c r="AC72" s="758"/>
      <c r="AD72" s="758"/>
      <c r="AE72" s="759"/>
      <c r="AF72" s="716" t="str">
        <f>IF($G72="","",VLOOKUP($G72,'Geometry 2'!$E$4:$AJ$14,19,TRUE)-12*VLOOKUP($G72,'Geometry 2'!$E$4:$AJ$14,32,TRUE)*($G72-IF($P72="",0,$P72)-VLOOKUP($G72,'Geometry 2'!$E$5:$AH$14,1,TRUE)))</f>
        <v/>
      </c>
      <c r="AG72" s="716"/>
      <c r="AH72" s="716"/>
      <c r="AI72" s="716"/>
      <c r="AJ72" s="746" t="str">
        <f>IF($G72="","",VLOOKUP($G72,'Geometry 2'!$E$4:$AH$14,23,TRUE))</f>
        <v/>
      </c>
      <c r="AK72" s="747"/>
      <c r="AL72" s="747"/>
      <c r="AM72" s="748"/>
      <c r="AN72" s="717"/>
      <c r="AO72" s="717"/>
      <c r="AP72" s="717"/>
      <c r="AQ72" s="717"/>
      <c r="AR72" s="717" t="str">
        <f>IF($G72="","",VLOOKUP($G72,'Geometry 2'!$E$4:$AH$14,27,TRUE))</f>
        <v/>
      </c>
      <c r="AS72" s="717"/>
      <c r="AT72" s="717"/>
      <c r="AU72" s="718"/>
      <c r="AV72" s="715"/>
      <c r="AW72" s="716"/>
      <c r="AX72" s="716"/>
      <c r="AZ72" s="722" t="str">
        <f t="shared" si="15"/>
        <v/>
      </c>
      <c r="BA72" s="723"/>
      <c r="BB72" s="723"/>
      <c r="BC72" s="724"/>
      <c r="BD72" s="722"/>
      <c r="BE72" s="723"/>
      <c r="BF72" s="723"/>
      <c r="BG72" s="722" t="str">
        <f t="shared" si="9"/>
        <v/>
      </c>
      <c r="BH72" s="723"/>
      <c r="BI72" s="723"/>
      <c r="BJ72" s="723"/>
      <c r="BK72" s="724"/>
      <c r="BL72" s="722"/>
      <c r="BM72" s="723"/>
      <c r="BN72" s="723"/>
      <c r="BO72" s="723"/>
      <c r="BP72" s="725"/>
      <c r="BQ72" s="725"/>
      <c r="BR72" s="722" t="str">
        <f>IF(BP72="","",IF(OR(AND(Rev="H",Calculations!$F$27=TRUE),AND(Rev&lt;&gt;"H",Calculations!$F$30=TRUE)),IF(BP72&lt;=1,"Pass","Fail"),IF(BP72&lt;=1.05,"Pass","Fail")))</f>
        <v/>
      </c>
      <c r="BS72" s="723"/>
      <c r="BT72" s="724"/>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91"/>
      <c r="CP72" s="792"/>
      <c r="CQ72" s="793"/>
      <c r="CR72" s="791"/>
      <c r="CS72" s="792"/>
      <c r="CT72" s="793"/>
      <c r="CU72" s="791" t="str">
        <f t="shared" si="17"/>
        <v/>
      </c>
      <c r="CV72" s="792"/>
      <c r="CW72" s="807"/>
      <c r="CX72" s="808"/>
      <c r="CY72" s="730"/>
      <c r="CZ72" s="809"/>
      <c r="DA72" s="733"/>
      <c r="DB72" s="734"/>
      <c r="DC72" s="735"/>
      <c r="DD72" s="729" t="str">
        <f t="shared" si="18"/>
        <v/>
      </c>
      <c r="DE72" s="730"/>
      <c r="DF72" s="731"/>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6" t="str">
        <f t="shared" si="14"/>
        <v/>
      </c>
      <c r="E73" s="767"/>
      <c r="F73" s="17" t="str">
        <f t="shared" si="12"/>
        <v/>
      </c>
      <c r="G73" s="768"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9"/>
      <c r="I73" s="228"/>
      <c r="J73" s="228"/>
      <c r="K73" s="228"/>
      <c r="L73" s="717" t="str">
        <f t="shared" si="11"/>
        <v/>
      </c>
      <c r="M73" s="717"/>
      <c r="N73" s="717"/>
      <c r="O73" s="717"/>
      <c r="P73" s="717" t="str">
        <f>IF(OR(G73=0,G73=""),"",IF(VLOOKUP(G73,'Geometry 2'!$C$4:$AI$14,1,TRUE)=VLOOKUP(G74,'Geometry 2'!$C$4:$AI$14,1,TRUE),"",IF(VLOOKUP(G73,'Geometry 2'!$C$4:$AI$14,33,TRUE)&lt;&gt;"n/a",MIN(G73,VLOOKUP(G73,'Geometry 2'!$C$4:$AI$14,1,TRUE))-VLOOKUP(G73,'Geometry 2'!$C$4:$AI$14,33,TRUE),"check")))</f>
        <v/>
      </c>
      <c r="Q73" s="717"/>
      <c r="R73" s="717"/>
      <c r="S73" s="717"/>
      <c r="T73" s="717" t="str">
        <f>IF($G73="","",VLOOKUP($G73,'Geometry 2'!$E$4:$AH$14,11,TRUE))</f>
        <v/>
      </c>
      <c r="U73" s="717"/>
      <c r="V73" s="717"/>
      <c r="W73" s="717"/>
      <c r="X73" s="716" t="str">
        <f>IF($G73="","",VLOOKUP($G73,'Geometry 2'!$E$4:$AJ$14,19,TRUE)-12*VLOOKUP($G73,'Geometry 2'!$E$4:$AJ$14,32,TRUE)*($D73-VLOOKUP($G73,'Geometry 2'!$E$5:$AH$14,1,TRUE)))</f>
        <v/>
      </c>
      <c r="Y73" s="716"/>
      <c r="Z73" s="716"/>
      <c r="AA73" s="716"/>
      <c r="AB73" s="757" t="str">
        <f>IF($G73="","",VLOOKUP($G73,'Geometry 2'!$E$4:$AJ$14,19,TRUE)-12*VLOOKUP($G73,'Geometry 2'!$E$4:$AJ$14,32,TRUE)*($G73-VLOOKUP($G73,'Geometry 2'!$E$5:$AH$14,1,TRUE)))</f>
        <v/>
      </c>
      <c r="AC73" s="758"/>
      <c r="AD73" s="758"/>
      <c r="AE73" s="759"/>
      <c r="AF73" s="716" t="str">
        <f>IF($G73="","",VLOOKUP($G73,'Geometry 2'!$E$4:$AJ$14,19,TRUE)-12*VLOOKUP($G73,'Geometry 2'!$E$4:$AJ$14,32,TRUE)*($G73-IF($P73="",0,$P73)-VLOOKUP($G73,'Geometry 2'!$E$5:$AH$14,1,TRUE)))</f>
        <v/>
      </c>
      <c r="AG73" s="716"/>
      <c r="AH73" s="716"/>
      <c r="AI73" s="716"/>
      <c r="AJ73" s="746" t="str">
        <f>IF($G73="","",VLOOKUP($G73,'Geometry 2'!$E$4:$AH$14,23,TRUE))</f>
        <v/>
      </c>
      <c r="AK73" s="747"/>
      <c r="AL73" s="747"/>
      <c r="AM73" s="748"/>
      <c r="AN73" s="717"/>
      <c r="AO73" s="717"/>
      <c r="AP73" s="717"/>
      <c r="AQ73" s="717"/>
      <c r="AR73" s="717" t="str">
        <f>IF($G73="","",VLOOKUP($G73,'Geometry 2'!$E$4:$AH$14,27,TRUE))</f>
        <v/>
      </c>
      <c r="AS73" s="717"/>
      <c r="AT73" s="717"/>
      <c r="AU73" s="718"/>
      <c r="AV73" s="715"/>
      <c r="AW73" s="716"/>
      <c r="AX73" s="716"/>
      <c r="AZ73" s="722" t="str">
        <f t="shared" si="15"/>
        <v/>
      </c>
      <c r="BA73" s="723"/>
      <c r="BB73" s="723"/>
      <c r="BC73" s="724"/>
      <c r="BD73" s="722"/>
      <c r="BE73" s="723"/>
      <c r="BF73" s="723"/>
      <c r="BG73" s="722" t="str">
        <f t="shared" si="9"/>
        <v/>
      </c>
      <c r="BH73" s="723"/>
      <c r="BI73" s="723"/>
      <c r="BJ73" s="723"/>
      <c r="BK73" s="724"/>
      <c r="BL73" s="722"/>
      <c r="BM73" s="723"/>
      <c r="BN73" s="723"/>
      <c r="BO73" s="723"/>
      <c r="BP73" s="725"/>
      <c r="BQ73" s="725"/>
      <c r="BR73" s="722" t="str">
        <f>IF(BP73="","",IF(OR(AND(Rev="H",Calculations!$F$27=TRUE),AND(Rev&lt;&gt;"H",Calculations!$F$30=TRUE)),IF(BP73&lt;=1,"Pass","Fail"),IF(BP73&lt;=1.05,"Pass","Fail")))</f>
        <v/>
      </c>
      <c r="BS73" s="723"/>
      <c r="BT73" s="724"/>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98"/>
      <c r="CP73" s="799"/>
      <c r="CQ73" s="800"/>
      <c r="CR73" s="798"/>
      <c r="CS73" s="799"/>
      <c r="CT73" s="800"/>
      <c r="CU73" s="798" t="str">
        <f t="shared" si="17"/>
        <v/>
      </c>
      <c r="CV73" s="799"/>
      <c r="CW73" s="806"/>
      <c r="CX73" s="726"/>
      <c r="CY73" s="727"/>
      <c r="CZ73" s="732"/>
      <c r="DA73" s="726"/>
      <c r="DB73" s="727"/>
      <c r="DC73" s="732"/>
      <c r="DD73" s="726" t="str">
        <f t="shared" si="18"/>
        <v/>
      </c>
      <c r="DE73" s="727"/>
      <c r="DF73" s="728"/>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6" t="str">
        <f t="shared" si="14"/>
        <v/>
      </c>
      <c r="E74" s="767"/>
      <c r="F74" s="17" t="str">
        <f t="shared" si="12"/>
        <v/>
      </c>
      <c r="G74" s="768"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9"/>
      <c r="I74" s="228"/>
      <c r="J74" s="228"/>
      <c r="K74" s="228"/>
      <c r="L74" s="717" t="str">
        <f t="shared" si="11"/>
        <v/>
      </c>
      <c r="M74" s="717"/>
      <c r="N74" s="717"/>
      <c r="O74" s="717"/>
      <c r="P74" s="717" t="str">
        <f>IF(OR(G74=0,G74=""),"",IF(VLOOKUP(G74,'Geometry 2'!$C$4:$AI$14,1,TRUE)=VLOOKUP(G75,'Geometry 2'!$C$4:$AI$14,1,TRUE),"",IF(VLOOKUP(G74,'Geometry 2'!$C$4:$AI$14,33,TRUE)&lt;&gt;"n/a",MIN(G74,VLOOKUP(G74,'Geometry 2'!$C$4:$AI$14,1,TRUE))-VLOOKUP(G74,'Geometry 2'!$C$4:$AI$14,33,TRUE),"check")))</f>
        <v/>
      </c>
      <c r="Q74" s="717"/>
      <c r="R74" s="717"/>
      <c r="S74" s="717"/>
      <c r="T74" s="717" t="str">
        <f>IF($G74="","",VLOOKUP($G74,'Geometry 2'!$E$4:$AH$14,11,TRUE))</f>
        <v/>
      </c>
      <c r="U74" s="717"/>
      <c r="V74" s="717"/>
      <c r="W74" s="717"/>
      <c r="X74" s="716" t="str">
        <f>IF($G74="","",VLOOKUP($G74,'Geometry 2'!$E$4:$AJ$14,19,TRUE)-12*VLOOKUP($G74,'Geometry 2'!$E$4:$AJ$14,32,TRUE)*($D74-VLOOKUP($G74,'Geometry 2'!$E$5:$AH$14,1,TRUE)))</f>
        <v/>
      </c>
      <c r="Y74" s="716"/>
      <c r="Z74" s="716"/>
      <c r="AA74" s="716"/>
      <c r="AB74" s="757" t="str">
        <f>IF($G74="","",VLOOKUP($G74,'Geometry 2'!$E$4:$AJ$14,19,TRUE)-12*VLOOKUP($G74,'Geometry 2'!$E$4:$AJ$14,32,TRUE)*($G74-VLOOKUP($G74,'Geometry 2'!$E$5:$AH$14,1,TRUE)))</f>
        <v/>
      </c>
      <c r="AC74" s="758"/>
      <c r="AD74" s="758"/>
      <c r="AE74" s="759"/>
      <c r="AF74" s="716" t="str">
        <f>IF($G74="","",VLOOKUP($G74,'Geometry 2'!$E$4:$AJ$14,19,TRUE)-12*VLOOKUP($G74,'Geometry 2'!$E$4:$AJ$14,32,TRUE)*($G74-IF($P74="",0,$P74)-VLOOKUP($G74,'Geometry 2'!$E$5:$AH$14,1,TRUE)))</f>
        <v/>
      </c>
      <c r="AG74" s="716"/>
      <c r="AH74" s="716"/>
      <c r="AI74" s="716"/>
      <c r="AJ74" s="746" t="str">
        <f>IF($G74="","",VLOOKUP($G74,'Geometry 2'!$E$4:$AH$14,23,TRUE))</f>
        <v/>
      </c>
      <c r="AK74" s="747"/>
      <c r="AL74" s="747"/>
      <c r="AM74" s="748"/>
      <c r="AN74" s="717"/>
      <c r="AO74" s="717"/>
      <c r="AP74" s="717"/>
      <c r="AQ74" s="717"/>
      <c r="AR74" s="717" t="str">
        <f>IF($G74="","",VLOOKUP($G74,'Geometry 2'!$E$4:$AH$14,27,TRUE))</f>
        <v/>
      </c>
      <c r="AS74" s="717"/>
      <c r="AT74" s="717"/>
      <c r="AU74" s="718"/>
      <c r="AV74" s="715"/>
      <c r="AW74" s="716"/>
      <c r="AX74" s="716"/>
      <c r="AZ74" s="722" t="str">
        <f t="shared" si="15"/>
        <v/>
      </c>
      <c r="BA74" s="723"/>
      <c r="BB74" s="723"/>
      <c r="BC74" s="724"/>
      <c r="BD74" s="722"/>
      <c r="BE74" s="723"/>
      <c r="BF74" s="723"/>
      <c r="BG74" s="722" t="str">
        <f t="shared" si="9"/>
        <v/>
      </c>
      <c r="BH74" s="723"/>
      <c r="BI74" s="723"/>
      <c r="BJ74" s="723"/>
      <c r="BK74" s="724"/>
      <c r="BL74" s="722"/>
      <c r="BM74" s="723"/>
      <c r="BN74" s="723"/>
      <c r="BO74" s="723"/>
      <c r="BP74" s="725"/>
      <c r="BQ74" s="725"/>
      <c r="BR74" s="722" t="str">
        <f>IF(BP74="","",IF(OR(AND(Rev="H",Calculations!$F$27=TRUE),AND(Rev&lt;&gt;"H",Calculations!$F$30=TRUE)),IF(BP74&lt;=1,"Pass","Fail"),IF(BP74&lt;=1.05,"Pass","Fail")))</f>
        <v/>
      </c>
      <c r="BS74" s="723"/>
      <c r="BT74" s="724"/>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91"/>
      <c r="CP74" s="792"/>
      <c r="CQ74" s="793"/>
      <c r="CR74" s="791"/>
      <c r="CS74" s="792"/>
      <c r="CT74" s="793"/>
      <c r="CU74" s="791" t="str">
        <f t="shared" si="17"/>
        <v/>
      </c>
      <c r="CV74" s="792"/>
      <c r="CW74" s="807"/>
      <c r="CX74" s="808"/>
      <c r="CY74" s="730"/>
      <c r="CZ74" s="809"/>
      <c r="DA74" s="733"/>
      <c r="DB74" s="734"/>
      <c r="DC74" s="735"/>
      <c r="DD74" s="729" t="str">
        <f t="shared" si="18"/>
        <v/>
      </c>
      <c r="DE74" s="730"/>
      <c r="DF74" s="731"/>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6" t="str">
        <f t="shared" si="14"/>
        <v/>
      </c>
      <c r="E75" s="767"/>
      <c r="F75" s="17" t="str">
        <f t="shared" si="12"/>
        <v/>
      </c>
      <c r="G75" s="768"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9"/>
      <c r="I75" s="228"/>
      <c r="J75" s="228"/>
      <c r="K75" s="228"/>
      <c r="L75" s="717" t="str">
        <f t="shared" si="11"/>
        <v/>
      </c>
      <c r="M75" s="717"/>
      <c r="N75" s="717"/>
      <c r="O75" s="717"/>
      <c r="P75" s="717" t="str">
        <f>IF(OR(G75=0,G75=""),"",IF(VLOOKUP(G75,'Geometry 2'!$C$4:$AI$14,1,TRUE)=VLOOKUP(G76,'Geometry 2'!$C$4:$AI$14,1,TRUE),"",IF(VLOOKUP(G75,'Geometry 2'!$C$4:$AI$14,33,TRUE)&lt;&gt;"n/a",MIN(G75,VLOOKUP(G75,'Geometry 2'!$C$4:$AI$14,1,TRUE))-VLOOKUP(G75,'Geometry 2'!$C$4:$AI$14,33,TRUE),"check")))</f>
        <v/>
      </c>
      <c r="Q75" s="717"/>
      <c r="R75" s="717"/>
      <c r="S75" s="717"/>
      <c r="T75" s="717" t="str">
        <f>IF($G75="","",VLOOKUP($G75,'Geometry 2'!$E$4:$AH$14,11,TRUE))</f>
        <v/>
      </c>
      <c r="U75" s="717"/>
      <c r="V75" s="717"/>
      <c r="W75" s="717"/>
      <c r="X75" s="716" t="str">
        <f>IF($G75="","",VLOOKUP($G75,'Geometry 2'!$E$4:$AJ$14,19,TRUE)-12*VLOOKUP($G75,'Geometry 2'!$E$4:$AJ$14,32,TRUE)*($D75-VLOOKUP($G75,'Geometry 2'!$E$5:$AH$14,1,TRUE)))</f>
        <v/>
      </c>
      <c r="Y75" s="716"/>
      <c r="Z75" s="716"/>
      <c r="AA75" s="716"/>
      <c r="AB75" s="757" t="str">
        <f>IF($G75="","",VLOOKUP($G75,'Geometry 2'!$E$4:$AJ$14,19,TRUE)-12*VLOOKUP($G75,'Geometry 2'!$E$4:$AJ$14,32,TRUE)*($G75-VLOOKUP($G75,'Geometry 2'!$E$5:$AH$14,1,TRUE)))</f>
        <v/>
      </c>
      <c r="AC75" s="758"/>
      <c r="AD75" s="758"/>
      <c r="AE75" s="759"/>
      <c r="AF75" s="716" t="str">
        <f>IF($G75="","",VLOOKUP($G75,'Geometry 2'!$E$4:$AJ$14,19,TRUE)-12*VLOOKUP($G75,'Geometry 2'!$E$4:$AJ$14,32,TRUE)*($G75-IF($P75="",0,$P75)-VLOOKUP($G75,'Geometry 2'!$E$5:$AH$14,1,TRUE)))</f>
        <v/>
      </c>
      <c r="AG75" s="716"/>
      <c r="AH75" s="716"/>
      <c r="AI75" s="716"/>
      <c r="AJ75" s="746" t="str">
        <f>IF($G75="","",VLOOKUP($G75,'Geometry 2'!$E$4:$AH$14,23,TRUE))</f>
        <v/>
      </c>
      <c r="AK75" s="747"/>
      <c r="AL75" s="747"/>
      <c r="AM75" s="748"/>
      <c r="AN75" s="717"/>
      <c r="AO75" s="717"/>
      <c r="AP75" s="717"/>
      <c r="AQ75" s="717"/>
      <c r="AR75" s="717" t="str">
        <f>IF($G75="","",VLOOKUP($G75,'Geometry 2'!$E$4:$AH$14,27,TRUE))</f>
        <v/>
      </c>
      <c r="AS75" s="717"/>
      <c r="AT75" s="717"/>
      <c r="AU75" s="718"/>
      <c r="AV75" s="715"/>
      <c r="AW75" s="716"/>
      <c r="AX75" s="716"/>
      <c r="AZ75" s="722" t="str">
        <f t="shared" si="15"/>
        <v/>
      </c>
      <c r="BA75" s="723"/>
      <c r="BB75" s="723"/>
      <c r="BC75" s="724"/>
      <c r="BD75" s="722"/>
      <c r="BE75" s="723"/>
      <c r="BF75" s="723"/>
      <c r="BG75" s="722" t="str">
        <f t="shared" si="9"/>
        <v/>
      </c>
      <c r="BH75" s="723"/>
      <c r="BI75" s="723"/>
      <c r="BJ75" s="723"/>
      <c r="BK75" s="724"/>
      <c r="BL75" s="722"/>
      <c r="BM75" s="723"/>
      <c r="BN75" s="723"/>
      <c r="BO75" s="723"/>
      <c r="BP75" s="725"/>
      <c r="BQ75" s="725"/>
      <c r="BR75" s="722" t="str">
        <f>IF(BP75="","",IF(OR(AND(Rev="H",Calculations!$F$27=TRUE),AND(Rev&lt;&gt;"H",Calculations!$F$30=TRUE)),IF(BP75&lt;=1,"Pass","Fail"),IF(BP75&lt;=1.05,"Pass","Fail")))</f>
        <v/>
      </c>
      <c r="BS75" s="723"/>
      <c r="BT75" s="724"/>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98"/>
      <c r="CP75" s="799"/>
      <c r="CQ75" s="800"/>
      <c r="CR75" s="798"/>
      <c r="CS75" s="799"/>
      <c r="CT75" s="800"/>
      <c r="CU75" s="798" t="str">
        <f t="shared" si="17"/>
        <v/>
      </c>
      <c r="CV75" s="799"/>
      <c r="CW75" s="806"/>
      <c r="CX75" s="726"/>
      <c r="CY75" s="727"/>
      <c r="CZ75" s="732"/>
      <c r="DA75" s="726"/>
      <c r="DB75" s="727"/>
      <c r="DC75" s="732"/>
      <c r="DD75" s="726" t="str">
        <f t="shared" si="18"/>
        <v/>
      </c>
      <c r="DE75" s="727"/>
      <c r="DF75" s="728"/>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6" t="str">
        <f t="shared" si="14"/>
        <v/>
      </c>
      <c r="E76" s="767"/>
      <c r="F76" s="17" t="str">
        <f t="shared" si="12"/>
        <v/>
      </c>
      <c r="G76" s="768"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9"/>
      <c r="I76" s="228"/>
      <c r="J76" s="228"/>
      <c r="K76" s="228"/>
      <c r="L76" s="717" t="str">
        <f t="shared" si="11"/>
        <v/>
      </c>
      <c r="M76" s="717"/>
      <c r="N76" s="717"/>
      <c r="O76" s="717"/>
      <c r="P76" s="717" t="str">
        <f>IF(OR(G76=0,G76=""),"",IF(VLOOKUP(G76,'Geometry 2'!$C$4:$AI$14,1,TRUE)=VLOOKUP(G77,'Geometry 2'!$C$4:$AI$14,1,TRUE),"",IF(VLOOKUP(G76,'Geometry 2'!$C$4:$AI$14,33,TRUE)&lt;&gt;"n/a",MIN(G76,VLOOKUP(G76,'Geometry 2'!$C$4:$AI$14,1,TRUE))-VLOOKUP(G76,'Geometry 2'!$C$4:$AI$14,33,TRUE),"check")))</f>
        <v/>
      </c>
      <c r="Q76" s="717"/>
      <c r="R76" s="717"/>
      <c r="S76" s="717"/>
      <c r="T76" s="717" t="str">
        <f>IF($G76="","",VLOOKUP($G76,'Geometry 2'!$E$4:$AH$14,11,TRUE))</f>
        <v/>
      </c>
      <c r="U76" s="717"/>
      <c r="V76" s="717"/>
      <c r="W76" s="717"/>
      <c r="X76" s="716" t="str">
        <f>IF($G76="","",VLOOKUP($G76,'Geometry 2'!$E$4:$AJ$14,19,TRUE)-12*VLOOKUP($G76,'Geometry 2'!$E$4:$AJ$14,32,TRUE)*($D76-VLOOKUP($G76,'Geometry 2'!$E$5:$AH$14,1,TRUE)))</f>
        <v/>
      </c>
      <c r="Y76" s="716"/>
      <c r="Z76" s="716"/>
      <c r="AA76" s="716"/>
      <c r="AB76" s="757" t="str">
        <f>IF($G76="","",VLOOKUP($G76,'Geometry 2'!$E$4:$AJ$14,19,TRUE)-12*VLOOKUP($G76,'Geometry 2'!$E$4:$AJ$14,32,TRUE)*($G76-VLOOKUP($G76,'Geometry 2'!$E$5:$AH$14,1,TRUE)))</f>
        <v/>
      </c>
      <c r="AC76" s="758"/>
      <c r="AD76" s="758"/>
      <c r="AE76" s="759"/>
      <c r="AF76" s="716" t="str">
        <f>IF($G76="","",VLOOKUP($G76,'Geometry 2'!$E$4:$AJ$14,19,TRUE)-12*VLOOKUP($G76,'Geometry 2'!$E$4:$AJ$14,32,TRUE)*($G76-IF($P76="",0,$P76)-VLOOKUP($G76,'Geometry 2'!$E$5:$AH$14,1,TRUE)))</f>
        <v/>
      </c>
      <c r="AG76" s="716"/>
      <c r="AH76" s="716"/>
      <c r="AI76" s="716"/>
      <c r="AJ76" s="746" t="str">
        <f>IF($G76="","",VLOOKUP($G76,'Geometry 2'!$E$4:$AH$14,23,TRUE))</f>
        <v/>
      </c>
      <c r="AK76" s="747"/>
      <c r="AL76" s="747"/>
      <c r="AM76" s="748"/>
      <c r="AN76" s="717"/>
      <c r="AO76" s="717"/>
      <c r="AP76" s="717"/>
      <c r="AQ76" s="717"/>
      <c r="AR76" s="717" t="str">
        <f>IF($G76="","",VLOOKUP($G76,'Geometry 2'!$E$4:$AH$14,27,TRUE))</f>
        <v/>
      </c>
      <c r="AS76" s="717"/>
      <c r="AT76" s="717"/>
      <c r="AU76" s="718"/>
      <c r="AV76" s="715"/>
      <c r="AW76" s="716"/>
      <c r="AX76" s="716"/>
      <c r="AZ76" s="722" t="str">
        <f t="shared" si="15"/>
        <v/>
      </c>
      <c r="BA76" s="723"/>
      <c r="BB76" s="723"/>
      <c r="BC76" s="724"/>
      <c r="BD76" s="722"/>
      <c r="BE76" s="723"/>
      <c r="BF76" s="723"/>
      <c r="BG76" s="722" t="str">
        <f t="shared" si="9"/>
        <v/>
      </c>
      <c r="BH76" s="723"/>
      <c r="BI76" s="723"/>
      <c r="BJ76" s="723"/>
      <c r="BK76" s="724"/>
      <c r="BL76" s="722"/>
      <c r="BM76" s="723"/>
      <c r="BN76" s="723"/>
      <c r="BO76" s="723"/>
      <c r="BP76" s="725"/>
      <c r="BQ76" s="725"/>
      <c r="BR76" s="722" t="str">
        <f>IF(BP76="","",IF(OR(AND(Rev="H",Calculations!$F$27=TRUE),AND(Rev&lt;&gt;"H",Calculations!$F$30=TRUE)),IF(BP76&lt;=1,"Pass","Fail"),IF(BP76&lt;=1.05,"Pass","Fail")))</f>
        <v/>
      </c>
      <c r="BS76" s="723"/>
      <c r="BT76" s="724"/>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91"/>
      <c r="CP76" s="792"/>
      <c r="CQ76" s="793"/>
      <c r="CR76" s="791"/>
      <c r="CS76" s="792"/>
      <c r="CT76" s="793"/>
      <c r="CU76" s="791" t="str">
        <f t="shared" si="17"/>
        <v/>
      </c>
      <c r="CV76" s="792"/>
      <c r="CW76" s="807"/>
      <c r="CX76" s="808"/>
      <c r="CY76" s="730"/>
      <c r="CZ76" s="809"/>
      <c r="DA76" s="733"/>
      <c r="DB76" s="734"/>
      <c r="DC76" s="735"/>
      <c r="DD76" s="729" t="str">
        <f t="shared" si="18"/>
        <v/>
      </c>
      <c r="DE76" s="730"/>
      <c r="DF76" s="731"/>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6" t="str">
        <f t="shared" si="14"/>
        <v/>
      </c>
      <c r="E77" s="767"/>
      <c r="F77" s="17" t="str">
        <f t="shared" si="12"/>
        <v/>
      </c>
      <c r="G77" s="768"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9"/>
      <c r="I77" s="228"/>
      <c r="J77" s="228"/>
      <c r="K77" s="228"/>
      <c r="L77" s="717" t="str">
        <f t="shared" si="11"/>
        <v/>
      </c>
      <c r="M77" s="717"/>
      <c r="N77" s="717"/>
      <c r="O77" s="717"/>
      <c r="P77" s="717" t="str">
        <f>IF(OR(G77=0,G77=""),"",IF(VLOOKUP(G77,'Geometry 2'!$C$4:$AI$14,1,TRUE)=VLOOKUP(G78,'Geometry 2'!$C$4:$AI$14,1,TRUE),"",IF(VLOOKUP(G77,'Geometry 2'!$C$4:$AI$14,33,TRUE)&lt;&gt;"n/a",MIN(G77,VLOOKUP(G77,'Geometry 2'!$C$4:$AI$14,1,TRUE))-VLOOKUP(G77,'Geometry 2'!$C$4:$AI$14,33,TRUE),"check")))</f>
        <v/>
      </c>
      <c r="Q77" s="717"/>
      <c r="R77" s="717"/>
      <c r="S77" s="717"/>
      <c r="T77" s="717" t="str">
        <f>IF($G77="","",VLOOKUP($G77,'Geometry 2'!$E$4:$AH$14,11,TRUE))</f>
        <v/>
      </c>
      <c r="U77" s="717"/>
      <c r="V77" s="717"/>
      <c r="W77" s="717"/>
      <c r="X77" s="716" t="str">
        <f>IF($G77="","",VLOOKUP($G77,'Geometry 2'!$E$4:$AJ$14,19,TRUE)-12*VLOOKUP($G77,'Geometry 2'!$E$4:$AJ$14,32,TRUE)*($D77-VLOOKUP($G77,'Geometry 2'!$E$5:$AH$14,1,TRUE)))</f>
        <v/>
      </c>
      <c r="Y77" s="716"/>
      <c r="Z77" s="716"/>
      <c r="AA77" s="716"/>
      <c r="AB77" s="757" t="str">
        <f>IF($G77="","",VLOOKUP($G77,'Geometry 2'!$E$4:$AJ$14,19,TRUE)-12*VLOOKUP($G77,'Geometry 2'!$E$4:$AJ$14,32,TRUE)*($G77-VLOOKUP($G77,'Geometry 2'!$E$5:$AH$14,1,TRUE)))</f>
        <v/>
      </c>
      <c r="AC77" s="758"/>
      <c r="AD77" s="758"/>
      <c r="AE77" s="759"/>
      <c r="AF77" s="716" t="str">
        <f>IF($G77="","",VLOOKUP($G77,'Geometry 2'!$E$4:$AJ$14,19,TRUE)-12*VLOOKUP($G77,'Geometry 2'!$E$4:$AJ$14,32,TRUE)*($G77-IF($P77="",0,$P77)-VLOOKUP($G77,'Geometry 2'!$E$5:$AH$14,1,TRUE)))</f>
        <v/>
      </c>
      <c r="AG77" s="716"/>
      <c r="AH77" s="716"/>
      <c r="AI77" s="716"/>
      <c r="AJ77" s="746" t="str">
        <f>IF($G77="","",VLOOKUP($G77,'Geometry 2'!$E$4:$AH$14,23,TRUE))</f>
        <v/>
      </c>
      <c r="AK77" s="747"/>
      <c r="AL77" s="747"/>
      <c r="AM77" s="748"/>
      <c r="AN77" s="717"/>
      <c r="AO77" s="717"/>
      <c r="AP77" s="717"/>
      <c r="AQ77" s="717"/>
      <c r="AR77" s="717" t="str">
        <f>IF($G77="","",VLOOKUP($G77,'Geometry 2'!$E$4:$AH$14,27,TRUE))</f>
        <v/>
      </c>
      <c r="AS77" s="717"/>
      <c r="AT77" s="717"/>
      <c r="AU77" s="718"/>
      <c r="AV77" s="715"/>
      <c r="AW77" s="716"/>
      <c r="AX77" s="716"/>
      <c r="AZ77" s="722" t="str">
        <f t="shared" si="15"/>
        <v/>
      </c>
      <c r="BA77" s="723"/>
      <c r="BB77" s="723"/>
      <c r="BC77" s="724"/>
      <c r="BD77" s="722"/>
      <c r="BE77" s="723"/>
      <c r="BF77" s="723"/>
      <c r="BG77" s="722" t="str">
        <f t="shared" si="9"/>
        <v/>
      </c>
      <c r="BH77" s="723"/>
      <c r="BI77" s="723"/>
      <c r="BJ77" s="723"/>
      <c r="BK77" s="724"/>
      <c r="BL77" s="722"/>
      <c r="BM77" s="723"/>
      <c r="BN77" s="723"/>
      <c r="BO77" s="723"/>
      <c r="BP77" s="725"/>
      <c r="BQ77" s="725"/>
      <c r="BR77" s="722" t="str">
        <f>IF(BP77="","",IF(OR(AND(Rev="H",Calculations!$F$27=TRUE),AND(Rev&lt;&gt;"H",Calculations!$F$30=TRUE)),IF(BP77&lt;=1,"Pass","Fail"),IF(BP77&lt;=1.05,"Pass","Fail")))</f>
        <v/>
      </c>
      <c r="BS77" s="723"/>
      <c r="BT77" s="724"/>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98"/>
      <c r="CP77" s="799"/>
      <c r="CQ77" s="800"/>
      <c r="CR77" s="798"/>
      <c r="CS77" s="799"/>
      <c r="CT77" s="800"/>
      <c r="CU77" s="798" t="str">
        <f t="shared" si="17"/>
        <v/>
      </c>
      <c r="CV77" s="799"/>
      <c r="CW77" s="806"/>
      <c r="CX77" s="726"/>
      <c r="CY77" s="727"/>
      <c r="CZ77" s="732"/>
      <c r="DA77" s="726"/>
      <c r="DB77" s="727"/>
      <c r="DC77" s="732"/>
      <c r="DD77" s="726" t="str">
        <f t="shared" si="18"/>
        <v/>
      </c>
      <c r="DE77" s="727"/>
      <c r="DF77" s="728"/>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6" t="str">
        <f t="shared" si="14"/>
        <v/>
      </c>
      <c r="E78" s="767"/>
      <c r="F78" s="17" t="str">
        <f t="shared" si="12"/>
        <v/>
      </c>
      <c r="G78" s="768"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9"/>
      <c r="I78" s="228"/>
      <c r="J78" s="228"/>
      <c r="K78" s="228"/>
      <c r="L78" s="717" t="str">
        <f t="shared" si="11"/>
        <v/>
      </c>
      <c r="M78" s="717"/>
      <c r="N78" s="717"/>
      <c r="O78" s="717"/>
      <c r="P78" s="717" t="str">
        <f>IF(OR(G78=0,G78=""),"",IF(VLOOKUP(G78,'Geometry 2'!$C$4:$AI$14,1,TRUE)=VLOOKUP(G79,'Geometry 2'!$C$4:$AI$14,1,TRUE),"",IF(VLOOKUP(G78,'Geometry 2'!$C$4:$AI$14,33,TRUE)&lt;&gt;"n/a",MIN(G78,VLOOKUP(G78,'Geometry 2'!$C$4:$AI$14,1,TRUE))-VLOOKUP(G78,'Geometry 2'!$C$4:$AI$14,33,TRUE),"check")))</f>
        <v/>
      </c>
      <c r="Q78" s="717"/>
      <c r="R78" s="717"/>
      <c r="S78" s="717"/>
      <c r="T78" s="717" t="str">
        <f>IF($G78="","",VLOOKUP($G78,'Geometry 2'!$E$4:$AH$14,11,TRUE))</f>
        <v/>
      </c>
      <c r="U78" s="717"/>
      <c r="V78" s="717"/>
      <c r="W78" s="717"/>
      <c r="X78" s="716" t="str">
        <f>IF($G78="","",VLOOKUP($G78,'Geometry 2'!$E$4:$AJ$14,19,TRUE)-12*VLOOKUP($G78,'Geometry 2'!$E$4:$AJ$14,32,TRUE)*($D78-VLOOKUP($G78,'Geometry 2'!$E$5:$AH$14,1,TRUE)))</f>
        <v/>
      </c>
      <c r="Y78" s="716"/>
      <c r="Z78" s="716"/>
      <c r="AA78" s="716"/>
      <c r="AB78" s="757" t="str">
        <f>IF($G78="","",VLOOKUP($G78,'Geometry 2'!$E$4:$AJ$14,19,TRUE)-12*VLOOKUP($G78,'Geometry 2'!$E$4:$AJ$14,32,TRUE)*($G78-VLOOKUP($G78,'Geometry 2'!$E$5:$AH$14,1,TRUE)))</f>
        <v/>
      </c>
      <c r="AC78" s="758"/>
      <c r="AD78" s="758"/>
      <c r="AE78" s="759"/>
      <c r="AF78" s="716" t="str">
        <f>IF($G78="","",VLOOKUP($G78,'Geometry 2'!$E$4:$AJ$14,19,TRUE)-12*VLOOKUP($G78,'Geometry 2'!$E$4:$AJ$14,32,TRUE)*($G78-IF($P78="",0,$P78)-VLOOKUP($G78,'Geometry 2'!$E$5:$AH$14,1,TRUE)))</f>
        <v/>
      </c>
      <c r="AG78" s="716"/>
      <c r="AH78" s="716"/>
      <c r="AI78" s="716"/>
      <c r="AJ78" s="746" t="str">
        <f>IF($G78="","",VLOOKUP($G78,'Geometry 2'!$E$4:$AH$14,23,TRUE))</f>
        <v/>
      </c>
      <c r="AK78" s="747"/>
      <c r="AL78" s="747"/>
      <c r="AM78" s="748"/>
      <c r="AN78" s="717"/>
      <c r="AO78" s="717"/>
      <c r="AP78" s="717"/>
      <c r="AQ78" s="717"/>
      <c r="AR78" s="717" t="str">
        <f>IF($G78="","",VLOOKUP($G78,'Geometry 2'!$E$4:$AH$14,27,TRUE))</f>
        <v/>
      </c>
      <c r="AS78" s="717"/>
      <c r="AT78" s="717"/>
      <c r="AU78" s="718"/>
      <c r="AV78" s="715"/>
      <c r="AW78" s="716"/>
      <c r="AX78" s="716"/>
      <c r="AZ78" s="722" t="str">
        <f t="shared" si="15"/>
        <v/>
      </c>
      <c r="BA78" s="723"/>
      <c r="BB78" s="723"/>
      <c r="BC78" s="724"/>
      <c r="BD78" s="722"/>
      <c r="BE78" s="723"/>
      <c r="BF78" s="723"/>
      <c r="BG78" s="722" t="str">
        <f t="shared" si="9"/>
        <v/>
      </c>
      <c r="BH78" s="723"/>
      <c r="BI78" s="723"/>
      <c r="BJ78" s="723"/>
      <c r="BK78" s="724"/>
      <c r="BL78" s="722"/>
      <c r="BM78" s="723"/>
      <c r="BN78" s="723"/>
      <c r="BO78" s="723"/>
      <c r="BP78" s="725"/>
      <c r="BQ78" s="725"/>
      <c r="BR78" s="722" t="str">
        <f>IF(BP78="","",IF(OR(AND(Rev="H",Calculations!$F$27=TRUE),AND(Rev&lt;&gt;"H",Calculations!$F$30=TRUE)),IF(BP78&lt;=1,"Pass","Fail"),IF(BP78&lt;=1.05,"Pass","Fail")))</f>
        <v/>
      </c>
      <c r="BS78" s="723"/>
      <c r="BT78" s="724"/>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91"/>
      <c r="CP78" s="792"/>
      <c r="CQ78" s="793"/>
      <c r="CR78" s="791"/>
      <c r="CS78" s="792"/>
      <c r="CT78" s="793"/>
      <c r="CU78" s="791" t="str">
        <f t="shared" si="17"/>
        <v/>
      </c>
      <c r="CV78" s="792"/>
      <c r="CW78" s="807"/>
      <c r="CX78" s="808"/>
      <c r="CY78" s="730"/>
      <c r="CZ78" s="809"/>
      <c r="DA78" s="733"/>
      <c r="DB78" s="734"/>
      <c r="DC78" s="735"/>
      <c r="DD78" s="729" t="str">
        <f t="shared" si="18"/>
        <v/>
      </c>
      <c r="DE78" s="730"/>
      <c r="DF78" s="731"/>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6" t="str">
        <f t="shared" si="14"/>
        <v/>
      </c>
      <c r="E79" s="767"/>
      <c r="F79" s="17" t="str">
        <f t="shared" si="12"/>
        <v/>
      </c>
      <c r="G79" s="768"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9"/>
      <c r="I79" s="228"/>
      <c r="J79" s="228"/>
      <c r="K79" s="228"/>
      <c r="L79" s="717" t="str">
        <f t="shared" si="11"/>
        <v/>
      </c>
      <c r="M79" s="717"/>
      <c r="N79" s="717"/>
      <c r="O79" s="717"/>
      <c r="P79" s="717" t="str">
        <f>IF(OR(G79=0,G79=""),"",IF(VLOOKUP(G79,'Geometry 2'!$C$4:$AI$14,1,TRUE)=VLOOKUP(G80,'Geometry 2'!$C$4:$AI$14,1,TRUE),"",IF(VLOOKUP(G79,'Geometry 2'!$C$4:$AI$14,33,TRUE)&lt;&gt;"n/a",MIN(G79,VLOOKUP(G79,'Geometry 2'!$C$4:$AI$14,1,TRUE))-VLOOKUP(G79,'Geometry 2'!$C$4:$AI$14,33,TRUE),"check")))</f>
        <v/>
      </c>
      <c r="Q79" s="717"/>
      <c r="R79" s="717"/>
      <c r="S79" s="717"/>
      <c r="T79" s="717" t="str">
        <f>IF($G79="","",VLOOKUP($G79,'Geometry 2'!$E$4:$AH$14,11,TRUE))</f>
        <v/>
      </c>
      <c r="U79" s="717"/>
      <c r="V79" s="717"/>
      <c r="W79" s="717"/>
      <c r="X79" s="716" t="str">
        <f>IF($G79="","",VLOOKUP($G79,'Geometry 2'!$E$4:$AJ$14,19,TRUE)-12*VLOOKUP($G79,'Geometry 2'!$E$4:$AJ$14,32,TRUE)*($D79-VLOOKUP($G79,'Geometry 2'!$E$5:$AH$14,1,TRUE)))</f>
        <v/>
      </c>
      <c r="Y79" s="716"/>
      <c r="Z79" s="716"/>
      <c r="AA79" s="716"/>
      <c r="AB79" s="757" t="str">
        <f>IF($G79="","",VLOOKUP($G79,'Geometry 2'!$E$4:$AJ$14,19,TRUE)-12*VLOOKUP($G79,'Geometry 2'!$E$4:$AJ$14,32,TRUE)*($G79-VLOOKUP($G79,'Geometry 2'!$E$5:$AH$14,1,TRUE)))</f>
        <v/>
      </c>
      <c r="AC79" s="758"/>
      <c r="AD79" s="758"/>
      <c r="AE79" s="759"/>
      <c r="AF79" s="716" t="str">
        <f>IF($G79="","",VLOOKUP($G79,'Geometry 2'!$E$4:$AJ$14,19,TRUE)-12*VLOOKUP($G79,'Geometry 2'!$E$4:$AJ$14,32,TRUE)*($G79-IF($P79="",0,$P79)-VLOOKUP($G79,'Geometry 2'!$E$5:$AH$14,1,TRUE)))</f>
        <v/>
      </c>
      <c r="AG79" s="716"/>
      <c r="AH79" s="716"/>
      <c r="AI79" s="716"/>
      <c r="AJ79" s="746" t="str">
        <f>IF($G79="","",VLOOKUP($G79,'Geometry 2'!$E$4:$AH$14,23,TRUE))</f>
        <v/>
      </c>
      <c r="AK79" s="747"/>
      <c r="AL79" s="747"/>
      <c r="AM79" s="748"/>
      <c r="AN79" s="717"/>
      <c r="AO79" s="717"/>
      <c r="AP79" s="717"/>
      <c r="AQ79" s="717"/>
      <c r="AR79" s="717" t="str">
        <f>IF($G79="","",VLOOKUP($G79,'Geometry 2'!$E$4:$AH$14,27,TRUE))</f>
        <v/>
      </c>
      <c r="AS79" s="717"/>
      <c r="AT79" s="717"/>
      <c r="AU79" s="718"/>
      <c r="AV79" s="715"/>
      <c r="AW79" s="716"/>
      <c r="AX79" s="716"/>
      <c r="AZ79" s="722" t="str">
        <f t="shared" si="15"/>
        <v/>
      </c>
      <c r="BA79" s="723"/>
      <c r="BB79" s="723"/>
      <c r="BC79" s="724"/>
      <c r="BD79" s="722"/>
      <c r="BE79" s="723"/>
      <c r="BF79" s="723"/>
      <c r="BG79" s="722" t="str">
        <f t="shared" si="9"/>
        <v/>
      </c>
      <c r="BH79" s="723"/>
      <c r="BI79" s="723"/>
      <c r="BJ79" s="723"/>
      <c r="BK79" s="724"/>
      <c r="BL79" s="722"/>
      <c r="BM79" s="723"/>
      <c r="BN79" s="723"/>
      <c r="BO79" s="723"/>
      <c r="BP79" s="725"/>
      <c r="BQ79" s="725"/>
      <c r="BR79" s="722" t="str">
        <f>IF(BP79="","",IF(OR(AND(Rev="H",Calculations!$F$27=TRUE),AND(Rev&lt;&gt;"H",Calculations!$F$30=TRUE)),IF(BP79&lt;=1,"Pass","Fail"),IF(BP79&lt;=1.05,"Pass","Fail")))</f>
        <v/>
      </c>
      <c r="BS79" s="723"/>
      <c r="BT79" s="724"/>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98"/>
      <c r="CP79" s="799"/>
      <c r="CQ79" s="800"/>
      <c r="CR79" s="798"/>
      <c r="CS79" s="799"/>
      <c r="CT79" s="800"/>
      <c r="CU79" s="798" t="str">
        <f t="shared" si="17"/>
        <v/>
      </c>
      <c r="CV79" s="799"/>
      <c r="CW79" s="806"/>
      <c r="CX79" s="726"/>
      <c r="CY79" s="727"/>
      <c r="CZ79" s="732"/>
      <c r="DA79" s="726"/>
      <c r="DB79" s="727"/>
      <c r="DC79" s="732"/>
      <c r="DD79" s="726" t="str">
        <f t="shared" si="18"/>
        <v/>
      </c>
      <c r="DE79" s="727"/>
      <c r="DF79" s="728"/>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6" t="str">
        <f t="shared" si="14"/>
        <v/>
      </c>
      <c r="E80" s="767"/>
      <c r="F80" s="17" t="str">
        <f t="shared" si="12"/>
        <v/>
      </c>
      <c r="G80" s="768"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9"/>
      <c r="I80" s="228"/>
      <c r="J80" s="228"/>
      <c r="K80" s="228"/>
      <c r="L80" s="717" t="str">
        <f t="shared" si="11"/>
        <v/>
      </c>
      <c r="M80" s="717"/>
      <c r="N80" s="717"/>
      <c r="O80" s="717"/>
      <c r="P80" s="717" t="str">
        <f>IF(OR(G80=0,G80=""),"",IF(VLOOKUP(G80,'Geometry 2'!$C$4:$AI$14,1,TRUE)=VLOOKUP(G81,'Geometry 2'!$C$4:$AI$14,1,TRUE),"",IF(VLOOKUP(G80,'Geometry 2'!$C$4:$AI$14,33,TRUE)&lt;&gt;"n/a",MIN(G80,VLOOKUP(G80,'Geometry 2'!$C$4:$AI$14,1,TRUE))-VLOOKUP(G80,'Geometry 2'!$C$4:$AI$14,33,TRUE),"check")))</f>
        <v/>
      </c>
      <c r="Q80" s="717"/>
      <c r="R80" s="717"/>
      <c r="S80" s="717"/>
      <c r="T80" s="717" t="str">
        <f>IF($G80="","",VLOOKUP($G80,'Geometry 2'!$E$4:$AH$14,11,TRUE))</f>
        <v/>
      </c>
      <c r="U80" s="717"/>
      <c r="V80" s="717"/>
      <c r="W80" s="717"/>
      <c r="X80" s="716" t="str">
        <f>IF($G80="","",VLOOKUP($G80,'Geometry 2'!$E$4:$AJ$14,19,TRUE)-12*VLOOKUP($G80,'Geometry 2'!$E$4:$AJ$14,32,TRUE)*($D80-VLOOKUP($G80,'Geometry 2'!$E$5:$AH$14,1,TRUE)))</f>
        <v/>
      </c>
      <c r="Y80" s="716"/>
      <c r="Z80" s="716"/>
      <c r="AA80" s="716"/>
      <c r="AB80" s="757" t="str">
        <f>IF($G80="","",VLOOKUP($G80,'Geometry 2'!$E$4:$AJ$14,19,TRUE)-12*VLOOKUP($G80,'Geometry 2'!$E$4:$AJ$14,32,TRUE)*($G80-VLOOKUP($G80,'Geometry 2'!$E$5:$AH$14,1,TRUE)))</f>
        <v/>
      </c>
      <c r="AC80" s="758"/>
      <c r="AD80" s="758"/>
      <c r="AE80" s="759"/>
      <c r="AF80" s="716" t="str">
        <f>IF($G80="","",VLOOKUP($G80,'Geometry 2'!$E$4:$AJ$14,19,TRUE)-12*VLOOKUP($G80,'Geometry 2'!$E$4:$AJ$14,32,TRUE)*($G80-IF($P80="",0,$P80)-VLOOKUP($G80,'Geometry 2'!$E$5:$AH$14,1,TRUE)))</f>
        <v/>
      </c>
      <c r="AG80" s="716"/>
      <c r="AH80" s="716"/>
      <c r="AI80" s="716"/>
      <c r="AJ80" s="746" t="str">
        <f>IF($G80="","",VLOOKUP($G80,'Geometry 2'!$E$4:$AH$14,23,TRUE))</f>
        <v/>
      </c>
      <c r="AK80" s="747"/>
      <c r="AL80" s="747"/>
      <c r="AM80" s="748"/>
      <c r="AN80" s="717"/>
      <c r="AO80" s="717"/>
      <c r="AP80" s="717"/>
      <c r="AQ80" s="717"/>
      <c r="AR80" s="717" t="str">
        <f>IF($G80="","",VLOOKUP($G80,'Geometry 2'!$E$4:$AH$14,27,TRUE))</f>
        <v/>
      </c>
      <c r="AS80" s="717"/>
      <c r="AT80" s="717"/>
      <c r="AU80" s="718"/>
      <c r="AV80" s="715"/>
      <c r="AW80" s="716"/>
      <c r="AX80" s="716"/>
      <c r="AZ80" s="722" t="str">
        <f t="shared" si="15"/>
        <v/>
      </c>
      <c r="BA80" s="723"/>
      <c r="BB80" s="723"/>
      <c r="BC80" s="724"/>
      <c r="BD80" s="722"/>
      <c r="BE80" s="723"/>
      <c r="BF80" s="723"/>
      <c r="BG80" s="722" t="str">
        <f t="shared" si="9"/>
        <v/>
      </c>
      <c r="BH80" s="723"/>
      <c r="BI80" s="723"/>
      <c r="BJ80" s="723"/>
      <c r="BK80" s="724"/>
      <c r="BL80" s="722"/>
      <c r="BM80" s="723"/>
      <c r="BN80" s="723"/>
      <c r="BO80" s="723"/>
      <c r="BP80" s="725"/>
      <c r="BQ80" s="725"/>
      <c r="BR80" s="722" t="str">
        <f>IF(BP80="","",IF(OR(AND(Rev="H",Calculations!$F$27=TRUE),AND(Rev&lt;&gt;"H",Calculations!$F$30=TRUE)),IF(BP80&lt;=1,"Pass","Fail"),IF(BP80&lt;=1.05,"Pass","Fail")))</f>
        <v/>
      </c>
      <c r="BS80" s="723"/>
      <c r="BT80" s="724"/>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91"/>
      <c r="CP80" s="792"/>
      <c r="CQ80" s="793"/>
      <c r="CR80" s="791"/>
      <c r="CS80" s="792"/>
      <c r="CT80" s="793"/>
      <c r="CU80" s="791" t="str">
        <f t="shared" si="17"/>
        <v/>
      </c>
      <c r="CV80" s="792"/>
      <c r="CW80" s="807"/>
      <c r="CX80" s="808"/>
      <c r="CY80" s="730"/>
      <c r="CZ80" s="809"/>
      <c r="DA80" s="733"/>
      <c r="DB80" s="734"/>
      <c r="DC80" s="735"/>
      <c r="DD80" s="729" t="str">
        <f t="shared" si="18"/>
        <v/>
      </c>
      <c r="DE80" s="730"/>
      <c r="DF80" s="731"/>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6" t="str">
        <f t="shared" si="14"/>
        <v/>
      </c>
      <c r="E81" s="767"/>
      <c r="F81" s="17" t="str">
        <f t="shared" si="12"/>
        <v/>
      </c>
      <c r="G81" s="768"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9"/>
      <c r="I81" s="228"/>
      <c r="J81" s="228"/>
      <c r="K81" s="228"/>
      <c r="L81" s="717" t="str">
        <f t="shared" si="11"/>
        <v/>
      </c>
      <c r="M81" s="717"/>
      <c r="N81" s="717"/>
      <c r="O81" s="717"/>
      <c r="P81" s="717" t="str">
        <f>IF(OR(G81=0,G81=""),"",IF(VLOOKUP(G81,'Geometry 2'!$C$4:$AI$14,1,TRUE)=VLOOKUP(G82,'Geometry 2'!$C$4:$AI$14,1,TRUE),"",IF(VLOOKUP(G81,'Geometry 2'!$C$4:$AI$14,33,TRUE)&lt;&gt;"n/a",MIN(G81,VLOOKUP(G81,'Geometry 2'!$C$4:$AI$14,1,TRUE))-VLOOKUP(G81,'Geometry 2'!$C$4:$AI$14,33,TRUE),"check")))</f>
        <v/>
      </c>
      <c r="Q81" s="717"/>
      <c r="R81" s="717"/>
      <c r="S81" s="717"/>
      <c r="T81" s="717" t="str">
        <f>IF($G81="","",VLOOKUP($G81,'Geometry 2'!$E$4:$AH$14,11,TRUE))</f>
        <v/>
      </c>
      <c r="U81" s="717"/>
      <c r="V81" s="717"/>
      <c r="W81" s="717"/>
      <c r="X81" s="716" t="str">
        <f>IF($G81="","",VLOOKUP($G81,'Geometry 2'!$E$4:$AJ$14,19,TRUE)-12*VLOOKUP($G81,'Geometry 2'!$E$4:$AJ$14,32,TRUE)*($D81-VLOOKUP($G81,'Geometry 2'!$E$5:$AH$14,1,TRUE)))</f>
        <v/>
      </c>
      <c r="Y81" s="716"/>
      <c r="Z81" s="716"/>
      <c r="AA81" s="716"/>
      <c r="AB81" s="757" t="str">
        <f>IF($G81="","",VLOOKUP($G81,'Geometry 2'!$E$4:$AJ$14,19,TRUE)-12*VLOOKUP($G81,'Geometry 2'!$E$4:$AJ$14,32,TRUE)*($G81-VLOOKUP($G81,'Geometry 2'!$E$5:$AH$14,1,TRUE)))</f>
        <v/>
      </c>
      <c r="AC81" s="758"/>
      <c r="AD81" s="758"/>
      <c r="AE81" s="759"/>
      <c r="AF81" s="716" t="str">
        <f>IF($G81="","",VLOOKUP($G81,'Geometry 2'!$E$4:$AJ$14,19,TRUE)-12*VLOOKUP($G81,'Geometry 2'!$E$4:$AJ$14,32,TRUE)*($G81-IF($P81="",0,$P81)-VLOOKUP($G81,'Geometry 2'!$E$5:$AH$14,1,TRUE)))</f>
        <v/>
      </c>
      <c r="AG81" s="716"/>
      <c r="AH81" s="716"/>
      <c r="AI81" s="716"/>
      <c r="AJ81" s="746" t="str">
        <f>IF($G81="","",VLOOKUP($G81,'Geometry 2'!$E$4:$AH$14,23,TRUE))</f>
        <v/>
      </c>
      <c r="AK81" s="747"/>
      <c r="AL81" s="747"/>
      <c r="AM81" s="748"/>
      <c r="AN81" s="717"/>
      <c r="AO81" s="717"/>
      <c r="AP81" s="717"/>
      <c r="AQ81" s="717"/>
      <c r="AR81" s="717" t="str">
        <f>IF($G81="","",VLOOKUP($G81,'Geometry 2'!$E$4:$AH$14,27,TRUE))</f>
        <v/>
      </c>
      <c r="AS81" s="717"/>
      <c r="AT81" s="717"/>
      <c r="AU81" s="718"/>
      <c r="AV81" s="715"/>
      <c r="AW81" s="716"/>
      <c r="AX81" s="716"/>
      <c r="AZ81" s="722" t="str">
        <f t="shared" si="15"/>
        <v/>
      </c>
      <c r="BA81" s="723"/>
      <c r="BB81" s="723"/>
      <c r="BC81" s="724"/>
      <c r="BD81" s="722"/>
      <c r="BE81" s="723"/>
      <c r="BF81" s="723"/>
      <c r="BG81" s="722" t="str">
        <f t="shared" si="9"/>
        <v/>
      </c>
      <c r="BH81" s="723"/>
      <c r="BI81" s="723"/>
      <c r="BJ81" s="723"/>
      <c r="BK81" s="724"/>
      <c r="BL81" s="722"/>
      <c r="BM81" s="723"/>
      <c r="BN81" s="723"/>
      <c r="BO81" s="723"/>
      <c r="BP81" s="725"/>
      <c r="BQ81" s="725"/>
      <c r="BR81" s="722" t="str">
        <f>IF(BP81="","",IF(OR(AND(Rev="H",Calculations!$F$27=TRUE),AND(Rev&lt;&gt;"H",Calculations!$F$30=TRUE)),IF(BP81&lt;=1,"Pass","Fail"),IF(BP81&lt;=1.05,"Pass","Fail")))</f>
        <v/>
      </c>
      <c r="BS81" s="723"/>
      <c r="BT81" s="724"/>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98"/>
      <c r="CP81" s="799"/>
      <c r="CQ81" s="800"/>
      <c r="CR81" s="798"/>
      <c r="CS81" s="799"/>
      <c r="CT81" s="800"/>
      <c r="CU81" s="798" t="str">
        <f t="shared" si="17"/>
        <v/>
      </c>
      <c r="CV81" s="799"/>
      <c r="CW81" s="806"/>
      <c r="CX81" s="726"/>
      <c r="CY81" s="727"/>
      <c r="CZ81" s="732"/>
      <c r="DA81" s="726"/>
      <c r="DB81" s="727"/>
      <c r="DC81" s="732"/>
      <c r="DD81" s="726" t="str">
        <f t="shared" si="18"/>
        <v/>
      </c>
      <c r="DE81" s="727"/>
      <c r="DF81" s="728"/>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6" t="str">
        <f t="shared" si="14"/>
        <v/>
      </c>
      <c r="E82" s="767"/>
      <c r="F82" s="17" t="str">
        <f t="shared" si="12"/>
        <v/>
      </c>
      <c r="G82" s="768"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9"/>
      <c r="I82" s="228"/>
      <c r="J82" s="228"/>
      <c r="K82" s="228"/>
      <c r="L82" s="717" t="str">
        <f t="shared" si="11"/>
        <v/>
      </c>
      <c r="M82" s="717"/>
      <c r="N82" s="717"/>
      <c r="O82" s="717"/>
      <c r="P82" s="717" t="str">
        <f>IF(OR(G82=0,G82=""),"",IF(VLOOKUP(G82,'Geometry 2'!$C$4:$AI$14,1,TRUE)=VLOOKUP(G83,'Geometry 2'!$C$4:$AI$14,1,TRUE),"",IF(VLOOKUP(G82,'Geometry 2'!$C$4:$AI$14,33,TRUE)&lt;&gt;"n/a",MIN(G82,VLOOKUP(G82,'Geometry 2'!$C$4:$AI$14,1,TRUE))-VLOOKUP(G82,'Geometry 2'!$C$4:$AI$14,33,TRUE),"check")))</f>
        <v/>
      </c>
      <c r="Q82" s="717"/>
      <c r="R82" s="717"/>
      <c r="S82" s="717"/>
      <c r="T82" s="717" t="str">
        <f>IF($G82="","",VLOOKUP($G82,'Geometry 2'!$E$4:$AH$14,11,TRUE))</f>
        <v/>
      </c>
      <c r="U82" s="717"/>
      <c r="V82" s="717"/>
      <c r="W82" s="717"/>
      <c r="X82" s="716" t="str">
        <f>IF($G82="","",VLOOKUP($G82,'Geometry 2'!$E$4:$AJ$14,19,TRUE)-12*VLOOKUP($G82,'Geometry 2'!$E$4:$AJ$14,32,TRUE)*($D82-VLOOKUP($G82,'Geometry 2'!$E$5:$AH$14,1,TRUE)))</f>
        <v/>
      </c>
      <c r="Y82" s="716"/>
      <c r="Z82" s="716"/>
      <c r="AA82" s="716"/>
      <c r="AB82" s="757" t="str">
        <f>IF($G82="","",VLOOKUP($G82,'Geometry 2'!$E$4:$AJ$14,19,TRUE)-12*VLOOKUP($G82,'Geometry 2'!$E$4:$AJ$14,32,TRUE)*($G82-VLOOKUP($G82,'Geometry 2'!$E$5:$AH$14,1,TRUE)))</f>
        <v/>
      </c>
      <c r="AC82" s="758"/>
      <c r="AD82" s="758"/>
      <c r="AE82" s="759"/>
      <c r="AF82" s="716" t="str">
        <f>IF($G82="","",VLOOKUP($G82,'Geometry 2'!$E$4:$AJ$14,19,TRUE)-12*VLOOKUP($G82,'Geometry 2'!$E$4:$AJ$14,32,TRUE)*($G82-IF($P82="",0,$P82)-VLOOKUP($G82,'Geometry 2'!$E$5:$AH$14,1,TRUE)))</f>
        <v/>
      </c>
      <c r="AG82" s="716"/>
      <c r="AH82" s="716"/>
      <c r="AI82" s="716"/>
      <c r="AJ82" s="746" t="str">
        <f>IF($G82="","",VLOOKUP($G82,'Geometry 2'!$E$4:$AH$14,23,TRUE))</f>
        <v/>
      </c>
      <c r="AK82" s="747"/>
      <c r="AL82" s="747"/>
      <c r="AM82" s="748"/>
      <c r="AN82" s="717"/>
      <c r="AO82" s="717"/>
      <c r="AP82" s="717"/>
      <c r="AQ82" s="717"/>
      <c r="AR82" s="717" t="str">
        <f>IF($G82="","",VLOOKUP($G82,'Geometry 2'!$E$4:$AH$14,27,TRUE))</f>
        <v/>
      </c>
      <c r="AS82" s="717"/>
      <c r="AT82" s="717"/>
      <c r="AU82" s="718"/>
      <c r="AV82" s="715"/>
      <c r="AW82" s="716"/>
      <c r="AX82" s="716"/>
      <c r="AZ82" s="722" t="str">
        <f t="shared" si="15"/>
        <v/>
      </c>
      <c r="BA82" s="723"/>
      <c r="BB82" s="723"/>
      <c r="BC82" s="724"/>
      <c r="BD82" s="722"/>
      <c r="BE82" s="723"/>
      <c r="BF82" s="723"/>
      <c r="BG82" s="722" t="str">
        <f t="shared" si="9"/>
        <v/>
      </c>
      <c r="BH82" s="723"/>
      <c r="BI82" s="723"/>
      <c r="BJ82" s="723"/>
      <c r="BK82" s="724"/>
      <c r="BL82" s="722"/>
      <c r="BM82" s="723"/>
      <c r="BN82" s="723"/>
      <c r="BO82" s="723"/>
      <c r="BP82" s="725"/>
      <c r="BQ82" s="725"/>
      <c r="BR82" s="722" t="str">
        <f>IF(BP82="","",IF(OR(AND(Rev="H",Calculations!$F$27=TRUE),AND(Rev&lt;&gt;"H",Calculations!$F$30=TRUE)),IF(BP82&lt;=1,"Pass","Fail"),IF(BP82&lt;=1.05,"Pass","Fail")))</f>
        <v/>
      </c>
      <c r="BS82" s="723"/>
      <c r="BT82" s="724"/>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91"/>
      <c r="CP82" s="792"/>
      <c r="CQ82" s="793"/>
      <c r="CR82" s="791"/>
      <c r="CS82" s="792"/>
      <c r="CT82" s="793"/>
      <c r="CU82" s="791" t="str">
        <f t="shared" si="17"/>
        <v/>
      </c>
      <c r="CV82" s="792"/>
      <c r="CW82" s="807"/>
      <c r="CX82" s="808"/>
      <c r="CY82" s="730"/>
      <c r="CZ82" s="809"/>
      <c r="DA82" s="733"/>
      <c r="DB82" s="734"/>
      <c r="DC82" s="735"/>
      <c r="DD82" s="729" t="str">
        <f t="shared" si="18"/>
        <v/>
      </c>
      <c r="DE82" s="730"/>
      <c r="DF82" s="731"/>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6" t="str">
        <f t="shared" si="14"/>
        <v/>
      </c>
      <c r="E83" s="767"/>
      <c r="F83" s="17" t="str">
        <f t="shared" si="12"/>
        <v/>
      </c>
      <c r="G83" s="768"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9"/>
      <c r="I83" s="228"/>
      <c r="J83" s="228"/>
      <c r="K83" s="228"/>
      <c r="L83" s="717" t="str">
        <f t="shared" si="11"/>
        <v/>
      </c>
      <c r="M83" s="717"/>
      <c r="N83" s="717"/>
      <c r="O83" s="717"/>
      <c r="P83" s="717" t="str">
        <f>IF(OR(G83=0,G83=""),"",IF(VLOOKUP(G83,'Geometry 2'!$C$4:$AI$14,1,TRUE)=VLOOKUP(G84,'Geometry 2'!$C$4:$AI$14,1,TRUE),"",IF(VLOOKUP(G83,'Geometry 2'!$C$4:$AI$14,33,TRUE)&lt;&gt;"n/a",MIN(G83,VLOOKUP(G83,'Geometry 2'!$C$4:$AI$14,1,TRUE))-VLOOKUP(G83,'Geometry 2'!$C$4:$AI$14,33,TRUE),"check")))</f>
        <v/>
      </c>
      <c r="Q83" s="717"/>
      <c r="R83" s="717"/>
      <c r="S83" s="717"/>
      <c r="T83" s="717" t="str">
        <f>IF($G83="","",VLOOKUP($G83,'Geometry 2'!$E$4:$AH$14,11,TRUE))</f>
        <v/>
      </c>
      <c r="U83" s="717"/>
      <c r="V83" s="717"/>
      <c r="W83" s="717"/>
      <c r="X83" s="716" t="str">
        <f>IF($G83="","",VLOOKUP($G83,'Geometry 2'!$E$4:$AJ$14,19,TRUE)-12*VLOOKUP($G83,'Geometry 2'!$E$4:$AJ$14,32,TRUE)*($D83-VLOOKUP($G83,'Geometry 2'!$E$5:$AH$14,1,TRUE)))</f>
        <v/>
      </c>
      <c r="Y83" s="716"/>
      <c r="Z83" s="716"/>
      <c r="AA83" s="716"/>
      <c r="AB83" s="757" t="str">
        <f>IF($G83="","",VLOOKUP($G83,'Geometry 2'!$E$4:$AJ$14,19,TRUE)-12*VLOOKUP($G83,'Geometry 2'!$E$4:$AJ$14,32,TRUE)*($G83-VLOOKUP($G83,'Geometry 2'!$E$5:$AH$14,1,TRUE)))</f>
        <v/>
      </c>
      <c r="AC83" s="758"/>
      <c r="AD83" s="758"/>
      <c r="AE83" s="759"/>
      <c r="AF83" s="716" t="str">
        <f>IF($G83="","",VLOOKUP($G83,'Geometry 2'!$E$4:$AJ$14,19,TRUE)-12*VLOOKUP($G83,'Geometry 2'!$E$4:$AJ$14,32,TRUE)*($G83-IF($P83="",0,$P83)-VLOOKUP($G83,'Geometry 2'!$E$5:$AH$14,1,TRUE)))</f>
        <v/>
      </c>
      <c r="AG83" s="716"/>
      <c r="AH83" s="716"/>
      <c r="AI83" s="716"/>
      <c r="AJ83" s="746" t="str">
        <f>IF($G83="","",VLOOKUP($G83,'Geometry 2'!$E$4:$AH$14,23,TRUE))</f>
        <v/>
      </c>
      <c r="AK83" s="747"/>
      <c r="AL83" s="747"/>
      <c r="AM83" s="748"/>
      <c r="AN83" s="717"/>
      <c r="AO83" s="717"/>
      <c r="AP83" s="717"/>
      <c r="AQ83" s="717"/>
      <c r="AR83" s="717" t="str">
        <f>IF($G83="","",VLOOKUP($G83,'Geometry 2'!$E$4:$AH$14,27,TRUE))</f>
        <v/>
      </c>
      <c r="AS83" s="717"/>
      <c r="AT83" s="717"/>
      <c r="AU83" s="718"/>
      <c r="AV83" s="715"/>
      <c r="AW83" s="716"/>
      <c r="AX83" s="716"/>
      <c r="AZ83" s="722" t="str">
        <f t="shared" si="15"/>
        <v/>
      </c>
      <c r="BA83" s="723"/>
      <c r="BB83" s="723"/>
      <c r="BC83" s="724"/>
      <c r="BD83" s="722"/>
      <c r="BE83" s="723"/>
      <c r="BF83" s="723"/>
      <c r="BG83" s="722" t="str">
        <f t="shared" si="9"/>
        <v/>
      </c>
      <c r="BH83" s="723"/>
      <c r="BI83" s="723"/>
      <c r="BJ83" s="723"/>
      <c r="BK83" s="724"/>
      <c r="BL83" s="722"/>
      <c r="BM83" s="723"/>
      <c r="BN83" s="723"/>
      <c r="BO83" s="723"/>
      <c r="BP83" s="725"/>
      <c r="BQ83" s="725"/>
      <c r="BR83" s="722" t="str">
        <f>IF(BP83="","",IF(OR(AND(Rev="H",Calculations!$F$27=TRUE),AND(Rev&lt;&gt;"H",Calculations!$F$30=TRUE)),IF(BP83&lt;=1,"Pass","Fail"),IF(BP83&lt;=1.05,"Pass","Fail")))</f>
        <v/>
      </c>
      <c r="BS83" s="723"/>
      <c r="BT83" s="724"/>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98"/>
      <c r="CP83" s="799"/>
      <c r="CQ83" s="800"/>
      <c r="CR83" s="798"/>
      <c r="CS83" s="799"/>
      <c r="CT83" s="800"/>
      <c r="CU83" s="798" t="str">
        <f t="shared" si="17"/>
        <v/>
      </c>
      <c r="CV83" s="799"/>
      <c r="CW83" s="806"/>
      <c r="CX83" s="726"/>
      <c r="CY83" s="727"/>
      <c r="CZ83" s="732"/>
      <c r="DA83" s="726"/>
      <c r="DB83" s="727"/>
      <c r="DC83" s="732"/>
      <c r="DD83" s="726" t="str">
        <f t="shared" si="18"/>
        <v/>
      </c>
      <c r="DE83" s="727"/>
      <c r="DF83" s="728"/>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6" t="str">
        <f t="shared" si="14"/>
        <v/>
      </c>
      <c r="E84" s="767"/>
      <c r="F84" s="17" t="str">
        <f t="shared" si="12"/>
        <v/>
      </c>
      <c r="G84" s="768"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9"/>
      <c r="I84" s="228"/>
      <c r="J84" s="228"/>
      <c r="K84" s="228"/>
      <c r="L84" s="717" t="str">
        <f t="shared" si="11"/>
        <v/>
      </c>
      <c r="M84" s="717"/>
      <c r="N84" s="717"/>
      <c r="O84" s="717"/>
      <c r="P84" s="717" t="str">
        <f>IF(OR(G84=0,G84=""),"",IF(VLOOKUP(G84,'Geometry 2'!$C$4:$AI$14,1,TRUE)=VLOOKUP(G85,'Geometry 2'!$C$4:$AI$14,1,TRUE),"",IF(VLOOKUP(G84,'Geometry 2'!$C$4:$AI$14,33,TRUE)&lt;&gt;"n/a",MIN(G84,VLOOKUP(G84,'Geometry 2'!$C$4:$AI$14,1,TRUE))-VLOOKUP(G84,'Geometry 2'!$C$4:$AI$14,33,TRUE),"check")))</f>
        <v/>
      </c>
      <c r="Q84" s="717"/>
      <c r="R84" s="717"/>
      <c r="S84" s="717"/>
      <c r="T84" s="717" t="str">
        <f>IF($G84="","",VLOOKUP($G84,'Geometry 2'!$E$4:$AH$14,11,TRUE))</f>
        <v/>
      </c>
      <c r="U84" s="717"/>
      <c r="V84" s="717"/>
      <c r="W84" s="717"/>
      <c r="X84" s="716" t="str">
        <f>IF($G84="","",VLOOKUP($G84,'Geometry 2'!$E$4:$AJ$14,19,TRUE)-12*VLOOKUP($G84,'Geometry 2'!$E$4:$AJ$14,32,TRUE)*($D84-VLOOKUP($G84,'Geometry 2'!$E$5:$AH$14,1,TRUE)))</f>
        <v/>
      </c>
      <c r="Y84" s="716"/>
      <c r="Z84" s="716"/>
      <c r="AA84" s="716"/>
      <c r="AB84" s="757" t="str">
        <f>IF($G84="","",VLOOKUP($G84,'Geometry 2'!$E$4:$AJ$14,19,TRUE)-12*VLOOKUP($G84,'Geometry 2'!$E$4:$AJ$14,32,TRUE)*($G84-VLOOKUP($G84,'Geometry 2'!$E$5:$AH$14,1,TRUE)))</f>
        <v/>
      </c>
      <c r="AC84" s="758"/>
      <c r="AD84" s="758"/>
      <c r="AE84" s="759"/>
      <c r="AF84" s="716" t="str">
        <f>IF($G84="","",VLOOKUP($G84,'Geometry 2'!$E$4:$AJ$14,19,TRUE)-12*VLOOKUP($G84,'Geometry 2'!$E$4:$AJ$14,32,TRUE)*($G84-IF($P84="",0,$P84)-VLOOKUP($G84,'Geometry 2'!$E$5:$AH$14,1,TRUE)))</f>
        <v/>
      </c>
      <c r="AG84" s="716"/>
      <c r="AH84" s="716"/>
      <c r="AI84" s="716"/>
      <c r="AJ84" s="746" t="str">
        <f>IF($G84="","",VLOOKUP($G84,'Geometry 2'!$E$4:$AH$14,23,TRUE))</f>
        <v/>
      </c>
      <c r="AK84" s="747"/>
      <c r="AL84" s="747"/>
      <c r="AM84" s="748"/>
      <c r="AN84" s="717"/>
      <c r="AO84" s="717"/>
      <c r="AP84" s="717"/>
      <c r="AQ84" s="717"/>
      <c r="AR84" s="717" t="str">
        <f>IF($G84="","",VLOOKUP($G84,'Geometry 2'!$E$4:$AH$14,27,TRUE))</f>
        <v/>
      </c>
      <c r="AS84" s="717"/>
      <c r="AT84" s="717"/>
      <c r="AU84" s="718"/>
      <c r="AV84" s="715"/>
      <c r="AW84" s="716"/>
      <c r="AX84" s="716"/>
      <c r="AZ84" s="722" t="str">
        <f t="shared" si="15"/>
        <v/>
      </c>
      <c r="BA84" s="723"/>
      <c r="BB84" s="723"/>
      <c r="BC84" s="724"/>
      <c r="BD84" s="722"/>
      <c r="BE84" s="723"/>
      <c r="BF84" s="723"/>
      <c r="BG84" s="722" t="str">
        <f t="shared" ref="BG84:BG104" si="19">IF(AZ84="","","TP"&amp;ROUND(AF84,3)&amp;"x"&amp;ROUND(X84,3)&amp;"x"&amp;ROUND(AN84,4))</f>
        <v/>
      </c>
      <c r="BH84" s="723"/>
      <c r="BI84" s="723"/>
      <c r="BJ84" s="723"/>
      <c r="BK84" s="724"/>
      <c r="BL84" s="722"/>
      <c r="BM84" s="723"/>
      <c r="BN84" s="723"/>
      <c r="BO84" s="723"/>
      <c r="BP84" s="725"/>
      <c r="BQ84" s="725"/>
      <c r="BR84" s="722" t="str">
        <f>IF(BP84="","",IF(OR(AND(Rev="H",Calculations!$F$27=TRUE),AND(Rev&lt;&gt;"H",Calculations!$F$30=TRUE)),IF(BP84&lt;=1,"Pass","Fail"),IF(BP84&lt;=1.05,"Pass","Fail")))</f>
        <v/>
      </c>
      <c r="BS84" s="723"/>
      <c r="BT84" s="724"/>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91"/>
      <c r="CP84" s="792"/>
      <c r="CQ84" s="793"/>
      <c r="CR84" s="791"/>
      <c r="CS84" s="792"/>
      <c r="CT84" s="793"/>
      <c r="CU84" s="791" t="str">
        <f t="shared" si="17"/>
        <v/>
      </c>
      <c r="CV84" s="792"/>
      <c r="CW84" s="807"/>
      <c r="CX84" s="808"/>
      <c r="CY84" s="730"/>
      <c r="CZ84" s="809"/>
      <c r="DA84" s="733"/>
      <c r="DB84" s="734"/>
      <c r="DC84" s="735"/>
      <c r="DD84" s="729" t="str">
        <f t="shared" si="18"/>
        <v/>
      </c>
      <c r="DE84" s="730"/>
      <c r="DF84" s="731"/>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6" t="str">
        <f t="shared" si="14"/>
        <v/>
      </c>
      <c r="E85" s="767"/>
      <c r="F85" s="17" t="str">
        <f t="shared" si="12"/>
        <v/>
      </c>
      <c r="G85" s="768"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9"/>
      <c r="I85" s="228"/>
      <c r="J85" s="228"/>
      <c r="K85" s="228"/>
      <c r="L85" s="717" t="str">
        <f t="shared" si="11"/>
        <v/>
      </c>
      <c r="M85" s="717"/>
      <c r="N85" s="717"/>
      <c r="O85" s="717"/>
      <c r="P85" s="717" t="str">
        <f>IF(OR(G85=0,G85=""),"",IF(VLOOKUP(G85,'Geometry 2'!$C$4:$AI$14,1,TRUE)=VLOOKUP(G86,'Geometry 2'!$C$4:$AI$14,1,TRUE),"",IF(VLOOKUP(G85,'Geometry 2'!$C$4:$AI$14,33,TRUE)&lt;&gt;"n/a",MIN(G85,VLOOKUP(G85,'Geometry 2'!$C$4:$AI$14,1,TRUE))-VLOOKUP(G85,'Geometry 2'!$C$4:$AI$14,33,TRUE),"check")))</f>
        <v/>
      </c>
      <c r="Q85" s="717"/>
      <c r="R85" s="717"/>
      <c r="S85" s="717"/>
      <c r="T85" s="717" t="str">
        <f>IF($G85="","",VLOOKUP($G85,'Geometry 2'!$E$4:$AH$14,11,TRUE))</f>
        <v/>
      </c>
      <c r="U85" s="717"/>
      <c r="V85" s="717"/>
      <c r="W85" s="717"/>
      <c r="X85" s="716" t="str">
        <f>IF($G85="","",VLOOKUP($G85,'Geometry 2'!$E$4:$AJ$14,19,TRUE)-12*VLOOKUP($G85,'Geometry 2'!$E$4:$AJ$14,32,TRUE)*($D85-VLOOKUP($G85,'Geometry 2'!$E$5:$AH$14,1,TRUE)))</f>
        <v/>
      </c>
      <c r="Y85" s="716"/>
      <c r="Z85" s="716"/>
      <c r="AA85" s="716"/>
      <c r="AB85" s="757" t="str">
        <f>IF($G85="","",VLOOKUP($G85,'Geometry 2'!$E$4:$AJ$14,19,TRUE)-12*VLOOKUP($G85,'Geometry 2'!$E$4:$AJ$14,32,TRUE)*($G85-VLOOKUP($G85,'Geometry 2'!$E$5:$AH$14,1,TRUE)))</f>
        <v/>
      </c>
      <c r="AC85" s="758"/>
      <c r="AD85" s="758"/>
      <c r="AE85" s="759"/>
      <c r="AF85" s="716" t="str">
        <f>IF($G85="","",VLOOKUP($G85,'Geometry 2'!$E$4:$AJ$14,19,TRUE)-12*VLOOKUP($G85,'Geometry 2'!$E$4:$AJ$14,32,TRUE)*($G85-IF($P85="",0,$P85)-VLOOKUP($G85,'Geometry 2'!$E$5:$AH$14,1,TRUE)))</f>
        <v/>
      </c>
      <c r="AG85" s="716"/>
      <c r="AH85" s="716"/>
      <c r="AI85" s="716"/>
      <c r="AJ85" s="746" t="str">
        <f>IF($G85="","",VLOOKUP($G85,'Geometry 2'!$E$4:$AH$14,23,TRUE))</f>
        <v/>
      </c>
      <c r="AK85" s="747"/>
      <c r="AL85" s="747"/>
      <c r="AM85" s="748"/>
      <c r="AN85" s="717"/>
      <c r="AO85" s="717"/>
      <c r="AP85" s="717"/>
      <c r="AQ85" s="717"/>
      <c r="AR85" s="717" t="str">
        <f>IF($G85="","",VLOOKUP($G85,'Geometry 2'!$E$4:$AH$14,27,TRUE))</f>
        <v/>
      </c>
      <c r="AS85" s="717"/>
      <c r="AT85" s="717"/>
      <c r="AU85" s="718"/>
      <c r="AV85" s="715"/>
      <c r="AW85" s="716"/>
      <c r="AX85" s="716"/>
      <c r="AZ85" s="722" t="str">
        <f t="shared" si="15"/>
        <v/>
      </c>
      <c r="BA85" s="723"/>
      <c r="BB85" s="723"/>
      <c r="BC85" s="724"/>
      <c r="BD85" s="722"/>
      <c r="BE85" s="723"/>
      <c r="BF85" s="723"/>
      <c r="BG85" s="722" t="str">
        <f t="shared" si="19"/>
        <v/>
      </c>
      <c r="BH85" s="723"/>
      <c r="BI85" s="723"/>
      <c r="BJ85" s="723"/>
      <c r="BK85" s="724"/>
      <c r="BL85" s="722"/>
      <c r="BM85" s="723"/>
      <c r="BN85" s="723"/>
      <c r="BO85" s="723"/>
      <c r="BP85" s="725"/>
      <c r="BQ85" s="725"/>
      <c r="BR85" s="722" t="str">
        <f>IF(BP85="","",IF(OR(AND(Rev="H",Calculations!$F$27=TRUE),AND(Rev&lt;&gt;"H",Calculations!$F$30=TRUE)),IF(BP85&lt;=1,"Pass","Fail"),IF(BP85&lt;=1.05,"Pass","Fail")))</f>
        <v/>
      </c>
      <c r="BS85" s="723"/>
      <c r="BT85" s="724"/>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98"/>
      <c r="CP85" s="799"/>
      <c r="CQ85" s="800"/>
      <c r="CR85" s="798"/>
      <c r="CS85" s="799"/>
      <c r="CT85" s="800"/>
      <c r="CU85" s="798" t="str">
        <f t="shared" si="17"/>
        <v/>
      </c>
      <c r="CV85" s="799"/>
      <c r="CW85" s="806"/>
      <c r="CX85" s="726"/>
      <c r="CY85" s="727"/>
      <c r="CZ85" s="732"/>
      <c r="DA85" s="726"/>
      <c r="DB85" s="727"/>
      <c r="DC85" s="732"/>
      <c r="DD85" s="726" t="str">
        <f t="shared" si="18"/>
        <v/>
      </c>
      <c r="DE85" s="727"/>
      <c r="DF85" s="728"/>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6" t="str">
        <f t="shared" si="14"/>
        <v/>
      </c>
      <c r="E86" s="767"/>
      <c r="F86" s="17" t="str">
        <f t="shared" si="12"/>
        <v/>
      </c>
      <c r="G86" s="768"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9"/>
      <c r="I86" s="228"/>
      <c r="J86" s="228"/>
      <c r="K86" s="228"/>
      <c r="L86" s="717" t="str">
        <f t="shared" si="11"/>
        <v/>
      </c>
      <c r="M86" s="717"/>
      <c r="N86" s="717"/>
      <c r="O86" s="717"/>
      <c r="P86" s="717" t="str">
        <f>IF(OR(G86=0,G86=""),"",IF(VLOOKUP(G86,'Geometry 2'!$C$4:$AI$14,1,TRUE)=VLOOKUP(G87,'Geometry 2'!$C$4:$AI$14,1,TRUE),"",IF(VLOOKUP(G86,'Geometry 2'!$C$4:$AI$14,33,TRUE)&lt;&gt;"n/a",MIN(G86,VLOOKUP(G86,'Geometry 2'!$C$4:$AI$14,1,TRUE))-VLOOKUP(G86,'Geometry 2'!$C$4:$AI$14,33,TRUE),"check")))</f>
        <v/>
      </c>
      <c r="Q86" s="717"/>
      <c r="R86" s="717"/>
      <c r="S86" s="717"/>
      <c r="T86" s="717" t="str">
        <f>IF($G86="","",VLOOKUP($G86,'Geometry 2'!$E$4:$AH$14,11,TRUE))</f>
        <v/>
      </c>
      <c r="U86" s="717"/>
      <c r="V86" s="717"/>
      <c r="W86" s="717"/>
      <c r="X86" s="716" t="str">
        <f>IF($G86="","",VLOOKUP($G86,'Geometry 2'!$E$4:$AJ$14,19,TRUE)-12*VLOOKUP($G86,'Geometry 2'!$E$4:$AJ$14,32,TRUE)*($D86-VLOOKUP($G86,'Geometry 2'!$E$5:$AH$14,1,TRUE)))</f>
        <v/>
      </c>
      <c r="Y86" s="716"/>
      <c r="Z86" s="716"/>
      <c r="AA86" s="716"/>
      <c r="AB86" s="757" t="str">
        <f>IF($G86="","",VLOOKUP($G86,'Geometry 2'!$E$4:$AJ$14,19,TRUE)-12*VLOOKUP($G86,'Geometry 2'!$E$4:$AJ$14,32,TRUE)*($G86-VLOOKUP($G86,'Geometry 2'!$E$5:$AH$14,1,TRUE)))</f>
        <v/>
      </c>
      <c r="AC86" s="758"/>
      <c r="AD86" s="758"/>
      <c r="AE86" s="759"/>
      <c r="AF86" s="716" t="str">
        <f>IF($G86="","",VLOOKUP($G86,'Geometry 2'!$E$4:$AJ$14,19,TRUE)-12*VLOOKUP($G86,'Geometry 2'!$E$4:$AJ$14,32,TRUE)*($G86-IF($P86="",0,$P86)-VLOOKUP($G86,'Geometry 2'!$E$5:$AH$14,1,TRUE)))</f>
        <v/>
      </c>
      <c r="AG86" s="716"/>
      <c r="AH86" s="716"/>
      <c r="AI86" s="716"/>
      <c r="AJ86" s="746" t="str">
        <f>IF($G86="","",VLOOKUP($G86,'Geometry 2'!$E$4:$AH$14,23,TRUE))</f>
        <v/>
      </c>
      <c r="AK86" s="747"/>
      <c r="AL86" s="747"/>
      <c r="AM86" s="748"/>
      <c r="AN86" s="717"/>
      <c r="AO86" s="717"/>
      <c r="AP86" s="717"/>
      <c r="AQ86" s="717"/>
      <c r="AR86" s="717" t="str">
        <f>IF($G86="","",VLOOKUP($G86,'Geometry 2'!$E$4:$AH$14,27,TRUE))</f>
        <v/>
      </c>
      <c r="AS86" s="717"/>
      <c r="AT86" s="717"/>
      <c r="AU86" s="718"/>
      <c r="AV86" s="715"/>
      <c r="AW86" s="716"/>
      <c r="AX86" s="716"/>
      <c r="AZ86" s="722" t="str">
        <f t="shared" si="15"/>
        <v/>
      </c>
      <c r="BA86" s="723"/>
      <c r="BB86" s="723"/>
      <c r="BC86" s="724"/>
      <c r="BD86" s="722"/>
      <c r="BE86" s="723"/>
      <c r="BF86" s="723"/>
      <c r="BG86" s="722" t="str">
        <f t="shared" si="19"/>
        <v/>
      </c>
      <c r="BH86" s="723"/>
      <c r="BI86" s="723"/>
      <c r="BJ86" s="723"/>
      <c r="BK86" s="724"/>
      <c r="BL86" s="722"/>
      <c r="BM86" s="723"/>
      <c r="BN86" s="723"/>
      <c r="BO86" s="723"/>
      <c r="BP86" s="725"/>
      <c r="BQ86" s="725"/>
      <c r="BR86" s="722" t="str">
        <f>IF(BP86="","",IF(OR(AND(Rev="H",Calculations!$F$27=TRUE),AND(Rev&lt;&gt;"H",Calculations!$F$30=TRUE)),IF(BP86&lt;=1,"Pass","Fail"),IF(BP86&lt;=1.05,"Pass","Fail")))</f>
        <v/>
      </c>
      <c r="BS86" s="723"/>
      <c r="BT86" s="724"/>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91"/>
      <c r="CP86" s="792"/>
      <c r="CQ86" s="793"/>
      <c r="CR86" s="791"/>
      <c r="CS86" s="792"/>
      <c r="CT86" s="793"/>
      <c r="CU86" s="791" t="str">
        <f t="shared" si="17"/>
        <v/>
      </c>
      <c r="CV86" s="792"/>
      <c r="CW86" s="807"/>
      <c r="CX86" s="808"/>
      <c r="CY86" s="730"/>
      <c r="CZ86" s="809"/>
      <c r="DA86" s="733"/>
      <c r="DB86" s="734"/>
      <c r="DC86" s="735"/>
      <c r="DD86" s="729" t="str">
        <f t="shared" si="18"/>
        <v/>
      </c>
      <c r="DE86" s="730"/>
      <c r="DF86" s="731"/>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6" t="str">
        <f t="shared" si="14"/>
        <v/>
      </c>
      <c r="E87" s="767"/>
      <c r="F87" s="17" t="str">
        <f t="shared" si="12"/>
        <v/>
      </c>
      <c r="G87" s="768"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9"/>
      <c r="I87" s="228"/>
      <c r="J87" s="228"/>
      <c r="K87" s="228"/>
      <c r="L87" s="717" t="str">
        <f t="shared" si="11"/>
        <v/>
      </c>
      <c r="M87" s="717"/>
      <c r="N87" s="717"/>
      <c r="O87" s="717"/>
      <c r="P87" s="717" t="str">
        <f>IF(OR(G87=0,G87=""),"",IF(VLOOKUP(G87,'Geometry 2'!$C$4:$AI$14,1,TRUE)=VLOOKUP(G88,'Geometry 2'!$C$4:$AI$14,1,TRUE),"",IF(VLOOKUP(G87,'Geometry 2'!$C$4:$AI$14,33,TRUE)&lt;&gt;"n/a",MIN(G87,VLOOKUP(G87,'Geometry 2'!$C$4:$AI$14,1,TRUE))-VLOOKUP(G87,'Geometry 2'!$C$4:$AI$14,33,TRUE),"check")))</f>
        <v/>
      </c>
      <c r="Q87" s="717"/>
      <c r="R87" s="717"/>
      <c r="S87" s="717"/>
      <c r="T87" s="717" t="str">
        <f>IF($G87="","",VLOOKUP($G87,'Geometry 2'!$E$4:$AH$14,11,TRUE))</f>
        <v/>
      </c>
      <c r="U87" s="717"/>
      <c r="V87" s="717"/>
      <c r="W87" s="717"/>
      <c r="X87" s="716" t="str">
        <f>IF($G87="","",VLOOKUP($G87,'Geometry 2'!$E$4:$AJ$14,19,TRUE)-12*VLOOKUP($G87,'Geometry 2'!$E$4:$AJ$14,32,TRUE)*($D87-VLOOKUP($G87,'Geometry 2'!$E$5:$AH$14,1,TRUE)))</f>
        <v/>
      </c>
      <c r="Y87" s="716"/>
      <c r="Z87" s="716"/>
      <c r="AA87" s="716"/>
      <c r="AB87" s="757" t="str">
        <f>IF($G87="","",VLOOKUP($G87,'Geometry 2'!$E$4:$AJ$14,19,TRUE)-12*VLOOKUP($G87,'Geometry 2'!$E$4:$AJ$14,32,TRUE)*($G87-VLOOKUP($G87,'Geometry 2'!$E$5:$AH$14,1,TRUE)))</f>
        <v/>
      </c>
      <c r="AC87" s="758"/>
      <c r="AD87" s="758"/>
      <c r="AE87" s="759"/>
      <c r="AF87" s="716" t="str">
        <f>IF($G87="","",VLOOKUP($G87,'Geometry 2'!$E$4:$AJ$14,19,TRUE)-12*VLOOKUP($G87,'Geometry 2'!$E$4:$AJ$14,32,TRUE)*($G87-IF($P87="",0,$P87)-VLOOKUP($G87,'Geometry 2'!$E$5:$AH$14,1,TRUE)))</f>
        <v/>
      </c>
      <c r="AG87" s="716"/>
      <c r="AH87" s="716"/>
      <c r="AI87" s="716"/>
      <c r="AJ87" s="746" t="str">
        <f>IF($G87="","",VLOOKUP($G87,'Geometry 2'!$E$4:$AH$14,23,TRUE))</f>
        <v/>
      </c>
      <c r="AK87" s="747"/>
      <c r="AL87" s="747"/>
      <c r="AM87" s="748"/>
      <c r="AN87" s="717"/>
      <c r="AO87" s="717"/>
      <c r="AP87" s="717"/>
      <c r="AQ87" s="717"/>
      <c r="AR87" s="717" t="str">
        <f>IF($G87="","",VLOOKUP($G87,'Geometry 2'!$E$4:$AH$14,27,TRUE))</f>
        <v/>
      </c>
      <c r="AS87" s="717"/>
      <c r="AT87" s="717"/>
      <c r="AU87" s="718"/>
      <c r="AV87" s="715"/>
      <c r="AW87" s="716"/>
      <c r="AX87" s="716"/>
      <c r="AZ87" s="722" t="str">
        <f t="shared" si="15"/>
        <v/>
      </c>
      <c r="BA87" s="723"/>
      <c r="BB87" s="723"/>
      <c r="BC87" s="724"/>
      <c r="BD87" s="722"/>
      <c r="BE87" s="723"/>
      <c r="BF87" s="723"/>
      <c r="BG87" s="722" t="str">
        <f t="shared" si="19"/>
        <v/>
      </c>
      <c r="BH87" s="723"/>
      <c r="BI87" s="723"/>
      <c r="BJ87" s="723"/>
      <c r="BK87" s="724"/>
      <c r="BL87" s="722"/>
      <c r="BM87" s="723"/>
      <c r="BN87" s="723"/>
      <c r="BO87" s="723"/>
      <c r="BP87" s="725"/>
      <c r="BQ87" s="725"/>
      <c r="BR87" s="722" t="str">
        <f>IF(BP87="","",IF(OR(AND(Rev="H",Calculations!$F$27=TRUE),AND(Rev&lt;&gt;"H",Calculations!$F$30=TRUE)),IF(BP87&lt;=1,"Pass","Fail"),IF(BP87&lt;=1.05,"Pass","Fail")))</f>
        <v/>
      </c>
      <c r="BS87" s="723"/>
      <c r="BT87" s="724"/>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98"/>
      <c r="CP87" s="799"/>
      <c r="CQ87" s="800"/>
      <c r="CR87" s="798"/>
      <c r="CS87" s="799"/>
      <c r="CT87" s="800"/>
      <c r="CU87" s="798" t="str">
        <f t="shared" si="17"/>
        <v/>
      </c>
      <c r="CV87" s="799"/>
      <c r="CW87" s="806"/>
      <c r="CX87" s="726"/>
      <c r="CY87" s="727"/>
      <c r="CZ87" s="732"/>
      <c r="DA87" s="726"/>
      <c r="DB87" s="727"/>
      <c r="DC87" s="732"/>
      <c r="DD87" s="726" t="str">
        <f t="shared" si="18"/>
        <v/>
      </c>
      <c r="DE87" s="727"/>
      <c r="DF87" s="728"/>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6" t="str">
        <f t="shared" si="14"/>
        <v/>
      </c>
      <c r="E88" s="767"/>
      <c r="F88" s="17" t="str">
        <f t="shared" si="12"/>
        <v/>
      </c>
      <c r="G88" s="768"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9"/>
      <c r="I88" s="228"/>
      <c r="J88" s="228"/>
      <c r="K88" s="228"/>
      <c r="L88" s="717" t="str">
        <f t="shared" si="11"/>
        <v/>
      </c>
      <c r="M88" s="717"/>
      <c r="N88" s="717"/>
      <c r="O88" s="717"/>
      <c r="P88" s="717" t="str">
        <f>IF(OR(G88=0,G88=""),"",IF(VLOOKUP(G88,'Geometry 2'!$C$4:$AI$14,1,TRUE)=VLOOKUP(G89,'Geometry 2'!$C$4:$AI$14,1,TRUE),"",IF(VLOOKUP(G88,'Geometry 2'!$C$4:$AI$14,33,TRUE)&lt;&gt;"n/a",MIN(G88,VLOOKUP(G88,'Geometry 2'!$C$4:$AI$14,1,TRUE))-VLOOKUP(G88,'Geometry 2'!$C$4:$AI$14,33,TRUE),"check")))</f>
        <v/>
      </c>
      <c r="Q88" s="717"/>
      <c r="R88" s="717"/>
      <c r="S88" s="717"/>
      <c r="T88" s="717" t="str">
        <f>IF($G88="","",VLOOKUP($G88,'Geometry 2'!$E$4:$AH$14,11,TRUE))</f>
        <v/>
      </c>
      <c r="U88" s="717"/>
      <c r="V88" s="717"/>
      <c r="W88" s="717"/>
      <c r="X88" s="716" t="str">
        <f>IF($G88="","",VLOOKUP($G88,'Geometry 2'!$E$4:$AJ$14,19,TRUE)-12*VLOOKUP($G88,'Geometry 2'!$E$4:$AJ$14,32,TRUE)*($D88-VLOOKUP($G88,'Geometry 2'!$E$5:$AH$14,1,TRUE)))</f>
        <v/>
      </c>
      <c r="Y88" s="716"/>
      <c r="Z88" s="716"/>
      <c r="AA88" s="716"/>
      <c r="AB88" s="757" t="str">
        <f>IF($G88="","",VLOOKUP($G88,'Geometry 2'!$E$4:$AJ$14,19,TRUE)-12*VLOOKUP($G88,'Geometry 2'!$E$4:$AJ$14,32,TRUE)*($G88-VLOOKUP($G88,'Geometry 2'!$E$5:$AH$14,1,TRUE)))</f>
        <v/>
      </c>
      <c r="AC88" s="758"/>
      <c r="AD88" s="758"/>
      <c r="AE88" s="759"/>
      <c r="AF88" s="716" t="str">
        <f>IF($G88="","",VLOOKUP($G88,'Geometry 2'!$E$4:$AJ$14,19,TRUE)-12*VLOOKUP($G88,'Geometry 2'!$E$4:$AJ$14,32,TRUE)*($G88-IF($P88="",0,$P88)-VLOOKUP($G88,'Geometry 2'!$E$5:$AH$14,1,TRUE)))</f>
        <v/>
      </c>
      <c r="AG88" s="716"/>
      <c r="AH88" s="716"/>
      <c r="AI88" s="716"/>
      <c r="AJ88" s="746" t="str">
        <f>IF($G88="","",VLOOKUP($G88,'Geometry 2'!$E$4:$AH$14,23,TRUE))</f>
        <v/>
      </c>
      <c r="AK88" s="747"/>
      <c r="AL88" s="747"/>
      <c r="AM88" s="748"/>
      <c r="AN88" s="717"/>
      <c r="AO88" s="717"/>
      <c r="AP88" s="717"/>
      <c r="AQ88" s="717"/>
      <c r="AR88" s="717" t="str">
        <f>IF($G88="","",VLOOKUP($G88,'Geometry 2'!$E$4:$AH$14,27,TRUE))</f>
        <v/>
      </c>
      <c r="AS88" s="717"/>
      <c r="AT88" s="717"/>
      <c r="AU88" s="718"/>
      <c r="AV88" s="715"/>
      <c r="AW88" s="716"/>
      <c r="AX88" s="716"/>
      <c r="AZ88" s="722" t="str">
        <f t="shared" si="15"/>
        <v/>
      </c>
      <c r="BA88" s="723"/>
      <c r="BB88" s="723"/>
      <c r="BC88" s="724"/>
      <c r="BD88" s="722"/>
      <c r="BE88" s="723"/>
      <c r="BF88" s="723"/>
      <c r="BG88" s="722" t="str">
        <f t="shared" si="19"/>
        <v/>
      </c>
      <c r="BH88" s="723"/>
      <c r="BI88" s="723"/>
      <c r="BJ88" s="723"/>
      <c r="BK88" s="724"/>
      <c r="BL88" s="722"/>
      <c r="BM88" s="723"/>
      <c r="BN88" s="723"/>
      <c r="BO88" s="723"/>
      <c r="BP88" s="725"/>
      <c r="BQ88" s="725"/>
      <c r="BR88" s="722" t="str">
        <f>IF(BP88="","",IF(OR(AND(Rev="H",Calculations!$F$27=TRUE),AND(Rev&lt;&gt;"H",Calculations!$F$30=TRUE)),IF(BP88&lt;=1,"Pass","Fail"),IF(BP88&lt;=1.05,"Pass","Fail")))</f>
        <v/>
      </c>
      <c r="BS88" s="723"/>
      <c r="BT88" s="724"/>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91"/>
      <c r="CP88" s="792"/>
      <c r="CQ88" s="793"/>
      <c r="CR88" s="791"/>
      <c r="CS88" s="792"/>
      <c r="CT88" s="793"/>
      <c r="CU88" s="791" t="str">
        <f t="shared" si="17"/>
        <v/>
      </c>
      <c r="CV88" s="792"/>
      <c r="CW88" s="807"/>
      <c r="CX88" s="808"/>
      <c r="CY88" s="730"/>
      <c r="CZ88" s="809"/>
      <c r="DA88" s="733"/>
      <c r="DB88" s="734"/>
      <c r="DC88" s="735"/>
      <c r="DD88" s="729" t="str">
        <f t="shared" si="18"/>
        <v/>
      </c>
      <c r="DE88" s="730"/>
      <c r="DF88" s="731"/>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6" t="str">
        <f t="shared" si="14"/>
        <v/>
      </c>
      <c r="E89" s="767"/>
      <c r="F89" s="17" t="str">
        <f t="shared" si="12"/>
        <v/>
      </c>
      <c r="G89" s="768"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9"/>
      <c r="I89" s="228"/>
      <c r="J89" s="228"/>
      <c r="K89" s="228"/>
      <c r="L89" s="717" t="str">
        <f t="shared" si="11"/>
        <v/>
      </c>
      <c r="M89" s="717"/>
      <c r="N89" s="717"/>
      <c r="O89" s="717"/>
      <c r="P89" s="717" t="str">
        <f>IF(OR(G89=0,G89=""),"",IF(VLOOKUP(G89,'Geometry 2'!$C$4:$AI$14,1,TRUE)=VLOOKUP(G90,'Geometry 2'!$C$4:$AI$14,1,TRUE),"",IF(VLOOKUP(G89,'Geometry 2'!$C$4:$AI$14,33,TRUE)&lt;&gt;"n/a",MIN(G89,VLOOKUP(G89,'Geometry 2'!$C$4:$AI$14,1,TRUE))-VLOOKUP(G89,'Geometry 2'!$C$4:$AI$14,33,TRUE),"check")))</f>
        <v/>
      </c>
      <c r="Q89" s="717"/>
      <c r="R89" s="717"/>
      <c r="S89" s="717"/>
      <c r="T89" s="717" t="str">
        <f>IF($G89="","",VLOOKUP($G89,'Geometry 2'!$E$4:$AH$14,11,TRUE))</f>
        <v/>
      </c>
      <c r="U89" s="717"/>
      <c r="V89" s="717"/>
      <c r="W89" s="717"/>
      <c r="X89" s="716" t="str">
        <f>IF($G89="","",VLOOKUP($G89,'Geometry 2'!$E$4:$AJ$14,19,TRUE)-12*VLOOKUP($G89,'Geometry 2'!$E$4:$AJ$14,32,TRUE)*($D89-VLOOKUP($G89,'Geometry 2'!$E$5:$AH$14,1,TRUE)))</f>
        <v/>
      </c>
      <c r="Y89" s="716"/>
      <c r="Z89" s="716"/>
      <c r="AA89" s="716"/>
      <c r="AB89" s="757" t="str">
        <f>IF($G89="","",VLOOKUP($G89,'Geometry 2'!$E$4:$AJ$14,19,TRUE)-12*VLOOKUP($G89,'Geometry 2'!$E$4:$AJ$14,32,TRUE)*($G89-VLOOKUP($G89,'Geometry 2'!$E$5:$AH$14,1,TRUE)))</f>
        <v/>
      </c>
      <c r="AC89" s="758"/>
      <c r="AD89" s="758"/>
      <c r="AE89" s="759"/>
      <c r="AF89" s="716" t="str">
        <f>IF($G89="","",VLOOKUP($G89,'Geometry 2'!$E$4:$AJ$14,19,TRUE)-12*VLOOKUP($G89,'Geometry 2'!$E$4:$AJ$14,32,TRUE)*($G89-IF($P89="",0,$P89)-VLOOKUP($G89,'Geometry 2'!$E$5:$AH$14,1,TRUE)))</f>
        <v/>
      </c>
      <c r="AG89" s="716"/>
      <c r="AH89" s="716"/>
      <c r="AI89" s="716"/>
      <c r="AJ89" s="746" t="str">
        <f>IF($G89="","",VLOOKUP($G89,'Geometry 2'!$E$4:$AH$14,23,TRUE))</f>
        <v/>
      </c>
      <c r="AK89" s="747"/>
      <c r="AL89" s="747"/>
      <c r="AM89" s="748"/>
      <c r="AN89" s="717"/>
      <c r="AO89" s="717"/>
      <c r="AP89" s="717"/>
      <c r="AQ89" s="717"/>
      <c r="AR89" s="717" t="str">
        <f>IF($G89="","",VLOOKUP($G89,'Geometry 2'!$E$4:$AH$14,27,TRUE))</f>
        <v/>
      </c>
      <c r="AS89" s="717"/>
      <c r="AT89" s="717"/>
      <c r="AU89" s="718"/>
      <c r="AV89" s="715"/>
      <c r="AW89" s="716"/>
      <c r="AX89" s="716"/>
      <c r="AZ89" s="722" t="str">
        <f t="shared" si="15"/>
        <v/>
      </c>
      <c r="BA89" s="723"/>
      <c r="BB89" s="723"/>
      <c r="BC89" s="724"/>
      <c r="BD89" s="722"/>
      <c r="BE89" s="723"/>
      <c r="BF89" s="723"/>
      <c r="BG89" s="722" t="str">
        <f t="shared" si="19"/>
        <v/>
      </c>
      <c r="BH89" s="723"/>
      <c r="BI89" s="723"/>
      <c r="BJ89" s="723"/>
      <c r="BK89" s="724"/>
      <c r="BL89" s="722"/>
      <c r="BM89" s="723"/>
      <c r="BN89" s="723"/>
      <c r="BO89" s="723"/>
      <c r="BP89" s="725"/>
      <c r="BQ89" s="725"/>
      <c r="BR89" s="722" t="str">
        <f>IF(BP89="","",IF(OR(AND(Rev="H",Calculations!$F$27=TRUE),AND(Rev&lt;&gt;"H",Calculations!$F$30=TRUE)),IF(BP89&lt;=1,"Pass","Fail"),IF(BP89&lt;=1.05,"Pass","Fail")))</f>
        <v/>
      </c>
      <c r="BS89" s="723"/>
      <c r="BT89" s="724"/>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98"/>
      <c r="CP89" s="799"/>
      <c r="CQ89" s="800"/>
      <c r="CR89" s="798"/>
      <c r="CS89" s="799"/>
      <c r="CT89" s="800"/>
      <c r="CU89" s="798" t="str">
        <f t="shared" si="17"/>
        <v/>
      </c>
      <c r="CV89" s="799"/>
      <c r="CW89" s="806"/>
      <c r="CX89" s="726"/>
      <c r="CY89" s="727"/>
      <c r="CZ89" s="732"/>
      <c r="DA89" s="726"/>
      <c r="DB89" s="727"/>
      <c r="DC89" s="732"/>
      <c r="DD89" s="726" t="str">
        <f t="shared" si="18"/>
        <v/>
      </c>
      <c r="DE89" s="727"/>
      <c r="DF89" s="728"/>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6" t="str">
        <f t="shared" si="14"/>
        <v/>
      </c>
      <c r="E90" s="767"/>
      <c r="F90" s="17" t="str">
        <f t="shared" si="12"/>
        <v/>
      </c>
      <c r="G90" s="768"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9"/>
      <c r="I90" s="228"/>
      <c r="J90" s="228"/>
      <c r="K90" s="228"/>
      <c r="L90" s="717" t="str">
        <f t="shared" si="11"/>
        <v/>
      </c>
      <c r="M90" s="717"/>
      <c r="N90" s="717"/>
      <c r="O90" s="717"/>
      <c r="P90" s="717" t="str">
        <f>IF(OR(G90=0,G90=""),"",IF(VLOOKUP(G90,'Geometry 2'!$C$4:$AI$14,1,TRUE)=VLOOKUP(G91,'Geometry 2'!$C$4:$AI$14,1,TRUE),"",IF(VLOOKUP(G90,'Geometry 2'!$C$4:$AI$14,33,TRUE)&lt;&gt;"n/a",MIN(G90,VLOOKUP(G90,'Geometry 2'!$C$4:$AI$14,1,TRUE))-VLOOKUP(G90,'Geometry 2'!$C$4:$AI$14,33,TRUE),"check")))</f>
        <v/>
      </c>
      <c r="Q90" s="717"/>
      <c r="R90" s="717"/>
      <c r="S90" s="717"/>
      <c r="T90" s="717" t="str">
        <f>IF($G90="","",VLOOKUP($G90,'Geometry 2'!$E$4:$AH$14,11,TRUE))</f>
        <v/>
      </c>
      <c r="U90" s="717"/>
      <c r="V90" s="717"/>
      <c r="W90" s="717"/>
      <c r="X90" s="716" t="str">
        <f>IF($G90="","",VLOOKUP($G90,'Geometry 2'!$E$4:$AJ$14,19,TRUE)-12*VLOOKUP($G90,'Geometry 2'!$E$4:$AJ$14,32,TRUE)*($D90-VLOOKUP($G90,'Geometry 2'!$E$5:$AH$14,1,TRUE)))</f>
        <v/>
      </c>
      <c r="Y90" s="716"/>
      <c r="Z90" s="716"/>
      <c r="AA90" s="716"/>
      <c r="AB90" s="757" t="str">
        <f>IF($G90="","",VLOOKUP($G90,'Geometry 2'!$E$4:$AJ$14,19,TRUE)-12*VLOOKUP($G90,'Geometry 2'!$E$4:$AJ$14,32,TRUE)*($G90-VLOOKUP($G90,'Geometry 2'!$E$5:$AH$14,1,TRUE)))</f>
        <v/>
      </c>
      <c r="AC90" s="758"/>
      <c r="AD90" s="758"/>
      <c r="AE90" s="759"/>
      <c r="AF90" s="716" t="str">
        <f>IF($G90="","",VLOOKUP($G90,'Geometry 2'!$E$4:$AJ$14,19,TRUE)-12*VLOOKUP($G90,'Geometry 2'!$E$4:$AJ$14,32,TRUE)*($G90-IF($P90="",0,$P90)-VLOOKUP($G90,'Geometry 2'!$E$5:$AH$14,1,TRUE)))</f>
        <v/>
      </c>
      <c r="AG90" s="716"/>
      <c r="AH90" s="716"/>
      <c r="AI90" s="716"/>
      <c r="AJ90" s="746" t="str">
        <f>IF($G90="","",VLOOKUP($G90,'Geometry 2'!$E$4:$AH$14,23,TRUE))</f>
        <v/>
      </c>
      <c r="AK90" s="747"/>
      <c r="AL90" s="747"/>
      <c r="AM90" s="748"/>
      <c r="AN90" s="717"/>
      <c r="AO90" s="717"/>
      <c r="AP90" s="717"/>
      <c r="AQ90" s="717"/>
      <c r="AR90" s="717" t="str">
        <f>IF($G90="","",VLOOKUP($G90,'Geometry 2'!$E$4:$AH$14,27,TRUE))</f>
        <v/>
      </c>
      <c r="AS90" s="717"/>
      <c r="AT90" s="717"/>
      <c r="AU90" s="718"/>
      <c r="AV90" s="715"/>
      <c r="AW90" s="716"/>
      <c r="AX90" s="716"/>
      <c r="AZ90" s="722" t="str">
        <f t="shared" si="15"/>
        <v/>
      </c>
      <c r="BA90" s="723"/>
      <c r="BB90" s="723"/>
      <c r="BC90" s="724"/>
      <c r="BD90" s="722"/>
      <c r="BE90" s="723"/>
      <c r="BF90" s="723"/>
      <c r="BG90" s="722" t="str">
        <f t="shared" si="19"/>
        <v/>
      </c>
      <c r="BH90" s="723"/>
      <c r="BI90" s="723"/>
      <c r="BJ90" s="723"/>
      <c r="BK90" s="724"/>
      <c r="BL90" s="722"/>
      <c r="BM90" s="723"/>
      <c r="BN90" s="723"/>
      <c r="BO90" s="723"/>
      <c r="BP90" s="725"/>
      <c r="BQ90" s="725"/>
      <c r="BR90" s="722" t="str">
        <f>IF(BP90="","",IF(OR(AND(Rev="H",Calculations!$F$27=TRUE),AND(Rev&lt;&gt;"H",Calculations!$F$30=TRUE)),IF(BP90&lt;=1,"Pass","Fail"),IF(BP90&lt;=1.05,"Pass","Fail")))</f>
        <v/>
      </c>
      <c r="BS90" s="723"/>
      <c r="BT90" s="724"/>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91"/>
      <c r="CP90" s="792"/>
      <c r="CQ90" s="793"/>
      <c r="CR90" s="791"/>
      <c r="CS90" s="792"/>
      <c r="CT90" s="793"/>
      <c r="CU90" s="791" t="str">
        <f t="shared" si="17"/>
        <v/>
      </c>
      <c r="CV90" s="792"/>
      <c r="CW90" s="807"/>
      <c r="CX90" s="808"/>
      <c r="CY90" s="730"/>
      <c r="CZ90" s="809"/>
      <c r="DA90" s="733"/>
      <c r="DB90" s="734"/>
      <c r="DC90" s="735"/>
      <c r="DD90" s="729" t="str">
        <f t="shared" si="18"/>
        <v/>
      </c>
      <c r="DE90" s="730"/>
      <c r="DF90" s="731"/>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6" t="str">
        <f t="shared" si="14"/>
        <v/>
      </c>
      <c r="E91" s="767"/>
      <c r="F91" s="17" t="str">
        <f t="shared" si="12"/>
        <v/>
      </c>
      <c r="G91" s="768"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9"/>
      <c r="I91" s="228"/>
      <c r="J91" s="228"/>
      <c r="K91" s="228"/>
      <c r="L91" s="717" t="str">
        <f t="shared" si="11"/>
        <v/>
      </c>
      <c r="M91" s="717"/>
      <c r="N91" s="717"/>
      <c r="O91" s="717"/>
      <c r="P91" s="717" t="str">
        <f>IF(OR(G91=0,G91=""),"",IF(VLOOKUP(G91,'Geometry 2'!$C$4:$AI$14,1,TRUE)=VLOOKUP(G92,'Geometry 2'!$C$4:$AI$14,1,TRUE),"",IF(VLOOKUP(G91,'Geometry 2'!$C$4:$AI$14,33,TRUE)&lt;&gt;"n/a",MIN(G91,VLOOKUP(G91,'Geometry 2'!$C$4:$AI$14,1,TRUE))-VLOOKUP(G91,'Geometry 2'!$C$4:$AI$14,33,TRUE),"check")))</f>
        <v/>
      </c>
      <c r="Q91" s="717"/>
      <c r="R91" s="717"/>
      <c r="S91" s="717"/>
      <c r="T91" s="717" t="str">
        <f>IF($G91="","",VLOOKUP($G91,'Geometry 2'!$E$4:$AH$14,11,TRUE))</f>
        <v/>
      </c>
      <c r="U91" s="717"/>
      <c r="V91" s="717"/>
      <c r="W91" s="717"/>
      <c r="X91" s="716" t="str">
        <f>IF($G91="","",VLOOKUP($G91,'Geometry 2'!$E$4:$AJ$14,19,TRUE)-12*VLOOKUP($G91,'Geometry 2'!$E$4:$AJ$14,32,TRUE)*($D91-VLOOKUP($G91,'Geometry 2'!$E$5:$AH$14,1,TRUE)))</f>
        <v/>
      </c>
      <c r="Y91" s="716"/>
      <c r="Z91" s="716"/>
      <c r="AA91" s="716"/>
      <c r="AB91" s="757" t="str">
        <f>IF($G91="","",VLOOKUP($G91,'Geometry 2'!$E$4:$AJ$14,19,TRUE)-12*VLOOKUP($G91,'Geometry 2'!$E$4:$AJ$14,32,TRUE)*($G91-VLOOKUP($G91,'Geometry 2'!$E$5:$AH$14,1,TRUE)))</f>
        <v/>
      </c>
      <c r="AC91" s="758"/>
      <c r="AD91" s="758"/>
      <c r="AE91" s="759"/>
      <c r="AF91" s="716" t="str">
        <f>IF($G91="","",VLOOKUP($G91,'Geometry 2'!$E$4:$AJ$14,19,TRUE)-12*VLOOKUP($G91,'Geometry 2'!$E$4:$AJ$14,32,TRUE)*($G91-IF($P91="",0,$P91)-VLOOKUP($G91,'Geometry 2'!$E$5:$AH$14,1,TRUE)))</f>
        <v/>
      </c>
      <c r="AG91" s="716"/>
      <c r="AH91" s="716"/>
      <c r="AI91" s="716"/>
      <c r="AJ91" s="746" t="str">
        <f>IF($G91="","",VLOOKUP($G91,'Geometry 2'!$E$4:$AH$14,23,TRUE))</f>
        <v/>
      </c>
      <c r="AK91" s="747"/>
      <c r="AL91" s="747"/>
      <c r="AM91" s="748"/>
      <c r="AN91" s="717"/>
      <c r="AO91" s="717"/>
      <c r="AP91" s="717"/>
      <c r="AQ91" s="717"/>
      <c r="AR91" s="717" t="str">
        <f>IF($G91="","",VLOOKUP($G91,'Geometry 2'!$E$4:$AH$14,27,TRUE))</f>
        <v/>
      </c>
      <c r="AS91" s="717"/>
      <c r="AT91" s="717"/>
      <c r="AU91" s="718"/>
      <c r="AV91" s="715"/>
      <c r="AW91" s="716"/>
      <c r="AX91" s="716"/>
      <c r="AZ91" s="722" t="str">
        <f t="shared" si="15"/>
        <v/>
      </c>
      <c r="BA91" s="723"/>
      <c r="BB91" s="723"/>
      <c r="BC91" s="724"/>
      <c r="BD91" s="722"/>
      <c r="BE91" s="723"/>
      <c r="BF91" s="723"/>
      <c r="BG91" s="722" t="str">
        <f t="shared" si="19"/>
        <v/>
      </c>
      <c r="BH91" s="723"/>
      <c r="BI91" s="723"/>
      <c r="BJ91" s="723"/>
      <c r="BK91" s="724"/>
      <c r="BL91" s="722"/>
      <c r="BM91" s="723"/>
      <c r="BN91" s="723"/>
      <c r="BO91" s="723"/>
      <c r="BP91" s="725"/>
      <c r="BQ91" s="725"/>
      <c r="BR91" s="722" t="str">
        <f>IF(BP91="","",IF(OR(AND(Rev="H",Calculations!$F$27=TRUE),AND(Rev&lt;&gt;"H",Calculations!$F$30=TRUE)),IF(BP91&lt;=1,"Pass","Fail"),IF(BP91&lt;=1.05,"Pass","Fail")))</f>
        <v/>
      </c>
      <c r="BS91" s="723"/>
      <c r="BT91" s="724"/>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98"/>
      <c r="CP91" s="799"/>
      <c r="CQ91" s="800"/>
      <c r="CR91" s="798"/>
      <c r="CS91" s="799"/>
      <c r="CT91" s="800"/>
      <c r="CU91" s="798" t="str">
        <f t="shared" si="17"/>
        <v/>
      </c>
      <c r="CV91" s="799"/>
      <c r="CW91" s="806"/>
      <c r="CX91" s="726"/>
      <c r="CY91" s="727"/>
      <c r="CZ91" s="732"/>
      <c r="DA91" s="726"/>
      <c r="DB91" s="727"/>
      <c r="DC91" s="732"/>
      <c r="DD91" s="726" t="str">
        <f t="shared" si="18"/>
        <v/>
      </c>
      <c r="DE91" s="727"/>
      <c r="DF91" s="728"/>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6" t="str">
        <f t="shared" si="14"/>
        <v/>
      </c>
      <c r="E92" s="767"/>
      <c r="F92" s="17" t="str">
        <f t="shared" si="12"/>
        <v/>
      </c>
      <c r="G92" s="768"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9"/>
      <c r="I92" s="228"/>
      <c r="J92" s="228"/>
      <c r="K92" s="228"/>
      <c r="L92" s="717" t="str">
        <f t="shared" si="11"/>
        <v/>
      </c>
      <c r="M92" s="717"/>
      <c r="N92" s="717"/>
      <c r="O92" s="717"/>
      <c r="P92" s="717" t="str">
        <f>IF(OR(G92=0,G92=""),"",IF(VLOOKUP(G92,'Geometry 2'!$C$4:$AI$14,1,TRUE)=VLOOKUP(G93,'Geometry 2'!$C$4:$AI$14,1,TRUE),"",IF(VLOOKUP(G92,'Geometry 2'!$C$4:$AI$14,33,TRUE)&lt;&gt;"n/a",MIN(G92,VLOOKUP(G92,'Geometry 2'!$C$4:$AI$14,1,TRUE))-VLOOKUP(G92,'Geometry 2'!$C$4:$AI$14,33,TRUE),"check")))</f>
        <v/>
      </c>
      <c r="Q92" s="717"/>
      <c r="R92" s="717"/>
      <c r="S92" s="717"/>
      <c r="T92" s="717" t="str">
        <f>IF($G92="","",VLOOKUP($G92,'Geometry 2'!$E$4:$AH$14,11,TRUE))</f>
        <v/>
      </c>
      <c r="U92" s="717"/>
      <c r="V92" s="717"/>
      <c r="W92" s="717"/>
      <c r="X92" s="716" t="str">
        <f>IF($G92="","",VLOOKUP($G92,'Geometry 2'!$E$4:$AJ$14,19,TRUE)-12*VLOOKUP($G92,'Geometry 2'!$E$4:$AJ$14,32,TRUE)*($D92-VLOOKUP($G92,'Geometry 2'!$E$5:$AH$14,1,TRUE)))</f>
        <v/>
      </c>
      <c r="Y92" s="716"/>
      <c r="Z92" s="716"/>
      <c r="AA92" s="716"/>
      <c r="AB92" s="757" t="str">
        <f>IF($G92="","",VLOOKUP($G92,'Geometry 2'!$E$4:$AJ$14,19,TRUE)-12*VLOOKUP($G92,'Geometry 2'!$E$4:$AJ$14,32,TRUE)*($G92-VLOOKUP($G92,'Geometry 2'!$E$5:$AH$14,1,TRUE)))</f>
        <v/>
      </c>
      <c r="AC92" s="758"/>
      <c r="AD92" s="758"/>
      <c r="AE92" s="759"/>
      <c r="AF92" s="716" t="str">
        <f>IF($G92="","",VLOOKUP($G92,'Geometry 2'!$E$4:$AJ$14,19,TRUE)-12*VLOOKUP($G92,'Geometry 2'!$E$4:$AJ$14,32,TRUE)*($G92-IF($P92="",0,$P92)-VLOOKUP($G92,'Geometry 2'!$E$5:$AH$14,1,TRUE)))</f>
        <v/>
      </c>
      <c r="AG92" s="716"/>
      <c r="AH92" s="716"/>
      <c r="AI92" s="716"/>
      <c r="AJ92" s="746" t="str">
        <f>IF($G92="","",VLOOKUP($G92,'Geometry 2'!$E$4:$AH$14,23,TRUE))</f>
        <v/>
      </c>
      <c r="AK92" s="747"/>
      <c r="AL92" s="747"/>
      <c r="AM92" s="748"/>
      <c r="AN92" s="717"/>
      <c r="AO92" s="717"/>
      <c r="AP92" s="717"/>
      <c r="AQ92" s="717"/>
      <c r="AR92" s="717" t="str">
        <f>IF($G92="","",VLOOKUP($G92,'Geometry 2'!$E$4:$AH$14,27,TRUE))</f>
        <v/>
      </c>
      <c r="AS92" s="717"/>
      <c r="AT92" s="717"/>
      <c r="AU92" s="718"/>
      <c r="AV92" s="715"/>
      <c r="AW92" s="716"/>
      <c r="AX92" s="716"/>
      <c r="AZ92" s="722" t="str">
        <f t="shared" si="15"/>
        <v/>
      </c>
      <c r="BA92" s="723"/>
      <c r="BB92" s="723"/>
      <c r="BC92" s="724"/>
      <c r="BD92" s="722"/>
      <c r="BE92" s="723"/>
      <c r="BF92" s="723"/>
      <c r="BG92" s="722" t="str">
        <f t="shared" si="19"/>
        <v/>
      </c>
      <c r="BH92" s="723"/>
      <c r="BI92" s="723"/>
      <c r="BJ92" s="723"/>
      <c r="BK92" s="724"/>
      <c r="BL92" s="722"/>
      <c r="BM92" s="723"/>
      <c r="BN92" s="723"/>
      <c r="BO92" s="723"/>
      <c r="BP92" s="725"/>
      <c r="BQ92" s="725"/>
      <c r="BR92" s="722" t="str">
        <f>IF(BP92="","",IF(OR(AND(Rev="H",Calculations!$F$27=TRUE),AND(Rev&lt;&gt;"H",Calculations!$F$30=TRUE)),IF(BP92&lt;=1,"Pass","Fail"),IF(BP92&lt;=1.05,"Pass","Fail")))</f>
        <v/>
      </c>
      <c r="BS92" s="723"/>
      <c r="BT92" s="724"/>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91"/>
      <c r="CP92" s="792"/>
      <c r="CQ92" s="793"/>
      <c r="CR92" s="791"/>
      <c r="CS92" s="792"/>
      <c r="CT92" s="793"/>
      <c r="CU92" s="791" t="str">
        <f t="shared" si="17"/>
        <v/>
      </c>
      <c r="CV92" s="792"/>
      <c r="CW92" s="807"/>
      <c r="CX92" s="808"/>
      <c r="CY92" s="730"/>
      <c r="CZ92" s="809"/>
      <c r="DA92" s="733"/>
      <c r="DB92" s="734"/>
      <c r="DC92" s="735"/>
      <c r="DD92" s="729" t="str">
        <f t="shared" si="18"/>
        <v/>
      </c>
      <c r="DE92" s="730"/>
      <c r="DF92" s="731"/>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6" t="str">
        <f t="shared" si="14"/>
        <v/>
      </c>
      <c r="E93" s="767"/>
      <c r="F93" s="17" t="str">
        <f t="shared" si="12"/>
        <v/>
      </c>
      <c r="G93" s="768"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9"/>
      <c r="I93" s="228"/>
      <c r="J93" s="228"/>
      <c r="K93" s="228"/>
      <c r="L93" s="717" t="str">
        <f t="shared" si="11"/>
        <v/>
      </c>
      <c r="M93" s="717"/>
      <c r="N93" s="717"/>
      <c r="O93" s="717"/>
      <c r="P93" s="717" t="str">
        <f>IF(OR(G93=0,G93=""),"",IF(VLOOKUP(G93,'Geometry 2'!$C$4:$AI$14,1,TRUE)=VLOOKUP(G94,'Geometry 2'!$C$4:$AI$14,1,TRUE),"",IF(VLOOKUP(G93,'Geometry 2'!$C$4:$AI$14,33,TRUE)&lt;&gt;"n/a",MIN(G93,VLOOKUP(G93,'Geometry 2'!$C$4:$AI$14,1,TRUE))-VLOOKUP(G93,'Geometry 2'!$C$4:$AI$14,33,TRUE),"check")))</f>
        <v/>
      </c>
      <c r="Q93" s="717"/>
      <c r="R93" s="717"/>
      <c r="S93" s="717"/>
      <c r="T93" s="717" t="str">
        <f>IF($G93="","",VLOOKUP($G93,'Geometry 2'!$E$4:$AH$14,11,TRUE))</f>
        <v/>
      </c>
      <c r="U93" s="717"/>
      <c r="V93" s="717"/>
      <c r="W93" s="717"/>
      <c r="X93" s="716" t="str">
        <f>IF($G93="","",VLOOKUP($G93,'Geometry 2'!$E$4:$AJ$14,19,TRUE)-12*VLOOKUP($G93,'Geometry 2'!$E$4:$AJ$14,32,TRUE)*($D93-VLOOKUP($G93,'Geometry 2'!$E$5:$AH$14,1,TRUE)))</f>
        <v/>
      </c>
      <c r="Y93" s="716"/>
      <c r="Z93" s="716"/>
      <c r="AA93" s="716"/>
      <c r="AB93" s="757" t="str">
        <f>IF($G93="","",VLOOKUP($G93,'Geometry 2'!$E$4:$AJ$14,19,TRUE)-12*VLOOKUP($G93,'Geometry 2'!$E$4:$AJ$14,32,TRUE)*($G93-VLOOKUP($G93,'Geometry 2'!$E$5:$AH$14,1,TRUE)))</f>
        <v/>
      </c>
      <c r="AC93" s="758"/>
      <c r="AD93" s="758"/>
      <c r="AE93" s="759"/>
      <c r="AF93" s="716" t="str">
        <f>IF($G93="","",VLOOKUP($G93,'Geometry 2'!$E$4:$AJ$14,19,TRUE)-12*VLOOKUP($G93,'Geometry 2'!$E$4:$AJ$14,32,TRUE)*($G93-IF($P93="",0,$P93)-VLOOKUP($G93,'Geometry 2'!$E$5:$AH$14,1,TRUE)))</f>
        <v/>
      </c>
      <c r="AG93" s="716"/>
      <c r="AH93" s="716"/>
      <c r="AI93" s="716"/>
      <c r="AJ93" s="746" t="str">
        <f>IF($G93="","",VLOOKUP($G93,'Geometry 2'!$E$4:$AH$14,23,TRUE))</f>
        <v/>
      </c>
      <c r="AK93" s="747"/>
      <c r="AL93" s="747"/>
      <c r="AM93" s="748"/>
      <c r="AN93" s="717"/>
      <c r="AO93" s="717"/>
      <c r="AP93" s="717"/>
      <c r="AQ93" s="717"/>
      <c r="AR93" s="717" t="str">
        <f>IF($G93="","",VLOOKUP($G93,'Geometry 2'!$E$4:$AH$14,27,TRUE))</f>
        <v/>
      </c>
      <c r="AS93" s="717"/>
      <c r="AT93" s="717"/>
      <c r="AU93" s="718"/>
      <c r="AV93" s="715"/>
      <c r="AW93" s="716"/>
      <c r="AX93" s="716"/>
      <c r="AZ93" s="722" t="str">
        <f t="shared" si="15"/>
        <v/>
      </c>
      <c r="BA93" s="723"/>
      <c r="BB93" s="723"/>
      <c r="BC93" s="724"/>
      <c r="BD93" s="722"/>
      <c r="BE93" s="723"/>
      <c r="BF93" s="723"/>
      <c r="BG93" s="722" t="str">
        <f t="shared" si="19"/>
        <v/>
      </c>
      <c r="BH93" s="723"/>
      <c r="BI93" s="723"/>
      <c r="BJ93" s="723"/>
      <c r="BK93" s="724"/>
      <c r="BL93" s="722"/>
      <c r="BM93" s="723"/>
      <c r="BN93" s="723"/>
      <c r="BO93" s="723"/>
      <c r="BP93" s="725"/>
      <c r="BQ93" s="725"/>
      <c r="BR93" s="722" t="str">
        <f>IF(BP93="","",IF(OR(AND(Rev="H",Calculations!$F$27=TRUE),AND(Rev&lt;&gt;"H",Calculations!$F$30=TRUE)),IF(BP93&lt;=1,"Pass","Fail"),IF(BP93&lt;=1.05,"Pass","Fail")))</f>
        <v/>
      </c>
      <c r="BS93" s="723"/>
      <c r="BT93" s="724"/>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98"/>
      <c r="CP93" s="799"/>
      <c r="CQ93" s="800"/>
      <c r="CR93" s="798"/>
      <c r="CS93" s="799"/>
      <c r="CT93" s="800"/>
      <c r="CU93" s="798" t="str">
        <f t="shared" si="17"/>
        <v/>
      </c>
      <c r="CV93" s="799"/>
      <c r="CW93" s="806"/>
      <c r="CX93" s="726"/>
      <c r="CY93" s="727"/>
      <c r="CZ93" s="732"/>
      <c r="DA93" s="726"/>
      <c r="DB93" s="727"/>
      <c r="DC93" s="732"/>
      <c r="DD93" s="726" t="str">
        <f t="shared" si="18"/>
        <v/>
      </c>
      <c r="DE93" s="727"/>
      <c r="DF93" s="728"/>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6" t="str">
        <f t="shared" si="14"/>
        <v/>
      </c>
      <c r="E94" s="767"/>
      <c r="F94" s="17" t="str">
        <f t="shared" si="12"/>
        <v/>
      </c>
      <c r="G94" s="768"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9"/>
      <c r="I94" s="228"/>
      <c r="J94" s="228"/>
      <c r="K94" s="228"/>
      <c r="L94" s="717" t="str">
        <f t="shared" si="11"/>
        <v/>
      </c>
      <c r="M94" s="717"/>
      <c r="N94" s="717"/>
      <c r="O94" s="717"/>
      <c r="P94" s="717" t="str">
        <f>IF(OR(G94=0,G94=""),"",IF(VLOOKUP(G94,'Geometry 2'!$C$4:$AI$14,1,TRUE)=VLOOKUP(G95,'Geometry 2'!$C$4:$AI$14,1,TRUE),"",IF(VLOOKUP(G94,'Geometry 2'!$C$4:$AI$14,33,TRUE)&lt;&gt;"n/a",MIN(G94,VLOOKUP(G94,'Geometry 2'!$C$4:$AI$14,1,TRUE))-VLOOKUP(G94,'Geometry 2'!$C$4:$AI$14,33,TRUE),"check")))</f>
        <v/>
      </c>
      <c r="Q94" s="717"/>
      <c r="R94" s="717"/>
      <c r="S94" s="717"/>
      <c r="T94" s="717" t="str">
        <f>IF($G94="","",VLOOKUP($G94,'Geometry 2'!$E$4:$AH$14,11,TRUE))</f>
        <v/>
      </c>
      <c r="U94" s="717"/>
      <c r="V94" s="717"/>
      <c r="W94" s="717"/>
      <c r="X94" s="716" t="str">
        <f>IF($G94="","",VLOOKUP($G94,'Geometry 2'!$E$4:$AJ$14,19,TRUE)-12*VLOOKUP($G94,'Geometry 2'!$E$4:$AJ$14,32,TRUE)*($D94-VLOOKUP($G94,'Geometry 2'!$E$5:$AH$14,1,TRUE)))</f>
        <v/>
      </c>
      <c r="Y94" s="716"/>
      <c r="Z94" s="716"/>
      <c r="AA94" s="716"/>
      <c r="AB94" s="757" t="str">
        <f>IF($G94="","",VLOOKUP($G94,'Geometry 2'!$E$4:$AJ$14,19,TRUE)-12*VLOOKUP($G94,'Geometry 2'!$E$4:$AJ$14,32,TRUE)*($G94-VLOOKUP($G94,'Geometry 2'!$E$5:$AH$14,1,TRUE)))</f>
        <v/>
      </c>
      <c r="AC94" s="758"/>
      <c r="AD94" s="758"/>
      <c r="AE94" s="759"/>
      <c r="AF94" s="716" t="str">
        <f>IF($G94="","",VLOOKUP($G94,'Geometry 2'!$E$4:$AJ$14,19,TRUE)-12*VLOOKUP($G94,'Geometry 2'!$E$4:$AJ$14,32,TRUE)*($G94-IF($P94="",0,$P94)-VLOOKUP($G94,'Geometry 2'!$E$5:$AH$14,1,TRUE)))</f>
        <v/>
      </c>
      <c r="AG94" s="716"/>
      <c r="AH94" s="716"/>
      <c r="AI94" s="716"/>
      <c r="AJ94" s="746" t="str">
        <f>IF($G94="","",VLOOKUP($G94,'Geometry 2'!$E$4:$AH$14,23,TRUE))</f>
        <v/>
      </c>
      <c r="AK94" s="747"/>
      <c r="AL94" s="747"/>
      <c r="AM94" s="748"/>
      <c r="AN94" s="717"/>
      <c r="AO94" s="717"/>
      <c r="AP94" s="717"/>
      <c r="AQ94" s="717"/>
      <c r="AR94" s="717" t="str">
        <f>IF($G94="","",VLOOKUP($G94,'Geometry 2'!$E$4:$AH$14,27,TRUE))</f>
        <v/>
      </c>
      <c r="AS94" s="717"/>
      <c r="AT94" s="717"/>
      <c r="AU94" s="718"/>
      <c r="AV94" s="715"/>
      <c r="AW94" s="716"/>
      <c r="AX94" s="716"/>
      <c r="AZ94" s="722" t="str">
        <f t="shared" si="15"/>
        <v/>
      </c>
      <c r="BA94" s="723"/>
      <c r="BB94" s="723"/>
      <c r="BC94" s="724"/>
      <c r="BD94" s="722"/>
      <c r="BE94" s="723"/>
      <c r="BF94" s="723"/>
      <c r="BG94" s="722" t="str">
        <f t="shared" si="19"/>
        <v/>
      </c>
      <c r="BH94" s="723"/>
      <c r="BI94" s="723"/>
      <c r="BJ94" s="723"/>
      <c r="BK94" s="724"/>
      <c r="BL94" s="722"/>
      <c r="BM94" s="723"/>
      <c r="BN94" s="723"/>
      <c r="BO94" s="723"/>
      <c r="BP94" s="725"/>
      <c r="BQ94" s="725"/>
      <c r="BR94" s="722" t="str">
        <f>IF(BP94="","",IF(OR(AND(Rev="H",Calculations!$F$27=TRUE),AND(Rev&lt;&gt;"H",Calculations!$F$30=TRUE)),IF(BP94&lt;=1,"Pass","Fail"),IF(BP94&lt;=1.05,"Pass","Fail")))</f>
        <v/>
      </c>
      <c r="BS94" s="723"/>
      <c r="BT94" s="724"/>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91"/>
      <c r="CP94" s="792"/>
      <c r="CQ94" s="793"/>
      <c r="CR94" s="791"/>
      <c r="CS94" s="792"/>
      <c r="CT94" s="793"/>
      <c r="CU94" s="791" t="str">
        <f t="shared" si="17"/>
        <v/>
      </c>
      <c r="CV94" s="792"/>
      <c r="CW94" s="807"/>
      <c r="CX94" s="808"/>
      <c r="CY94" s="730"/>
      <c r="CZ94" s="809"/>
      <c r="DA94" s="733"/>
      <c r="DB94" s="734"/>
      <c r="DC94" s="735"/>
      <c r="DD94" s="729" t="str">
        <f t="shared" si="18"/>
        <v/>
      </c>
      <c r="DE94" s="730"/>
      <c r="DF94" s="731"/>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6" t="str">
        <f t="shared" si="14"/>
        <v/>
      </c>
      <c r="E95" s="767"/>
      <c r="F95" s="17" t="str">
        <f t="shared" si="12"/>
        <v/>
      </c>
      <c r="G95" s="768"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9"/>
      <c r="I95" s="228"/>
      <c r="J95" s="228"/>
      <c r="K95" s="228"/>
      <c r="L95" s="717" t="str">
        <f t="shared" si="11"/>
        <v/>
      </c>
      <c r="M95" s="717"/>
      <c r="N95" s="717"/>
      <c r="O95" s="717"/>
      <c r="P95" s="717" t="str">
        <f>IF(OR(G95=0,G95=""),"",IF(VLOOKUP(G95,'Geometry 2'!$C$4:$AI$14,1,TRUE)=VLOOKUP(G96,'Geometry 2'!$C$4:$AI$14,1,TRUE),"",IF(VLOOKUP(G95,'Geometry 2'!$C$4:$AI$14,33,TRUE)&lt;&gt;"n/a",MIN(G95,VLOOKUP(G95,'Geometry 2'!$C$4:$AI$14,1,TRUE))-VLOOKUP(G95,'Geometry 2'!$C$4:$AI$14,33,TRUE),"check")))</f>
        <v/>
      </c>
      <c r="Q95" s="717"/>
      <c r="R95" s="717"/>
      <c r="S95" s="717"/>
      <c r="T95" s="717" t="str">
        <f>IF($G95="","",VLOOKUP($G95,'Geometry 2'!$E$4:$AH$14,11,TRUE))</f>
        <v/>
      </c>
      <c r="U95" s="717"/>
      <c r="V95" s="717"/>
      <c r="W95" s="717"/>
      <c r="X95" s="716" t="str">
        <f>IF($G95="","",VLOOKUP($G95,'Geometry 2'!$E$4:$AJ$14,19,TRUE)-12*VLOOKUP($G95,'Geometry 2'!$E$4:$AJ$14,32,TRUE)*($D95-VLOOKUP($G95,'Geometry 2'!$E$5:$AH$14,1,TRUE)))</f>
        <v/>
      </c>
      <c r="Y95" s="716"/>
      <c r="Z95" s="716"/>
      <c r="AA95" s="716"/>
      <c r="AB95" s="757" t="str">
        <f>IF($G95="","",VLOOKUP($G95,'Geometry 2'!$E$4:$AJ$14,19,TRUE)-12*VLOOKUP($G95,'Geometry 2'!$E$4:$AJ$14,32,TRUE)*($G95-VLOOKUP($G95,'Geometry 2'!$E$5:$AH$14,1,TRUE)))</f>
        <v/>
      </c>
      <c r="AC95" s="758"/>
      <c r="AD95" s="758"/>
      <c r="AE95" s="759"/>
      <c r="AF95" s="716" t="str">
        <f>IF($G95="","",VLOOKUP($G95,'Geometry 2'!$E$4:$AJ$14,19,TRUE)-12*VLOOKUP($G95,'Geometry 2'!$E$4:$AJ$14,32,TRUE)*($G95-IF($P95="",0,$P95)-VLOOKUP($G95,'Geometry 2'!$E$5:$AH$14,1,TRUE)))</f>
        <v/>
      </c>
      <c r="AG95" s="716"/>
      <c r="AH95" s="716"/>
      <c r="AI95" s="716"/>
      <c r="AJ95" s="746" t="str">
        <f>IF($G95="","",VLOOKUP($G95,'Geometry 2'!$E$4:$AH$14,23,TRUE))</f>
        <v/>
      </c>
      <c r="AK95" s="747"/>
      <c r="AL95" s="747"/>
      <c r="AM95" s="748"/>
      <c r="AN95" s="717"/>
      <c r="AO95" s="717"/>
      <c r="AP95" s="717"/>
      <c r="AQ95" s="717"/>
      <c r="AR95" s="717" t="str">
        <f>IF($G95="","",VLOOKUP($G95,'Geometry 2'!$E$4:$AH$14,27,TRUE))</f>
        <v/>
      </c>
      <c r="AS95" s="717"/>
      <c r="AT95" s="717"/>
      <c r="AU95" s="718"/>
      <c r="AV95" s="715"/>
      <c r="AW95" s="716"/>
      <c r="AX95" s="716"/>
      <c r="AZ95" s="722" t="str">
        <f t="shared" si="15"/>
        <v/>
      </c>
      <c r="BA95" s="723"/>
      <c r="BB95" s="723"/>
      <c r="BC95" s="724"/>
      <c r="BD95" s="722"/>
      <c r="BE95" s="723"/>
      <c r="BF95" s="723"/>
      <c r="BG95" s="722" t="str">
        <f t="shared" si="19"/>
        <v/>
      </c>
      <c r="BH95" s="723"/>
      <c r="BI95" s="723"/>
      <c r="BJ95" s="723"/>
      <c r="BK95" s="724"/>
      <c r="BL95" s="722"/>
      <c r="BM95" s="723"/>
      <c r="BN95" s="723"/>
      <c r="BO95" s="723"/>
      <c r="BP95" s="725"/>
      <c r="BQ95" s="725"/>
      <c r="BR95" s="722" t="str">
        <f>IF(BP95="","",IF(OR(AND(Rev="H",Calculations!$F$27=TRUE),AND(Rev&lt;&gt;"H",Calculations!$F$30=TRUE)),IF(BP95&lt;=1,"Pass","Fail"),IF(BP95&lt;=1.05,"Pass","Fail")))</f>
        <v/>
      </c>
      <c r="BS95" s="723"/>
      <c r="BT95" s="724"/>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98"/>
      <c r="CP95" s="799"/>
      <c r="CQ95" s="800"/>
      <c r="CR95" s="798"/>
      <c r="CS95" s="799"/>
      <c r="CT95" s="800"/>
      <c r="CU95" s="798" t="str">
        <f t="shared" si="17"/>
        <v/>
      </c>
      <c r="CV95" s="799"/>
      <c r="CW95" s="806"/>
      <c r="CX95" s="726"/>
      <c r="CY95" s="727"/>
      <c r="CZ95" s="732"/>
      <c r="DA95" s="726"/>
      <c r="DB95" s="727"/>
      <c r="DC95" s="732"/>
      <c r="DD95" s="726" t="str">
        <f t="shared" si="18"/>
        <v/>
      </c>
      <c r="DE95" s="727"/>
      <c r="DF95" s="728"/>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6" t="str">
        <f t="shared" si="14"/>
        <v/>
      </c>
      <c r="E96" s="767"/>
      <c r="F96" s="17" t="str">
        <f t="shared" si="12"/>
        <v/>
      </c>
      <c r="G96" s="768"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9"/>
      <c r="I96" s="228"/>
      <c r="J96" s="228"/>
      <c r="K96" s="228"/>
      <c r="L96" s="717" t="str">
        <f t="shared" si="11"/>
        <v/>
      </c>
      <c r="M96" s="717"/>
      <c r="N96" s="717"/>
      <c r="O96" s="717"/>
      <c r="P96" s="717" t="str">
        <f>IF(OR(G96=0,G96=""),"",IF(VLOOKUP(G96,'Geometry 2'!$C$4:$AI$14,1,TRUE)=VLOOKUP(G97,'Geometry 2'!$C$4:$AI$14,1,TRUE),"",IF(VLOOKUP(G96,'Geometry 2'!$C$4:$AI$14,33,TRUE)&lt;&gt;"n/a",MIN(G96,VLOOKUP(G96,'Geometry 2'!$C$4:$AI$14,1,TRUE))-VLOOKUP(G96,'Geometry 2'!$C$4:$AI$14,33,TRUE),"check")))</f>
        <v/>
      </c>
      <c r="Q96" s="717"/>
      <c r="R96" s="717"/>
      <c r="S96" s="717"/>
      <c r="T96" s="717" t="str">
        <f>IF($G96="","",VLOOKUP($G96,'Geometry 2'!$E$4:$AH$14,11,TRUE))</f>
        <v/>
      </c>
      <c r="U96" s="717"/>
      <c r="V96" s="717"/>
      <c r="W96" s="717"/>
      <c r="X96" s="716" t="str">
        <f>IF($G96="","",VLOOKUP($G96,'Geometry 2'!$E$4:$AJ$14,19,TRUE)-12*VLOOKUP($G96,'Geometry 2'!$E$4:$AJ$14,32,TRUE)*($D96-VLOOKUP($G96,'Geometry 2'!$E$5:$AH$14,1,TRUE)))</f>
        <v/>
      </c>
      <c r="Y96" s="716"/>
      <c r="Z96" s="716"/>
      <c r="AA96" s="716"/>
      <c r="AB96" s="757" t="str">
        <f>IF($G96="","",VLOOKUP($G96,'Geometry 2'!$E$4:$AJ$14,19,TRUE)-12*VLOOKUP($G96,'Geometry 2'!$E$4:$AJ$14,32,TRUE)*($G96-VLOOKUP($G96,'Geometry 2'!$E$5:$AH$14,1,TRUE)))</f>
        <v/>
      </c>
      <c r="AC96" s="758"/>
      <c r="AD96" s="758"/>
      <c r="AE96" s="759"/>
      <c r="AF96" s="716" t="str">
        <f>IF($G96="","",VLOOKUP($G96,'Geometry 2'!$E$4:$AJ$14,19,TRUE)-12*VLOOKUP($G96,'Geometry 2'!$E$4:$AJ$14,32,TRUE)*($G96-IF($P96="",0,$P96)-VLOOKUP($G96,'Geometry 2'!$E$5:$AH$14,1,TRUE)))</f>
        <v/>
      </c>
      <c r="AG96" s="716"/>
      <c r="AH96" s="716"/>
      <c r="AI96" s="716"/>
      <c r="AJ96" s="746" t="str">
        <f>IF($G96="","",VLOOKUP($G96,'Geometry 2'!$E$4:$AH$14,23,TRUE))</f>
        <v/>
      </c>
      <c r="AK96" s="747"/>
      <c r="AL96" s="747"/>
      <c r="AM96" s="748"/>
      <c r="AN96" s="717"/>
      <c r="AO96" s="717"/>
      <c r="AP96" s="717"/>
      <c r="AQ96" s="717"/>
      <c r="AR96" s="717" t="str">
        <f>IF($G96="","",VLOOKUP($G96,'Geometry 2'!$E$4:$AH$14,27,TRUE))</f>
        <v/>
      </c>
      <c r="AS96" s="717"/>
      <c r="AT96" s="717"/>
      <c r="AU96" s="718"/>
      <c r="AV96" s="715"/>
      <c r="AW96" s="716"/>
      <c r="AX96" s="716"/>
      <c r="AZ96" s="722" t="str">
        <f t="shared" si="15"/>
        <v/>
      </c>
      <c r="BA96" s="723"/>
      <c r="BB96" s="723"/>
      <c r="BC96" s="724"/>
      <c r="BD96" s="722"/>
      <c r="BE96" s="723"/>
      <c r="BF96" s="723"/>
      <c r="BG96" s="722" t="str">
        <f t="shared" si="19"/>
        <v/>
      </c>
      <c r="BH96" s="723"/>
      <c r="BI96" s="723"/>
      <c r="BJ96" s="723"/>
      <c r="BK96" s="724"/>
      <c r="BL96" s="722"/>
      <c r="BM96" s="723"/>
      <c r="BN96" s="723"/>
      <c r="BO96" s="723"/>
      <c r="BP96" s="725"/>
      <c r="BQ96" s="725"/>
      <c r="BR96" s="722" t="str">
        <f>IF(BP96="","",IF(OR(AND(Rev="H",Calculations!$F$27=TRUE),AND(Rev&lt;&gt;"H",Calculations!$F$30=TRUE)),IF(BP96&lt;=1,"Pass","Fail"),IF(BP96&lt;=1.05,"Pass","Fail")))</f>
        <v/>
      </c>
      <c r="BS96" s="723"/>
      <c r="BT96" s="724"/>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91"/>
      <c r="CP96" s="792"/>
      <c r="CQ96" s="793"/>
      <c r="CR96" s="791"/>
      <c r="CS96" s="792"/>
      <c r="CT96" s="793"/>
      <c r="CU96" s="791" t="str">
        <f t="shared" si="17"/>
        <v/>
      </c>
      <c r="CV96" s="792"/>
      <c r="CW96" s="807"/>
      <c r="CX96" s="808"/>
      <c r="CY96" s="730"/>
      <c r="CZ96" s="809"/>
      <c r="DA96" s="733"/>
      <c r="DB96" s="734"/>
      <c r="DC96" s="735"/>
      <c r="DD96" s="729" t="str">
        <f t="shared" si="18"/>
        <v/>
      </c>
      <c r="DE96" s="730"/>
      <c r="DF96" s="731"/>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6" t="str">
        <f t="shared" si="14"/>
        <v/>
      </c>
      <c r="E97" s="767"/>
      <c r="F97" s="17" t="str">
        <f t="shared" si="12"/>
        <v/>
      </c>
      <c r="G97" s="768"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9"/>
      <c r="I97" s="228"/>
      <c r="J97" s="228"/>
      <c r="K97" s="228"/>
      <c r="L97" s="717" t="str">
        <f t="shared" si="11"/>
        <v/>
      </c>
      <c r="M97" s="717"/>
      <c r="N97" s="717"/>
      <c r="O97" s="717"/>
      <c r="P97" s="717" t="str">
        <f>IF(OR(G97=0,G97=""),"",IF(VLOOKUP(G97,'Geometry 2'!$C$4:$AI$14,1,TRUE)=VLOOKUP(G98,'Geometry 2'!$C$4:$AI$14,1,TRUE),"",IF(VLOOKUP(G97,'Geometry 2'!$C$4:$AI$14,33,TRUE)&lt;&gt;"n/a",MIN(G97,VLOOKUP(G97,'Geometry 2'!$C$4:$AI$14,1,TRUE))-VLOOKUP(G97,'Geometry 2'!$C$4:$AI$14,33,TRUE),"check")))</f>
        <v/>
      </c>
      <c r="Q97" s="717"/>
      <c r="R97" s="717"/>
      <c r="S97" s="717"/>
      <c r="T97" s="717" t="str">
        <f>IF($G97="","",VLOOKUP($G97,'Geometry 2'!$E$4:$AH$14,11,TRUE))</f>
        <v/>
      </c>
      <c r="U97" s="717"/>
      <c r="V97" s="717"/>
      <c r="W97" s="717"/>
      <c r="X97" s="716" t="str">
        <f>IF($G97="","",VLOOKUP($G97,'Geometry 2'!$E$4:$AJ$14,19,TRUE)-12*VLOOKUP($G97,'Geometry 2'!$E$4:$AJ$14,32,TRUE)*($D97-VLOOKUP($G97,'Geometry 2'!$E$5:$AH$14,1,TRUE)))</f>
        <v/>
      </c>
      <c r="Y97" s="716"/>
      <c r="Z97" s="716"/>
      <c r="AA97" s="716"/>
      <c r="AB97" s="757" t="str">
        <f>IF($G97="","",VLOOKUP($G97,'Geometry 2'!$E$4:$AJ$14,19,TRUE)-12*VLOOKUP($G97,'Geometry 2'!$E$4:$AJ$14,32,TRUE)*($G97-VLOOKUP($G97,'Geometry 2'!$E$5:$AH$14,1,TRUE)))</f>
        <v/>
      </c>
      <c r="AC97" s="758"/>
      <c r="AD97" s="758"/>
      <c r="AE97" s="759"/>
      <c r="AF97" s="716" t="str">
        <f>IF($G97="","",VLOOKUP($G97,'Geometry 2'!$E$4:$AJ$14,19,TRUE)-12*VLOOKUP($G97,'Geometry 2'!$E$4:$AJ$14,32,TRUE)*($G97-IF($P97="",0,$P97)-VLOOKUP($G97,'Geometry 2'!$E$5:$AH$14,1,TRUE)))</f>
        <v/>
      </c>
      <c r="AG97" s="716"/>
      <c r="AH97" s="716"/>
      <c r="AI97" s="716"/>
      <c r="AJ97" s="746" t="str">
        <f>IF($G97="","",VLOOKUP($G97,'Geometry 2'!$E$4:$AH$14,23,TRUE))</f>
        <v/>
      </c>
      <c r="AK97" s="747"/>
      <c r="AL97" s="747"/>
      <c r="AM97" s="748"/>
      <c r="AN97" s="717"/>
      <c r="AO97" s="717"/>
      <c r="AP97" s="717"/>
      <c r="AQ97" s="717"/>
      <c r="AR97" s="717" t="str">
        <f>IF($G97="","",VLOOKUP($G97,'Geometry 2'!$E$4:$AH$14,27,TRUE))</f>
        <v/>
      </c>
      <c r="AS97" s="717"/>
      <c r="AT97" s="717"/>
      <c r="AU97" s="718"/>
      <c r="AV97" s="715"/>
      <c r="AW97" s="716"/>
      <c r="AX97" s="716"/>
      <c r="AZ97" s="722" t="str">
        <f t="shared" si="15"/>
        <v/>
      </c>
      <c r="BA97" s="723"/>
      <c r="BB97" s="723"/>
      <c r="BC97" s="724"/>
      <c r="BD97" s="722"/>
      <c r="BE97" s="723"/>
      <c r="BF97" s="723"/>
      <c r="BG97" s="722" t="str">
        <f t="shared" si="19"/>
        <v/>
      </c>
      <c r="BH97" s="723"/>
      <c r="BI97" s="723"/>
      <c r="BJ97" s="723"/>
      <c r="BK97" s="724"/>
      <c r="BL97" s="722"/>
      <c r="BM97" s="723"/>
      <c r="BN97" s="723"/>
      <c r="BO97" s="723"/>
      <c r="BP97" s="725"/>
      <c r="BQ97" s="725"/>
      <c r="BR97" s="722" t="str">
        <f>IF(BP97="","",IF(OR(AND(Rev="H",Calculations!$F$27=TRUE),AND(Rev&lt;&gt;"H",Calculations!$F$30=TRUE)),IF(BP97&lt;=1,"Pass","Fail"),IF(BP97&lt;=1.05,"Pass","Fail")))</f>
        <v/>
      </c>
      <c r="BS97" s="723"/>
      <c r="BT97" s="724"/>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98"/>
      <c r="CP97" s="799"/>
      <c r="CQ97" s="800"/>
      <c r="CR97" s="798"/>
      <c r="CS97" s="799"/>
      <c r="CT97" s="800"/>
      <c r="CU97" s="798" t="str">
        <f t="shared" si="17"/>
        <v/>
      </c>
      <c r="CV97" s="799"/>
      <c r="CW97" s="806"/>
      <c r="CX97" s="726"/>
      <c r="CY97" s="727"/>
      <c r="CZ97" s="732"/>
      <c r="DA97" s="726"/>
      <c r="DB97" s="727"/>
      <c r="DC97" s="732"/>
      <c r="DD97" s="726" t="str">
        <f t="shared" si="18"/>
        <v/>
      </c>
      <c r="DE97" s="727"/>
      <c r="DF97" s="728"/>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6" t="str">
        <f t="shared" si="14"/>
        <v/>
      </c>
      <c r="E98" s="767"/>
      <c r="F98" s="17" t="str">
        <f t="shared" si="12"/>
        <v/>
      </c>
      <c r="G98" s="768"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9"/>
      <c r="I98" s="228"/>
      <c r="J98" s="228"/>
      <c r="K98" s="228"/>
      <c r="L98" s="717" t="str">
        <f t="shared" si="11"/>
        <v/>
      </c>
      <c r="M98" s="717"/>
      <c r="N98" s="717"/>
      <c r="O98" s="717"/>
      <c r="P98" s="717" t="str">
        <f>IF(OR(G98=0,G98=""),"",IF(VLOOKUP(G98,'Geometry 2'!$C$4:$AI$14,1,TRUE)=VLOOKUP(G99,'Geometry 2'!$C$4:$AI$14,1,TRUE),"",IF(VLOOKUP(G98,'Geometry 2'!$C$4:$AI$14,33,TRUE)&lt;&gt;"n/a",MIN(G98,VLOOKUP(G98,'Geometry 2'!$C$4:$AI$14,1,TRUE))-VLOOKUP(G98,'Geometry 2'!$C$4:$AI$14,33,TRUE),"check")))</f>
        <v/>
      </c>
      <c r="Q98" s="717"/>
      <c r="R98" s="717"/>
      <c r="S98" s="717"/>
      <c r="T98" s="717" t="str">
        <f>IF($G98="","",VLOOKUP($G98,'Geometry 2'!$E$4:$AH$14,11,TRUE))</f>
        <v/>
      </c>
      <c r="U98" s="717"/>
      <c r="V98" s="717"/>
      <c r="W98" s="717"/>
      <c r="X98" s="716" t="str">
        <f>IF($G98="","",VLOOKUP($G98,'Geometry 2'!$E$4:$AJ$14,19,TRUE)-12*VLOOKUP($G98,'Geometry 2'!$E$4:$AJ$14,32,TRUE)*($D98-VLOOKUP($G98,'Geometry 2'!$E$5:$AH$14,1,TRUE)))</f>
        <v/>
      </c>
      <c r="Y98" s="716"/>
      <c r="Z98" s="716"/>
      <c r="AA98" s="716"/>
      <c r="AB98" s="757" t="str">
        <f>IF($G98="","",VLOOKUP($G98,'Geometry 2'!$E$4:$AJ$14,19,TRUE)-12*VLOOKUP($G98,'Geometry 2'!$E$4:$AJ$14,32,TRUE)*($G98-VLOOKUP($G98,'Geometry 2'!$E$5:$AH$14,1,TRUE)))</f>
        <v/>
      </c>
      <c r="AC98" s="758"/>
      <c r="AD98" s="758"/>
      <c r="AE98" s="759"/>
      <c r="AF98" s="716" t="str">
        <f>IF($G98="","",VLOOKUP($G98,'Geometry 2'!$E$4:$AJ$14,19,TRUE)-12*VLOOKUP($G98,'Geometry 2'!$E$4:$AJ$14,32,TRUE)*($G98-IF($P98="",0,$P98)-VLOOKUP($G98,'Geometry 2'!$E$5:$AH$14,1,TRUE)))</f>
        <v/>
      </c>
      <c r="AG98" s="716"/>
      <c r="AH98" s="716"/>
      <c r="AI98" s="716"/>
      <c r="AJ98" s="746" t="str">
        <f>IF($G98="","",VLOOKUP($G98,'Geometry 2'!$E$4:$AH$14,23,TRUE))</f>
        <v/>
      </c>
      <c r="AK98" s="747"/>
      <c r="AL98" s="747"/>
      <c r="AM98" s="748"/>
      <c r="AN98" s="717"/>
      <c r="AO98" s="717"/>
      <c r="AP98" s="717"/>
      <c r="AQ98" s="717"/>
      <c r="AR98" s="717" t="str">
        <f>IF($G98="","",VLOOKUP($G98,'Geometry 2'!$E$4:$AH$14,27,TRUE))</f>
        <v/>
      </c>
      <c r="AS98" s="717"/>
      <c r="AT98" s="717"/>
      <c r="AU98" s="718"/>
      <c r="AV98" s="715"/>
      <c r="AW98" s="716"/>
      <c r="AX98" s="716"/>
      <c r="AZ98" s="722" t="str">
        <f t="shared" si="15"/>
        <v/>
      </c>
      <c r="BA98" s="723"/>
      <c r="BB98" s="723"/>
      <c r="BC98" s="724"/>
      <c r="BD98" s="722"/>
      <c r="BE98" s="723"/>
      <c r="BF98" s="723"/>
      <c r="BG98" s="722" t="str">
        <f t="shared" si="19"/>
        <v/>
      </c>
      <c r="BH98" s="723"/>
      <c r="BI98" s="723"/>
      <c r="BJ98" s="723"/>
      <c r="BK98" s="724"/>
      <c r="BL98" s="722"/>
      <c r="BM98" s="723"/>
      <c r="BN98" s="723"/>
      <c r="BO98" s="723"/>
      <c r="BP98" s="725"/>
      <c r="BQ98" s="725"/>
      <c r="BR98" s="722" t="str">
        <f>IF(BP98="","",IF(OR(AND(Rev="H",Calculations!$F$27=TRUE),AND(Rev&lt;&gt;"H",Calculations!$F$30=TRUE)),IF(BP98&lt;=1,"Pass","Fail"),IF(BP98&lt;=1.05,"Pass","Fail")))</f>
        <v/>
      </c>
      <c r="BS98" s="723"/>
      <c r="BT98" s="724"/>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91"/>
      <c r="CP98" s="792"/>
      <c r="CQ98" s="793"/>
      <c r="CR98" s="791"/>
      <c r="CS98" s="792"/>
      <c r="CT98" s="793"/>
      <c r="CU98" s="791" t="str">
        <f t="shared" si="17"/>
        <v/>
      </c>
      <c r="CV98" s="792"/>
      <c r="CW98" s="807"/>
      <c r="CX98" s="808"/>
      <c r="CY98" s="730"/>
      <c r="CZ98" s="809"/>
      <c r="DA98" s="733"/>
      <c r="DB98" s="734"/>
      <c r="DC98" s="735"/>
      <c r="DD98" s="729" t="str">
        <f t="shared" si="18"/>
        <v/>
      </c>
      <c r="DE98" s="730"/>
      <c r="DF98" s="731"/>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6" t="str">
        <f t="shared" si="14"/>
        <v/>
      </c>
      <c r="E99" s="767"/>
      <c r="F99" s="17" t="str">
        <f t="shared" si="12"/>
        <v/>
      </c>
      <c r="G99" s="768"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9"/>
      <c r="I99" s="228"/>
      <c r="J99" s="228"/>
      <c r="K99" s="228"/>
      <c r="L99" s="717" t="str">
        <f t="shared" si="11"/>
        <v/>
      </c>
      <c r="M99" s="717"/>
      <c r="N99" s="717"/>
      <c r="O99" s="717"/>
      <c r="P99" s="717" t="str">
        <f>IF(OR(G99=0,G99=""),"",IF(VLOOKUP(G99,'Geometry 2'!$C$4:$AI$14,1,TRUE)=VLOOKUP(G100,'Geometry 2'!$C$4:$AI$14,1,TRUE),"",IF(VLOOKUP(G99,'Geometry 2'!$C$4:$AI$14,33,TRUE)&lt;&gt;"n/a",MIN(G99,VLOOKUP(G99,'Geometry 2'!$C$4:$AI$14,1,TRUE))-VLOOKUP(G99,'Geometry 2'!$C$4:$AI$14,33,TRUE),"check")))</f>
        <v/>
      </c>
      <c r="Q99" s="717"/>
      <c r="R99" s="717"/>
      <c r="S99" s="717"/>
      <c r="T99" s="717" t="str">
        <f>IF($G99="","",VLOOKUP($G99,'Geometry 2'!$E$4:$AH$14,11,TRUE))</f>
        <v/>
      </c>
      <c r="U99" s="717"/>
      <c r="V99" s="717"/>
      <c r="W99" s="717"/>
      <c r="X99" s="716" t="str">
        <f>IF($G99="","",VLOOKUP($G99,'Geometry 2'!$E$4:$AJ$14,19,TRUE)-12*VLOOKUP($G99,'Geometry 2'!$E$4:$AJ$14,32,TRUE)*($D99-VLOOKUP($G99,'Geometry 2'!$E$5:$AH$14,1,TRUE)))</f>
        <v/>
      </c>
      <c r="Y99" s="716"/>
      <c r="Z99" s="716"/>
      <c r="AA99" s="716"/>
      <c r="AB99" s="757" t="str">
        <f>IF($G99="","",VLOOKUP($G99,'Geometry 2'!$E$4:$AJ$14,19,TRUE)-12*VLOOKUP($G99,'Geometry 2'!$E$4:$AJ$14,32,TRUE)*($G99-VLOOKUP($G99,'Geometry 2'!$E$5:$AH$14,1,TRUE)))</f>
        <v/>
      </c>
      <c r="AC99" s="758"/>
      <c r="AD99" s="758"/>
      <c r="AE99" s="759"/>
      <c r="AF99" s="716" t="str">
        <f>IF($G99="","",VLOOKUP($G99,'Geometry 2'!$E$4:$AJ$14,19,TRUE)-12*VLOOKUP($G99,'Geometry 2'!$E$4:$AJ$14,32,TRUE)*($G99-IF($P99="",0,$P99)-VLOOKUP($G99,'Geometry 2'!$E$5:$AH$14,1,TRUE)))</f>
        <v/>
      </c>
      <c r="AG99" s="716"/>
      <c r="AH99" s="716"/>
      <c r="AI99" s="716"/>
      <c r="AJ99" s="746" t="str">
        <f>IF($G99="","",VLOOKUP($G99,'Geometry 2'!$E$4:$AH$14,23,TRUE))</f>
        <v/>
      </c>
      <c r="AK99" s="747"/>
      <c r="AL99" s="747"/>
      <c r="AM99" s="748"/>
      <c r="AN99" s="717"/>
      <c r="AO99" s="717"/>
      <c r="AP99" s="717"/>
      <c r="AQ99" s="717"/>
      <c r="AR99" s="717" t="str">
        <f>IF($G99="","",VLOOKUP($G99,'Geometry 2'!$E$4:$AH$14,27,TRUE))</f>
        <v/>
      </c>
      <c r="AS99" s="717"/>
      <c r="AT99" s="717"/>
      <c r="AU99" s="718"/>
      <c r="AV99" s="715"/>
      <c r="AW99" s="716"/>
      <c r="AX99" s="716"/>
      <c r="AZ99" s="722" t="str">
        <f t="shared" si="15"/>
        <v/>
      </c>
      <c r="BA99" s="723"/>
      <c r="BB99" s="723"/>
      <c r="BC99" s="724"/>
      <c r="BD99" s="722"/>
      <c r="BE99" s="723"/>
      <c r="BF99" s="723"/>
      <c r="BG99" s="722" t="str">
        <f t="shared" si="19"/>
        <v/>
      </c>
      <c r="BH99" s="723"/>
      <c r="BI99" s="723"/>
      <c r="BJ99" s="723"/>
      <c r="BK99" s="724"/>
      <c r="BL99" s="722"/>
      <c r="BM99" s="723"/>
      <c r="BN99" s="723"/>
      <c r="BO99" s="723"/>
      <c r="BP99" s="725"/>
      <c r="BQ99" s="725"/>
      <c r="BR99" s="722" t="str">
        <f>IF(BP99="","",IF(OR(AND(Rev="H",Calculations!$F$27=TRUE),AND(Rev&lt;&gt;"H",Calculations!$F$30=TRUE)),IF(BP99&lt;=1,"Pass","Fail"),IF(BP99&lt;=1.05,"Pass","Fail")))</f>
        <v/>
      </c>
      <c r="BS99" s="723"/>
      <c r="BT99" s="724"/>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98"/>
      <c r="CP99" s="799"/>
      <c r="CQ99" s="800"/>
      <c r="CR99" s="798"/>
      <c r="CS99" s="799"/>
      <c r="CT99" s="800"/>
      <c r="CU99" s="798" t="str">
        <f t="shared" si="17"/>
        <v/>
      </c>
      <c r="CV99" s="799"/>
      <c r="CW99" s="806"/>
      <c r="CX99" s="726"/>
      <c r="CY99" s="727"/>
      <c r="CZ99" s="732"/>
      <c r="DA99" s="726"/>
      <c r="DB99" s="727"/>
      <c r="DC99" s="732"/>
      <c r="DD99" s="726" t="str">
        <f t="shared" si="18"/>
        <v/>
      </c>
      <c r="DE99" s="727"/>
      <c r="DF99" s="728"/>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6" t="str">
        <f t="shared" si="14"/>
        <v/>
      </c>
      <c r="E100" s="767"/>
      <c r="F100" s="17" t="str">
        <f t="shared" si="12"/>
        <v/>
      </c>
      <c r="G100" s="768"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9"/>
      <c r="I100" s="228"/>
      <c r="J100" s="228"/>
      <c r="K100" s="228"/>
      <c r="L100" s="717" t="str">
        <f t="shared" si="11"/>
        <v/>
      </c>
      <c r="M100" s="717"/>
      <c r="N100" s="717"/>
      <c r="O100" s="717"/>
      <c r="P100" s="717" t="str">
        <f>IF(OR(G100=0,G100=""),"",IF(VLOOKUP(G100,'Geometry 2'!$C$4:$AI$14,1,TRUE)=VLOOKUP(G101,'Geometry 2'!$C$4:$AI$14,1,TRUE),"",IF(VLOOKUP(G100,'Geometry 2'!$C$4:$AI$14,33,TRUE)&lt;&gt;"n/a",MIN(G100,VLOOKUP(G100,'Geometry 2'!$C$4:$AI$14,1,TRUE))-VLOOKUP(G100,'Geometry 2'!$C$4:$AI$14,33,TRUE),"check")))</f>
        <v/>
      </c>
      <c r="Q100" s="717"/>
      <c r="R100" s="717"/>
      <c r="S100" s="717"/>
      <c r="T100" s="717" t="str">
        <f>IF($G100="","",VLOOKUP($G100,'Geometry 2'!$E$4:$AH$14,11,TRUE))</f>
        <v/>
      </c>
      <c r="U100" s="717"/>
      <c r="V100" s="717"/>
      <c r="W100" s="717"/>
      <c r="X100" s="716" t="str">
        <f>IF($G100="","",VLOOKUP($G100,'Geometry 2'!$E$4:$AJ$14,19,TRUE)-12*VLOOKUP($G100,'Geometry 2'!$E$4:$AJ$14,32,TRUE)*($D100-VLOOKUP($G100,'Geometry 2'!$E$5:$AH$14,1,TRUE)))</f>
        <v/>
      </c>
      <c r="Y100" s="716"/>
      <c r="Z100" s="716"/>
      <c r="AA100" s="716"/>
      <c r="AB100" s="757" t="str">
        <f>IF($G100="","",VLOOKUP($G100,'Geometry 2'!$E$4:$AJ$14,19,TRUE)-12*VLOOKUP($G100,'Geometry 2'!$E$4:$AJ$14,32,TRUE)*($G100-VLOOKUP($G100,'Geometry 2'!$E$5:$AH$14,1,TRUE)))</f>
        <v/>
      </c>
      <c r="AC100" s="758"/>
      <c r="AD100" s="758"/>
      <c r="AE100" s="759"/>
      <c r="AF100" s="716" t="str">
        <f>IF($G100="","",VLOOKUP($G100,'Geometry 2'!$E$4:$AJ$14,19,TRUE)-12*VLOOKUP($G100,'Geometry 2'!$E$4:$AJ$14,32,TRUE)*($G100-IF($P100="",0,$P100)-VLOOKUP($G100,'Geometry 2'!$E$5:$AH$14,1,TRUE)))</f>
        <v/>
      </c>
      <c r="AG100" s="716"/>
      <c r="AH100" s="716"/>
      <c r="AI100" s="716"/>
      <c r="AJ100" s="746" t="str">
        <f>IF($G100="","",VLOOKUP($G100,'Geometry 2'!$E$4:$AH$14,23,TRUE))</f>
        <v/>
      </c>
      <c r="AK100" s="747"/>
      <c r="AL100" s="747"/>
      <c r="AM100" s="748"/>
      <c r="AN100" s="717"/>
      <c r="AO100" s="717"/>
      <c r="AP100" s="717"/>
      <c r="AQ100" s="717"/>
      <c r="AR100" s="717" t="str">
        <f>IF($G100="","",VLOOKUP($G100,'Geometry 2'!$E$4:$AH$14,27,TRUE))</f>
        <v/>
      </c>
      <c r="AS100" s="717"/>
      <c r="AT100" s="717"/>
      <c r="AU100" s="718"/>
      <c r="AV100" s="715"/>
      <c r="AW100" s="716"/>
      <c r="AX100" s="716"/>
      <c r="AZ100" s="722" t="str">
        <f t="shared" si="15"/>
        <v/>
      </c>
      <c r="BA100" s="723"/>
      <c r="BB100" s="723"/>
      <c r="BC100" s="724"/>
      <c r="BD100" s="722"/>
      <c r="BE100" s="723"/>
      <c r="BF100" s="723"/>
      <c r="BG100" s="722" t="str">
        <f t="shared" si="19"/>
        <v/>
      </c>
      <c r="BH100" s="723"/>
      <c r="BI100" s="723"/>
      <c r="BJ100" s="723"/>
      <c r="BK100" s="724"/>
      <c r="BL100" s="722"/>
      <c r="BM100" s="723"/>
      <c r="BN100" s="723"/>
      <c r="BO100" s="723"/>
      <c r="BP100" s="725"/>
      <c r="BQ100" s="725"/>
      <c r="BR100" s="722" t="str">
        <f>IF(BP100="","",IF(OR(AND(Rev="H",Calculations!$F$27=TRUE),AND(Rev&lt;&gt;"H",Calculations!$F$30=TRUE)),IF(BP100&lt;=1,"Pass","Fail"),IF(BP100&lt;=1.05,"Pass","Fail")))</f>
        <v/>
      </c>
      <c r="BS100" s="723"/>
      <c r="BT100" s="724"/>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91"/>
      <c r="CP100" s="792"/>
      <c r="CQ100" s="793"/>
      <c r="CR100" s="791"/>
      <c r="CS100" s="792"/>
      <c r="CT100" s="793"/>
      <c r="CU100" s="791" t="str">
        <f t="shared" si="17"/>
        <v/>
      </c>
      <c r="CV100" s="792"/>
      <c r="CW100" s="807"/>
      <c r="CX100" s="808"/>
      <c r="CY100" s="730"/>
      <c r="CZ100" s="809"/>
      <c r="DA100" s="733"/>
      <c r="DB100" s="734"/>
      <c r="DC100" s="735"/>
      <c r="DD100" s="729" t="str">
        <f t="shared" si="18"/>
        <v/>
      </c>
      <c r="DE100" s="730"/>
      <c r="DF100" s="731"/>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6" t="str">
        <f t="shared" si="14"/>
        <v/>
      </c>
      <c r="E101" s="767"/>
      <c r="F101" s="17" t="str">
        <f t="shared" si="12"/>
        <v/>
      </c>
      <c r="G101" s="768"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9"/>
      <c r="I101" s="228"/>
      <c r="J101" s="228"/>
      <c r="K101" s="228"/>
      <c r="L101" s="717" t="str">
        <f t="shared" si="11"/>
        <v/>
      </c>
      <c r="M101" s="717"/>
      <c r="N101" s="717"/>
      <c r="O101" s="717"/>
      <c r="P101" s="717" t="str">
        <f>IF(OR(G101=0,G101=""),"",IF(VLOOKUP(G101,'Geometry 2'!$C$4:$AI$14,1,TRUE)=VLOOKUP(G102,'Geometry 2'!$C$4:$AI$14,1,TRUE),"",IF(VLOOKUP(G101,'Geometry 2'!$C$4:$AI$14,33,TRUE)&lt;&gt;"n/a",MIN(G101,VLOOKUP(G101,'Geometry 2'!$C$4:$AI$14,1,TRUE))-VLOOKUP(G101,'Geometry 2'!$C$4:$AI$14,33,TRUE),"check")))</f>
        <v/>
      </c>
      <c r="Q101" s="717"/>
      <c r="R101" s="717"/>
      <c r="S101" s="717"/>
      <c r="T101" s="717" t="str">
        <f>IF($G101="","",VLOOKUP($G101,'Geometry 2'!$E$4:$AH$14,11,TRUE))</f>
        <v/>
      </c>
      <c r="U101" s="717"/>
      <c r="V101" s="717"/>
      <c r="W101" s="717"/>
      <c r="X101" s="716" t="str">
        <f>IF($G101="","",VLOOKUP($G101,'Geometry 2'!$E$4:$AJ$14,19,TRUE)-12*VLOOKUP($G101,'Geometry 2'!$E$4:$AJ$14,32,TRUE)*($D101-VLOOKUP($G101,'Geometry 2'!$E$5:$AH$14,1,TRUE)))</f>
        <v/>
      </c>
      <c r="Y101" s="716"/>
      <c r="Z101" s="716"/>
      <c r="AA101" s="716"/>
      <c r="AB101" s="757" t="str">
        <f>IF($G101="","",VLOOKUP($G101,'Geometry 2'!$E$4:$AJ$14,19,TRUE)-12*VLOOKUP($G101,'Geometry 2'!$E$4:$AJ$14,32,TRUE)*($G101-VLOOKUP($G101,'Geometry 2'!$E$5:$AH$14,1,TRUE)))</f>
        <v/>
      </c>
      <c r="AC101" s="758"/>
      <c r="AD101" s="758"/>
      <c r="AE101" s="759"/>
      <c r="AF101" s="716" t="str">
        <f>IF($G101="","",VLOOKUP($G101,'Geometry 2'!$E$4:$AJ$14,19,TRUE)-12*VLOOKUP($G101,'Geometry 2'!$E$4:$AJ$14,32,TRUE)*($G101-IF($P101="",0,$P101)-VLOOKUP($G101,'Geometry 2'!$E$5:$AH$14,1,TRUE)))</f>
        <v/>
      </c>
      <c r="AG101" s="716"/>
      <c r="AH101" s="716"/>
      <c r="AI101" s="716"/>
      <c r="AJ101" s="746" t="str">
        <f>IF($G101="","",VLOOKUP($G101,'Geometry 2'!$E$4:$AH$14,23,TRUE))</f>
        <v/>
      </c>
      <c r="AK101" s="747"/>
      <c r="AL101" s="747"/>
      <c r="AM101" s="748"/>
      <c r="AN101" s="717"/>
      <c r="AO101" s="717"/>
      <c r="AP101" s="717"/>
      <c r="AQ101" s="717"/>
      <c r="AR101" s="717" t="str">
        <f>IF($G101="","",VLOOKUP($G101,'Geometry 2'!$E$4:$AH$14,27,TRUE))</f>
        <v/>
      </c>
      <c r="AS101" s="717"/>
      <c r="AT101" s="717"/>
      <c r="AU101" s="718"/>
      <c r="AV101" s="715"/>
      <c r="AW101" s="716"/>
      <c r="AX101" s="716"/>
      <c r="AZ101" s="722" t="str">
        <f t="shared" si="15"/>
        <v/>
      </c>
      <c r="BA101" s="723"/>
      <c r="BB101" s="723"/>
      <c r="BC101" s="724"/>
      <c r="BD101" s="722"/>
      <c r="BE101" s="723"/>
      <c r="BF101" s="723"/>
      <c r="BG101" s="722" t="str">
        <f t="shared" si="19"/>
        <v/>
      </c>
      <c r="BH101" s="723"/>
      <c r="BI101" s="723"/>
      <c r="BJ101" s="723"/>
      <c r="BK101" s="724"/>
      <c r="BL101" s="722"/>
      <c r="BM101" s="723"/>
      <c r="BN101" s="723"/>
      <c r="BO101" s="723"/>
      <c r="BP101" s="725"/>
      <c r="BQ101" s="725"/>
      <c r="BR101" s="722" t="str">
        <f>IF(BP101="","",IF(OR(AND(Rev="H",Calculations!$F$27=TRUE),AND(Rev&lt;&gt;"H",Calculations!$F$30=TRUE)),IF(BP101&lt;=1,"Pass","Fail"),IF(BP101&lt;=1.05,"Pass","Fail")))</f>
        <v/>
      </c>
      <c r="BS101" s="723"/>
      <c r="BT101" s="724"/>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98"/>
      <c r="CP101" s="799"/>
      <c r="CQ101" s="800"/>
      <c r="CR101" s="798"/>
      <c r="CS101" s="799"/>
      <c r="CT101" s="800"/>
      <c r="CU101" s="798" t="str">
        <f t="shared" si="17"/>
        <v/>
      </c>
      <c r="CV101" s="799"/>
      <c r="CW101" s="806"/>
      <c r="CX101" s="726"/>
      <c r="CY101" s="727"/>
      <c r="CZ101" s="732"/>
      <c r="DA101" s="726"/>
      <c r="DB101" s="727"/>
      <c r="DC101" s="732"/>
      <c r="DD101" s="726" t="str">
        <f t="shared" si="18"/>
        <v/>
      </c>
      <c r="DE101" s="727"/>
      <c r="DF101" s="728"/>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6" t="str">
        <f t="shared" si="14"/>
        <v/>
      </c>
      <c r="E102" s="767"/>
      <c r="F102" s="17" t="str">
        <f t="shared" si="12"/>
        <v/>
      </c>
      <c r="G102" s="768"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9"/>
      <c r="I102" s="228"/>
      <c r="J102" s="228"/>
      <c r="K102" s="228"/>
      <c r="L102" s="717" t="str">
        <f t="shared" si="11"/>
        <v/>
      </c>
      <c r="M102" s="717"/>
      <c r="N102" s="717"/>
      <c r="O102" s="717"/>
      <c r="P102" s="717" t="str">
        <f>IF(OR(G102=0,G102=""),"",IF(VLOOKUP(G102,'Geometry 2'!$C$4:$AI$14,1,TRUE)=VLOOKUP(G103,'Geometry 2'!$C$4:$AI$14,1,TRUE),"",IF(VLOOKUP(G102,'Geometry 2'!$C$4:$AI$14,33,TRUE)&lt;&gt;"n/a",MIN(G102,VLOOKUP(G102,'Geometry 2'!$C$4:$AI$14,1,TRUE))-VLOOKUP(G102,'Geometry 2'!$C$4:$AI$14,33,TRUE),"check")))</f>
        <v/>
      </c>
      <c r="Q102" s="717"/>
      <c r="R102" s="717"/>
      <c r="S102" s="717"/>
      <c r="T102" s="717" t="str">
        <f>IF($G102="","",VLOOKUP($G102,'Geometry 2'!$E$4:$AH$14,11,TRUE))</f>
        <v/>
      </c>
      <c r="U102" s="717"/>
      <c r="V102" s="717"/>
      <c r="W102" s="717"/>
      <c r="X102" s="716" t="str">
        <f>IF($G102="","",VLOOKUP($G102,'Geometry 2'!$E$4:$AJ$14,19,TRUE)-12*VLOOKUP($G102,'Geometry 2'!$E$4:$AJ$14,32,TRUE)*($D102-VLOOKUP($G102,'Geometry 2'!$E$5:$AH$14,1,TRUE)))</f>
        <v/>
      </c>
      <c r="Y102" s="716"/>
      <c r="Z102" s="716"/>
      <c r="AA102" s="716"/>
      <c r="AB102" s="757" t="str">
        <f>IF($G102="","",VLOOKUP($G102,'Geometry 2'!$E$4:$AJ$14,19,TRUE)-12*VLOOKUP($G102,'Geometry 2'!$E$4:$AJ$14,32,TRUE)*($G102-VLOOKUP($G102,'Geometry 2'!$E$5:$AH$14,1,TRUE)))</f>
        <v/>
      </c>
      <c r="AC102" s="758"/>
      <c r="AD102" s="758"/>
      <c r="AE102" s="759"/>
      <c r="AF102" s="716" t="str">
        <f>IF($G102="","",VLOOKUP($G102,'Geometry 2'!$E$4:$AJ$14,19,TRUE)-12*VLOOKUP($G102,'Geometry 2'!$E$4:$AJ$14,32,TRUE)*($G102-IF($P102="",0,$P102)-VLOOKUP($G102,'Geometry 2'!$E$5:$AH$14,1,TRUE)))</f>
        <v/>
      </c>
      <c r="AG102" s="716"/>
      <c r="AH102" s="716"/>
      <c r="AI102" s="716"/>
      <c r="AJ102" s="746" t="str">
        <f>IF($G102="","",VLOOKUP($G102,'Geometry 2'!$E$4:$AH$14,23,TRUE))</f>
        <v/>
      </c>
      <c r="AK102" s="747"/>
      <c r="AL102" s="747"/>
      <c r="AM102" s="748"/>
      <c r="AN102" s="717"/>
      <c r="AO102" s="717"/>
      <c r="AP102" s="717"/>
      <c r="AQ102" s="717"/>
      <c r="AR102" s="717" t="str">
        <f>IF($G102="","",VLOOKUP($G102,'Geometry 2'!$E$4:$AH$14,27,TRUE))</f>
        <v/>
      </c>
      <c r="AS102" s="717"/>
      <c r="AT102" s="717"/>
      <c r="AU102" s="718"/>
      <c r="AV102" s="715"/>
      <c r="AW102" s="716"/>
      <c r="AX102" s="716"/>
      <c r="AZ102" s="722" t="str">
        <f t="shared" si="15"/>
        <v/>
      </c>
      <c r="BA102" s="723"/>
      <c r="BB102" s="723"/>
      <c r="BC102" s="724"/>
      <c r="BD102" s="722"/>
      <c r="BE102" s="723"/>
      <c r="BF102" s="723"/>
      <c r="BG102" s="722" t="str">
        <f t="shared" si="19"/>
        <v/>
      </c>
      <c r="BH102" s="723"/>
      <c r="BI102" s="723"/>
      <c r="BJ102" s="723"/>
      <c r="BK102" s="724"/>
      <c r="BL102" s="722"/>
      <c r="BM102" s="723"/>
      <c r="BN102" s="723"/>
      <c r="BO102" s="723"/>
      <c r="BP102" s="725"/>
      <c r="BQ102" s="725"/>
      <c r="BR102" s="722" t="str">
        <f>IF(BP102="","",IF(OR(AND(Rev="H",Calculations!$F$27=TRUE),AND(Rev&lt;&gt;"H",Calculations!$F$30=TRUE)),IF(BP102&lt;=1,"Pass","Fail"),IF(BP102&lt;=1.05,"Pass","Fail")))</f>
        <v/>
      </c>
      <c r="BS102" s="723"/>
      <c r="BT102" s="724"/>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91"/>
      <c r="CP102" s="792"/>
      <c r="CQ102" s="793"/>
      <c r="CR102" s="791"/>
      <c r="CS102" s="792"/>
      <c r="CT102" s="793"/>
      <c r="CU102" s="791" t="str">
        <f t="shared" si="17"/>
        <v/>
      </c>
      <c r="CV102" s="792"/>
      <c r="CW102" s="807"/>
      <c r="CX102" s="808"/>
      <c r="CY102" s="730"/>
      <c r="CZ102" s="809"/>
      <c r="DA102" s="733"/>
      <c r="DB102" s="734"/>
      <c r="DC102" s="735"/>
      <c r="DD102" s="729" t="str">
        <f t="shared" si="18"/>
        <v/>
      </c>
      <c r="DE102" s="730"/>
      <c r="DF102" s="731"/>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6" t="str">
        <f t="shared" si="14"/>
        <v/>
      </c>
      <c r="E103" s="767"/>
      <c r="F103" s="17" t="str">
        <f t="shared" si="12"/>
        <v/>
      </c>
      <c r="G103" s="768"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9"/>
      <c r="I103" s="228"/>
      <c r="J103" s="228"/>
      <c r="K103" s="228"/>
      <c r="L103" s="717" t="str">
        <f t="shared" si="11"/>
        <v/>
      </c>
      <c r="M103" s="717"/>
      <c r="N103" s="717"/>
      <c r="O103" s="717"/>
      <c r="P103" s="717" t="str">
        <f>IF(OR(G103=0,G103=""),"",IF(VLOOKUP(G103,'Geometry 2'!$C$4:$AI$14,1,TRUE)=VLOOKUP(G104,'Geometry 2'!$C$4:$AI$14,1,TRUE),"",IF(VLOOKUP(G103,'Geometry 2'!$C$4:$AI$14,33,TRUE)&lt;&gt;"n/a",MIN(G103,VLOOKUP(G103,'Geometry 2'!$C$4:$AI$14,1,TRUE))-VLOOKUP(G103,'Geometry 2'!$C$4:$AI$14,33,TRUE),"check")))</f>
        <v/>
      </c>
      <c r="Q103" s="717"/>
      <c r="R103" s="717"/>
      <c r="S103" s="717"/>
      <c r="T103" s="717" t="str">
        <f>IF($G103="","",VLOOKUP($G103,'Geometry 2'!$E$4:$AH$14,11,TRUE))</f>
        <v/>
      </c>
      <c r="U103" s="717"/>
      <c r="V103" s="717"/>
      <c r="W103" s="717"/>
      <c r="X103" s="716" t="str">
        <f>IF($G103="","",VLOOKUP($G103,'Geometry 2'!$E$4:$AJ$14,19,TRUE)-12*VLOOKUP($G103,'Geometry 2'!$E$4:$AJ$14,32,TRUE)*($D103-VLOOKUP($G103,'Geometry 2'!$E$5:$AH$14,1,TRUE)))</f>
        <v/>
      </c>
      <c r="Y103" s="716"/>
      <c r="Z103" s="716"/>
      <c r="AA103" s="716"/>
      <c r="AB103" s="757" t="str">
        <f>IF($G103="","",VLOOKUP($G103,'Geometry 2'!$E$4:$AJ$14,19,TRUE)-12*VLOOKUP($G103,'Geometry 2'!$E$4:$AJ$14,32,TRUE)*($G103-VLOOKUP($G103,'Geometry 2'!$E$5:$AH$14,1,TRUE)))</f>
        <v/>
      </c>
      <c r="AC103" s="758"/>
      <c r="AD103" s="758"/>
      <c r="AE103" s="759"/>
      <c r="AF103" s="716" t="str">
        <f>IF($G103="","",VLOOKUP($G103,'Geometry 2'!$E$4:$AJ$14,19,TRUE)-12*VLOOKUP($G103,'Geometry 2'!$E$4:$AJ$14,32,TRUE)*($G103-IF($P103="",0,$P103)-VLOOKUP($G103,'Geometry 2'!$E$5:$AH$14,1,TRUE)))</f>
        <v/>
      </c>
      <c r="AG103" s="716"/>
      <c r="AH103" s="716"/>
      <c r="AI103" s="716"/>
      <c r="AJ103" s="746" t="str">
        <f>IF($G103="","",VLOOKUP($G103,'Geometry 2'!$E$4:$AH$14,23,TRUE))</f>
        <v/>
      </c>
      <c r="AK103" s="747"/>
      <c r="AL103" s="747"/>
      <c r="AM103" s="748"/>
      <c r="AN103" s="717"/>
      <c r="AO103" s="717"/>
      <c r="AP103" s="717"/>
      <c r="AQ103" s="717"/>
      <c r="AR103" s="717" t="str">
        <f>IF($G103="","",VLOOKUP($G103,'Geometry 2'!$E$4:$AH$14,27,TRUE))</f>
        <v/>
      </c>
      <c r="AS103" s="717"/>
      <c r="AT103" s="717"/>
      <c r="AU103" s="718"/>
      <c r="AV103" s="715"/>
      <c r="AW103" s="716"/>
      <c r="AX103" s="716"/>
      <c r="AZ103" s="722" t="str">
        <f t="shared" si="15"/>
        <v/>
      </c>
      <c r="BA103" s="723"/>
      <c r="BB103" s="723"/>
      <c r="BC103" s="724"/>
      <c r="BD103" s="722"/>
      <c r="BE103" s="723"/>
      <c r="BF103" s="723"/>
      <c r="BG103" s="722" t="str">
        <f t="shared" si="19"/>
        <v/>
      </c>
      <c r="BH103" s="723"/>
      <c r="BI103" s="723"/>
      <c r="BJ103" s="723"/>
      <c r="BK103" s="724"/>
      <c r="BL103" s="722"/>
      <c r="BM103" s="723"/>
      <c r="BN103" s="723"/>
      <c r="BO103" s="723"/>
      <c r="BP103" s="725"/>
      <c r="BQ103" s="725"/>
      <c r="BR103" s="722" t="str">
        <f>IF(BP103="","",IF(OR(AND(Rev="H",Calculations!$F$27=TRUE),AND(Rev&lt;&gt;"H",Calculations!$F$30=TRUE)),IF(BP103&lt;=1,"Pass","Fail"),IF(BP103&lt;=1.05,"Pass","Fail")))</f>
        <v/>
      </c>
      <c r="BS103" s="723"/>
      <c r="BT103" s="724"/>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98"/>
      <c r="CP103" s="799"/>
      <c r="CQ103" s="800"/>
      <c r="CR103" s="798"/>
      <c r="CS103" s="799"/>
      <c r="CT103" s="800"/>
      <c r="CU103" s="798" t="str">
        <f t="shared" si="17"/>
        <v/>
      </c>
      <c r="CV103" s="799"/>
      <c r="CW103" s="806"/>
      <c r="CX103" s="726"/>
      <c r="CY103" s="727"/>
      <c r="CZ103" s="732"/>
      <c r="DA103" s="726"/>
      <c r="DB103" s="727"/>
      <c r="DC103" s="732"/>
      <c r="DD103" s="726" t="str">
        <f t="shared" si="18"/>
        <v/>
      </c>
      <c r="DE103" s="727"/>
      <c r="DF103" s="728"/>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79" t="str">
        <f t="shared" si="14"/>
        <v/>
      </c>
      <c r="E104" s="780"/>
      <c r="F104" s="227" t="str">
        <f t="shared" si="12"/>
        <v/>
      </c>
      <c r="G104" s="781"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82"/>
      <c r="I104" s="229"/>
      <c r="J104" s="229"/>
      <c r="K104" s="229"/>
      <c r="L104" s="771" t="str">
        <f t="shared" si="11"/>
        <v/>
      </c>
      <c r="M104" s="771"/>
      <c r="N104" s="771"/>
      <c r="O104" s="771"/>
      <c r="P104" s="771" t="str">
        <f>IF(OR(G104=0,G104=""),"",IF(VLOOKUP(G104,'Geometry 2'!$C$4:$AI$14,1,TRUE)=VLOOKUP(G106,'Geometry 2'!$C$4:$AI$14,1,TRUE),"",IF(VLOOKUP(G104,'Geometry 2'!$C$4:$AI$14,33,TRUE)&lt;&gt;"n/a",MIN(G104,VLOOKUP(G104,'Geometry 2'!$C$4:$AI$14,1,TRUE))-VLOOKUP(G104,'Geometry 2'!$C$4:$AI$14,33,TRUE),"check")))</f>
        <v/>
      </c>
      <c r="Q104" s="771"/>
      <c r="R104" s="771"/>
      <c r="S104" s="771"/>
      <c r="T104" s="771" t="str">
        <f>IF($G104="","",VLOOKUP($G104,'Geometry 2'!$E$4:$AH$14,11,TRUE))</f>
        <v/>
      </c>
      <c r="U104" s="771"/>
      <c r="V104" s="771"/>
      <c r="W104" s="771"/>
      <c r="X104" s="753" t="str">
        <f>IF($G104="","",VLOOKUP($G104,'Geometry 2'!$E$4:$AJ$14,19,TRUE)-12*VLOOKUP($G104,'Geometry 2'!$E$4:$AJ$14,32,TRUE)*($D104-VLOOKUP($G104,'Geometry 2'!$E$5:$AH$14,1,TRUE)))</f>
        <v/>
      </c>
      <c r="Y104" s="753"/>
      <c r="Z104" s="753"/>
      <c r="AA104" s="753"/>
      <c r="AB104" s="773" t="str">
        <f>IF($G104="","",VLOOKUP($G104,'Geometry 2'!$E$4:$AJ$14,19,TRUE)-12*VLOOKUP($G104,'Geometry 2'!$E$4:$AJ$14,32,TRUE)*($G104-VLOOKUP($G104,'Geometry 2'!$E$5:$AH$14,1,TRUE)))</f>
        <v/>
      </c>
      <c r="AC104" s="774"/>
      <c r="AD104" s="774"/>
      <c r="AE104" s="775"/>
      <c r="AF104" s="753" t="str">
        <f>IF($G104="","",VLOOKUP($G104,'Geometry 2'!$E$4:$AJ$14,19,TRUE)-12*VLOOKUP($G104,'Geometry 2'!$E$4:$AJ$14,32,TRUE)*($G104-IF($P104="",0,$P104)-VLOOKUP($G104,'Geometry 2'!$E$5:$AH$14,1,TRUE)))</f>
        <v/>
      </c>
      <c r="AG104" s="753"/>
      <c r="AH104" s="753"/>
      <c r="AI104" s="753"/>
      <c r="AJ104" s="776" t="str">
        <f>IF($G104="","",VLOOKUP($G104,'Geometry 2'!$E$4:$AH$14,23,TRUE))</f>
        <v/>
      </c>
      <c r="AK104" s="777"/>
      <c r="AL104" s="777"/>
      <c r="AM104" s="778"/>
      <c r="AN104" s="771"/>
      <c r="AO104" s="771"/>
      <c r="AP104" s="771"/>
      <c r="AQ104" s="771"/>
      <c r="AR104" s="771" t="str">
        <f>IF($G104="","",VLOOKUP($G104,'Geometry 2'!$E$4:$AH$14,27,TRUE))</f>
        <v/>
      </c>
      <c r="AS104" s="771"/>
      <c r="AT104" s="771"/>
      <c r="AU104" s="772"/>
      <c r="AV104" s="752"/>
      <c r="AW104" s="753"/>
      <c r="AX104" s="753"/>
      <c r="AZ104" s="722" t="str">
        <f t="shared" si="15"/>
        <v/>
      </c>
      <c r="BA104" s="723"/>
      <c r="BB104" s="723"/>
      <c r="BC104" s="724"/>
      <c r="BD104" s="722"/>
      <c r="BE104" s="723"/>
      <c r="BF104" s="723"/>
      <c r="BG104" s="722" t="str">
        <f t="shared" si="19"/>
        <v/>
      </c>
      <c r="BH104" s="723"/>
      <c r="BI104" s="723"/>
      <c r="BJ104" s="723"/>
      <c r="BK104" s="724"/>
      <c r="BL104" s="722"/>
      <c r="BM104" s="723"/>
      <c r="BN104" s="723"/>
      <c r="BO104" s="723"/>
      <c r="BP104" s="725"/>
      <c r="BQ104" s="725"/>
      <c r="BR104" s="722" t="str">
        <f>IF(BP104="","",IF(OR(AND(Rev="H",Calculations!$F$27=TRUE),AND(Rev&lt;&gt;"H",Calculations!$F$30=TRUE)),IF(BP104&lt;=1,"Pass","Fail"),IF(BP104&lt;=1.05,"Pass","Fail")))</f>
        <v/>
      </c>
      <c r="BS104" s="723"/>
      <c r="BT104" s="724"/>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91"/>
      <c r="CP104" s="792"/>
      <c r="CQ104" s="793"/>
      <c r="CR104" s="791"/>
      <c r="CS104" s="792"/>
      <c r="CT104" s="793"/>
      <c r="CU104" s="791" t="str">
        <f t="shared" si="17"/>
        <v/>
      </c>
      <c r="CV104" s="792"/>
      <c r="CW104" s="807"/>
      <c r="CX104" s="808"/>
      <c r="CY104" s="730"/>
      <c r="CZ104" s="809"/>
      <c r="DA104" s="733"/>
      <c r="DB104" s="734"/>
      <c r="DC104" s="735"/>
      <c r="DD104" s="729" t="str">
        <f t="shared" si="18"/>
        <v/>
      </c>
      <c r="DE104" s="730"/>
      <c r="DF104" s="731"/>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712">
        <v>10</v>
      </c>
      <c r="H105" s="712"/>
      <c r="I105" s="226"/>
      <c r="J105" s="226"/>
      <c r="K105" s="226"/>
      <c r="L105" s="226"/>
      <c r="M105" s="226"/>
      <c r="N105" s="226"/>
      <c r="O105" s="226"/>
      <c r="P105" s="226"/>
      <c r="Q105" s="226"/>
      <c r="R105" s="226"/>
      <c r="S105" s="226"/>
      <c r="T105" s="712" t="e">
        <f>IF($G105="","",VLOOKUP($G105,'Geometry 2'!$E$4:$AH$14,11,TRUE))</f>
        <v>#N/A</v>
      </c>
      <c r="U105" s="712"/>
      <c r="V105" s="712"/>
      <c r="W105" s="712"/>
      <c r="X105" s="226"/>
      <c r="Y105" s="226"/>
      <c r="Z105" s="226"/>
      <c r="AA105" s="226"/>
      <c r="AB105" s="713" t="e">
        <f>IF($G105="","",VLOOKUP($G105,'Geometry 2'!$E$4:$AJ$14,19,TRUE)-12*VLOOKUP($G105,'Geometry 2'!$E$4:$AJ$14,32,TRUE)*($G105-VLOOKUP($G105,'Geometry 2'!$E$5:$AH$14,1,TRUE)))</f>
        <v>#N/A</v>
      </c>
      <c r="AC105" s="713"/>
      <c r="AD105" s="713"/>
      <c r="AE105" s="713"/>
      <c r="AF105" s="226"/>
      <c r="AG105" s="226"/>
      <c r="AH105" s="226"/>
      <c r="AI105" s="226"/>
      <c r="AJ105" s="714" t="e">
        <f>IF($G105="","",VLOOKUP($G105,'Geometry 2'!$E$4:$AH$14,23,TRUE))</f>
        <v>#N/A</v>
      </c>
      <c r="AK105" s="714"/>
      <c r="AL105" s="714"/>
      <c r="AM105" s="714"/>
      <c r="AN105" s="226"/>
      <c r="AO105" s="226"/>
      <c r="AP105" s="226"/>
      <c r="AQ105" s="226"/>
      <c r="AR105" s="712" t="e">
        <f>IF($G105="","",VLOOKUP($G105,'Geometry 2'!$E$4:$AH$14,27,TRUE))</f>
        <v>#N/A</v>
      </c>
      <c r="AS105" s="712"/>
      <c r="AT105" s="712"/>
      <c r="AU105" s="712"/>
      <c r="AV105" s="226"/>
      <c r="AW105" s="226"/>
      <c r="AX105" s="226"/>
      <c r="AZ105" s="722"/>
      <c r="BA105" s="723"/>
      <c r="BB105" s="723"/>
      <c r="BC105" s="724"/>
      <c r="BD105" s="722"/>
      <c r="BE105" s="723"/>
      <c r="BF105" s="724"/>
      <c r="BG105" s="722"/>
      <c r="BH105" s="723"/>
      <c r="BI105" s="723"/>
      <c r="BJ105" s="723"/>
      <c r="BK105" s="724"/>
      <c r="BL105" s="722"/>
      <c r="BM105" s="723"/>
      <c r="BN105" s="723"/>
      <c r="BO105" s="723"/>
      <c r="BP105" s="725" t="s">
        <v>239</v>
      </c>
      <c r="BQ105" s="725"/>
      <c r="BR105" s="744"/>
      <c r="BS105" s="744"/>
      <c r="BT105" s="74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11"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11"/>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22"/>
      <c r="BA106" s="723"/>
      <c r="BB106" s="723"/>
      <c r="BC106" s="724"/>
      <c r="BD106" s="722"/>
      <c r="BE106" s="723"/>
      <c r="BF106" s="723"/>
      <c r="BG106" s="722"/>
      <c r="BH106" s="723"/>
      <c r="BI106" s="723"/>
      <c r="BJ106" s="723"/>
      <c r="BK106" s="724"/>
      <c r="BL106" s="722" t="s">
        <v>165</v>
      </c>
      <c r="BM106" s="723"/>
      <c r="BN106" s="723"/>
      <c r="BO106" s="723"/>
      <c r="BP106" s="725">
        <f>MAX(DG5:DG104)</f>
        <v>0</v>
      </c>
      <c r="BQ106" s="725"/>
      <c r="BR106" s="722" t="str">
        <f>IF(BP106="","",IF(OR(AND(Rev="H",Calculations!$F$27=TRUE),AND(Rev&lt;&gt;"H",Calculations!$F$30=TRUE)),IF(BP106&lt;=1,"Pass","Fail"),IF(BP106&lt;=1.05,"Pass","Fail")))</f>
        <v>Pass</v>
      </c>
      <c r="BS106" s="723"/>
      <c r="BT106" s="724"/>
      <c r="CN106" s="143" t="str">
        <f>IF(AND(Rev="H",Calculations!$F$27=TRUE),"         Rating per TIA-222-H Section 15.5.",IF(AND(Rev&lt;&gt;"H",Calculations!$F$30=TRUE),"         Ratings normalized per Load Z.",""))</f>
        <v xml:space="preserve">         Rating per TIA-222-H Section 15.5.</v>
      </c>
    </row>
    <row r="107" spans="2:176" ht="13.5" thickBot="1" x14ac:dyDescent="0.25">
      <c r="AZ107" s="722"/>
      <c r="BA107" s="723"/>
      <c r="BB107" s="723"/>
      <c r="BC107" s="724"/>
      <c r="BD107" s="722"/>
      <c r="BE107" s="723"/>
      <c r="BF107" s="723"/>
      <c r="BG107" s="722"/>
      <c r="BH107" s="723"/>
      <c r="BI107" s="723"/>
      <c r="BJ107" s="723"/>
      <c r="BK107" s="724"/>
      <c r="BL107" s="722" t="s">
        <v>112</v>
      </c>
      <c r="BM107" s="723"/>
      <c r="BN107" s="723"/>
      <c r="BO107" s="723"/>
      <c r="BP107" s="725">
        <f>MAX(DH5:EK104)</f>
        <v>0</v>
      </c>
      <c r="BQ107" s="725"/>
      <c r="BR107" s="722" t="str">
        <f>IF(BP107="","",IF(OR(AND(Rev="H",Calculations!$F$27=TRUE),AND(Rev&lt;&gt;"H",Calculations!$F$30=TRUE)),IF(BP107&lt;=1,"Pass","Fail"),IF(BP107&lt;=1.05,"Pass","Fail")))</f>
        <v>Pass</v>
      </c>
      <c r="BS107" s="723"/>
      <c r="BT107" s="724"/>
    </row>
    <row r="108" spans="2:176" ht="12.75" customHeight="1" thickBot="1" x14ac:dyDescent="0.25">
      <c r="AZ108" s="722"/>
      <c r="BA108" s="723"/>
      <c r="BB108" s="723"/>
      <c r="BC108" s="724"/>
      <c r="BD108" s="722"/>
      <c r="BE108" s="723"/>
      <c r="BF108" s="723"/>
      <c r="BG108" s="722"/>
      <c r="BH108" s="723"/>
      <c r="BI108" s="723"/>
      <c r="BJ108" s="723"/>
      <c r="BK108" s="724"/>
      <c r="BL108" s="722" t="s">
        <v>258</v>
      </c>
      <c r="BM108" s="723"/>
      <c r="BN108" s="723"/>
      <c r="BO108" s="723"/>
      <c r="BP108" s="725">
        <f>MAX(BP106:BQ107)</f>
        <v>0</v>
      </c>
      <c r="BQ108" s="725"/>
      <c r="BR108" s="722" t="str">
        <f>IF(BP108="","",IF(OR(AND(Rev="H",Calculations!$F$27=TRUE),AND(Rev&lt;&gt;"H",Calculations!$F$30=TRUE)),IF(BP108&lt;=1,"Pass","Fail"),IF(BP108&lt;=1.05,"Pass","Fail")))</f>
        <v>Pass</v>
      </c>
      <c r="BS108" s="723"/>
      <c r="BT108" s="724"/>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jeaDs8QdJrG2JCh56S7lcpmzjGDgXyPXSInsRWZe4mZrK32Z/jsSSsHk5WnSrhxuZmVK31vRGSOkL2iRMdGnmA==" saltValue="93tgYEZrYF2dkZZTs37ppw=="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AQO/vwtCCCcOqL+hvPxBJ/2AsSrDkP/cX0eoTpAawxywchPta45/0zAIBgcmtudjO2VxPPA6LWsfiKAqDzUDiA==" saltValue="zIOAFG5VjIR77jT+y3PXgg=="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(Rb)?]])-1,FALSE)="Yes",(IF(Reinforcements[[#This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(Rb)?]])-1,FALSE)="Yes",(IF(Reinforcements[[#This Row],[Lb(top)]]&lt;=16,1,IF(Reinforcements[[#This Row],[Lb(top)]]&gt;38,0.75,0.9))),1),"-")</f>
        <v>1</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324.79748679572555</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(Rb)?]])-1,FALSE)="Yes",(IF(Reinforcements[[#This Row],[Lb(top)]]&lt;=16,1,IF(Reinforcements[[#This Row],[Lb(top)]]&gt;38,0.75,0.9))),1),"-")</f>
        <v>1</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(Rb)?]])-1,FALSE)="Yes",(IF(Reinforcements[[#This Row],[Lb(top)]]&lt;=16,1,IF(Reinforcements[[#This Row],[Lb(top)]]&gt;38,0.75,0.9))),1),"-")</f>
        <v>1</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(Rb)?]])-1,FALSE)="Yes",(IF(Reinforcements[[#This Row],[Lb(top)]]&lt;=16,1,IF(Reinforcements[[#This Row],[Lb(top)]]&gt;38,0.75,0.9))),1),"-")</f>
        <v>1</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(Rb)?]])-1,FALSE)="Yes",(IF(Reinforcements[[#This Row],[Lb(top)]]&lt;=16,1,IF(Reinforcements[[#This Row],[Lb(top)]]&gt;38,0.75,0.9))),1),"-")</f>
        <v>1</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(Rb)?]])-1,FALSE)="Yes",(IF(Reinforcements[[#This Row],[Lb(top)]]&lt;=16,1,IF(Reinforcements[[#This Row],[Lb(top)]]&gt;38,0.75,0.9))),1),"-")</f>
        <v>1</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974.39246038717658</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(Rb)?]])-1,FALSE)="Yes",(IF(Reinforcements[[#This Row],[Lb(top)]]&lt;=16,1,IF(Reinforcements[[#This Row],[Lb(top)]]&gt;38,0.75,0.9))),1),"-")</f>
        <v>1</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1159.9910242704484</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(Rb)?]])-1,FALSE)="Yes",(IF(Reinforcements[[#This Row],[Lb(top)]]&lt;=16,1,IF(Reinforcements[[#This Row],[Lb(top)]]&gt;38,0.75,0.9))),1),"-")</f>
        <v>1</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1345.5895881537201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(Rb)?]])-1,FALSE)="Yes",(IF(Reinforcements[[#This Row],[Lb(top)]]&lt;=16,1,IF(Reinforcements[[#This Row],[Lb(top)]]&gt;38,0.75,0.9))),1),"-")</f>
        <v>1</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1484.7885110661739</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(Rb)?]])-1,FALSE)="Yes",(IF(Reinforcements[[#This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(Rb)?]])-1,FALSE)="Yes",(IF(Reinforcements[[#This Row],[Lb(top)]]&lt;=16,1,IF(Reinforcements[[#This Row],[Lb(top)]]&gt;38,0.75,0.9))),1),"-")</f>
        <v>1</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(Rb)?]])-1,FALSE)="Yes",(IF(Reinforcements[[#This Row],[Lb(top)]]&lt;=16,1,IF(Reinforcements[[#This Row],[Lb(top)]]&gt;38,0.75,0.9))),1),"-")</f>
        <v>1</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(Rb)?]])-1,FALSE)="Yes",(IF(Reinforcements[[#This Row],[Lb(top)]]&lt;=16,1,IF(Reinforcements[[#This Row],[Lb(top)]]&gt;38,0.75,0.9))),1),"-")</f>
        <v>1</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(Rb)?]])-1,FALSE)="Yes",(IF(Reinforcements[[#This Row],[Lb(top)]]&lt;=16,1,IF(Reinforcements[[#This Row],[Lb(top)]]&gt;38,0.75,0.9))),1),"-")</f>
        <v>1</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(Rb)?]])-1,FALSE)="Yes",(IF(Reinforcements[[#This Row],[Lb(top)]]&lt;=16,1,IF(Reinforcements[[#This Row],[Lb(top)]]&gt;38,0.75,0.9))),1),"-")</f>
        <v>1</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(Rb)?]])-1,FALSE)="Yes",(IF(Reinforcements[[#This Row],[Lb(top)]]&lt;=16,1,IF(Reinforcements[[#This Row],[Lb(top)]]&gt;38,0.75,0.9))),1),"-")</f>
        <v>1</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(Rb)?]])-1,FALSE)="Yes",(IF(Reinforcements[[#This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(Rb)?]])-1,FALSE)="Yes",(IF(Reinforcements[[#This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(Rb)?]])-1,FALSE)="Yes",(IF(Reinforcements[[#This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(Rb)?]])-1,FALSE)="Yes",(IF(Reinforcements[[#This Row],[Lb(top)]]&lt;=16,1,IF(Reinforcements[[#This Row],[Lb(top)]]&gt;38,0.75,0.9))),1),"-")</f>
        <v>1</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(Rb)?]])-1,FALSE)="Yes",(IF(Reinforcements[[#This Row],[Lb(top)]]&lt;=16,1,IF(Reinforcements[[#This Row],[Lb(top)]]&gt;38,0.75,0.9))),1),"-")</f>
        <v>1</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(Rb)?]])-1,FALSE)="Yes",(IF(Reinforcements[[#This Row],[Lb(top)]]&lt;=16,1,IF(Reinforcements[[#This Row],[Lb(top)]]&gt;38,0.75,0.9))),1),"-")</f>
        <v>1</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(Rb)?]])-1,FALSE)="Yes",(IF(Reinforcements[[#This Row],[Lb(top)]]&lt;=16,1,IF(Reinforcements[[#This Row],[Lb(top)]]&gt;38,0.75,0.9))),1),"-")</f>
        <v>1</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(Rb)?]])-1,FALSE)="Yes",(IF(Reinforcements[[#This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(Rb)?]])-1,FALSE)="Yes",(IF(Reinforcements[[#This Row],[Lb(top)]]&lt;=16,1,IF(Reinforcements[[#This Row],[Lb(top)]]&gt;38,0.75,0.9))),1),"-")</f>
        <v>1</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(Rb)?]])-1,FALSE)="Yes",(IF(Reinforcements[[#This Row],[Lb(top)]]&lt;=16,1,IF(Reinforcements[[#This Row],[Lb(top)]]&gt;38,0.75,0.9))),1),"-")</f>
        <v>1</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(Rb)?]])-1,FALSE)="Yes",(IF(Reinforcements[[#This Row],[Lb(top)]]&lt;=16,1,IF(Reinforcements[[#This Row],[Lb(top)]]&gt;38,0.75,0.9))),1),"-")</f>
        <v>1</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(Rb)?]])-1,FALSE)="Yes",(IF(Reinforcements[[#This Row],[Lb(top)]]&lt;=16,1,IF(Reinforcements[[#This Row],[Lb(top)]]&gt;38,0.75,0.9))),1),"-")</f>
        <v>1</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(Rb)?]])-1,FALSE)="Yes",(IF(Reinforcements[[#This Row],[Lb(top)]]&lt;=16,1,IF(Reinforcements[[#This Row],[Lb(top)]]&gt;38,0.75,0.9))),1),"-")</f>
        <v>1</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(Rb)?]])-1,FALSE)="Yes",(IF(Reinforcements[[#This Row],[Lb(top)]]&lt;=16,1,IF(Reinforcements[[#This Row],[Lb(top)]]&gt;38,0.75,0.9))),1),"-")</f>
        <v>1</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(Rb)?]])-1,FALSE)="Yes",(IF(Reinforcements[[#This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(Rb)?]])-1,FALSE)="Yes",(IF(Reinforcements[[#This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(Rb)?]])-1,FALSE)="Yes",(IF(Reinforcements[[#This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(Rb)?]])-1,FALSE)="Yes",(IF(Reinforcements[[#This Row],[Lb(top)]]&lt;=16,1,IF(Reinforcements[[#This Row],[Lb(top)]]&gt;38,0.75,0.9))),1),"-")</f>
        <v>1</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(Rb)?]])-1,FALSE)="Yes",(IF(Reinforcements[[#This Row],[Lb(top)]]&lt;=16,1,IF(Reinforcements[[#This Row],[Lb(top)]]&gt;38,0.75,0.9))),1),"-")</f>
        <v>1</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(Rb)?]])-1,FALSE)="Yes",(IF(Reinforcements[[#This Row],[Lb(top)]]&lt;=16,1,IF(Reinforcements[[#This Row],[Lb(top)]]&gt;38,0.75,0.9))),1),"-")</f>
        <v>1</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(Rb)?]])-1,FALSE)="Yes",(IF(Reinforcements[[#This Row],[Lb(top)]]&lt;=16,1,IF(Reinforcements[[#This Row],[Lb(top)]]&gt;38,0.75,0.9))),1),"-")</f>
        <v>1</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(Rb)?]])-1,FALSE)="Yes",(IF(Reinforcements[[#This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(Rb)?]])-1,FALSE)="Yes",(IF(Reinforcements[[#This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(Rb)?]])-1,FALSE)="Yes",(IF(Reinforcements[[#This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(Rb)?]])-1,FALSE)="Yes",(IF(Reinforcements[[#This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(Rb)?]])-1,FALSE)="Yes",(IF(Reinforcements[[#This Row],[Lb(top)]]&lt;=16,1,IF(Reinforcements[[#This Row],[Lb(top)]]&gt;38,0.75,0.9))),1),"-")</f>
        <v>1</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(Rb)?]])-1,FALSE)="Yes",(IF(Reinforcements[[#This Row],[Lb(top)]]&lt;=16,1,IF(Reinforcements[[#This Row],[Lb(top)]]&gt;38,0.75,0.9))),1),"-")</f>
        <v>1</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(Rb)?]])-1,FALSE)="Yes",(IF(Reinforcements[[#This Row],[Lb(top)]]&lt;=16,1,IF(Reinforcements[[#This Row],[Lb(top)]]&gt;38,0.75,0.9))),1),"-")</f>
        <v>1</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(Rb)?]])-1,FALSE)="Yes",(IF(Reinforcements[[#This Row],[Lb(top)]]&lt;=16,1,IF(Reinforcements[[#This Row],[Lb(top)]]&gt;38,0.75,0.9))),1),"-")</f>
        <v>1</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(Rb)?]])-1,FALSE)="Yes",(IF(Reinforcements[[#This Row],[Lb(top)]]&lt;=16,1,IF(Reinforcements[[#This Row],[Lb(top)]]&gt;38,0.75,0.9))),1),"-")</f>
        <v>1</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(Rb)?]])-1,FALSE)="Yes",(IF(Reinforcements[[#This Row],[Lb(top)]]&lt;=16,1,IF(Reinforcements[[#This Row],[Lb(top)]]&gt;38,0.75,0.9))),1),"-")</f>
        <v>1</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742.39425553308695</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(Rb)?]])-1,FALSE)="Yes",(IF(Reinforcements[[#This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(Rb)?]])-1,FALSE)="Yes",(IF(Reinforcements[[#This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(Rb)?]])-1,FALSE)="Yes",(IF(Reinforcements[[#This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(Rb)?]])-1,FALSE)="Yes",(IF(Reinforcements[[#This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(Rb)?]])-1,FALSE)="Yes",(IF(Reinforcements[[#This Row],[Lb(top)]]&lt;=16,1,IF(Reinforcements[[#This Row],[Lb(top)]]&gt;38,0.75,0.9))),1),"-")</f>
        <v>1</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(Rb)?]])-1,FALSE)="Yes",(IF(Reinforcements[[#This Row],[Lb(top)]]&lt;=16,1,IF(Reinforcements[[#This Row],[Lb(top)]]&gt;38,0.75,0.9))),1),"-")</f>
        <v>1</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(Rb)?]])-1,FALSE)="Yes",(IF(Reinforcements[[#This Row],[Lb(top)]]&lt;=16,1,IF(Reinforcements[[#This Row],[Lb(top)]]&gt;38,0.75,0.9))),1),"-")</f>
        <v>1</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(Rb)?]])-1,FALSE)="Yes",(IF(Reinforcements[[#This Row],[Lb(top)]]&lt;=16,1,IF(Reinforcements[[#This Row],[Lb(top)]]&gt;38,0.75,0.9))),1),"-")</f>
        <v>1</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(Rb)?]])-1,FALSE)="Yes",(IF(Reinforcements[[#This Row],[Lb(top)]]&lt;=16,1,IF(Reinforcements[[#This Row],[Lb(top)]]&gt;38,0.75,0.9))),1),"-")</f>
        <v>1</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(Rb)?]])-1,FALSE)="Yes",(IF(Reinforcements[[#This Row],[Lb(top)]]&lt;=16,1,IF(Reinforcements[[#This Row],[Lb(top)]]&gt;38,0.75,0.9))),1),"-")</f>
        <v>1</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52">
        <v>28989</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(Rb)?]])-1,FALSE)="Yes",(IF(Reinforcements[[#This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52">
        <v>28990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(Rb)?]])-1,FALSE)="Yes",(IF(Reinforcements[[#This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52">
        <v>28991</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(Rb)?]])-1,FALSE)="Yes",(IF(Reinforcements[[#This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52">
        <v>28992</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(Rb)?]])-1,FALSE)="Yes",(IF(Reinforcements[[#This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52">
        <v>28993</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(Rb)?]])-1,FALSE)="Yes",(IF(Reinforcements[[#This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52">
        <v>28994</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(Rb)?]])-1,FALSE)="Yes",(IF(Reinforcements[[#This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52">
        <v>28995</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(Rb)?]])-1,FALSE)="Yes",(IF(Reinforcements[[#This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52">
        <v>28996</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(Rb)?]])-1,FALSE)="Yes",(IF(Reinforcements[[#This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52">
        <v>28997</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(Rb)?]])-1,FALSE)="Yes",(IF(Reinforcements[[#This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52">
        <v>28998</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(Rb)?]])-1,FALSE)="Yes",(IF(Reinforcements[[#This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52">
        <v>28999</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(Rb)?]])-1,FALSE)="Yes",(IF(Reinforcements[[#This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52">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(Rb)?]])-1,FALSE)="Yes",(IF(Reinforcements[[#This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52">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(Rb)?]])-1,FALSE)="Yes",(IF(Reinforcements[[#This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52">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(Rb)?]])-1,FALSE)="Yes",(IF(Reinforcements[[#This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52">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(Rb)?]])-1,FALSE)="Yes",(IF(Reinforcements[[#This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52">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(Rb)?]])-1,FALSE)="Yes",(IF(Reinforcements[[#This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52">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(Rb)?]])-1,FALSE)="Yes",(IF(Reinforcements[[#This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52">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(Rb)?]])-1,FALSE)="Yes",(IF(Reinforcements[[#This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52">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(Rb)?]])-1,FALSE)="Yes",(IF(Reinforcements[[#This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52">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(Rb)?]])-1,FALSE)="Yes",(IF(Reinforcements[[#This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52">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(Rb)?]])-1,FALSE)="Yes",(IF(Reinforcements[[#This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52">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(Rb)?]])-1,FALSE)="Yes",(IF(Reinforcements[[#This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52">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(Rb)?]])-1,FALSE)="Yes",(IF(Reinforcements[[#This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A3cR3CzmIJ9lr4bGyGKrJ227kb+C1SJLl/vhkObboCSa48f3Nepf7+UvjsiiN9WUdCRg8KfP2GcCs41uPGnYZQ==" saltValue="UgakKmFxI7kWqH13klTmHQ==" spinCount="100000" sheet="1" objects="1" scenarios="1"/>
  <mergeCells count="2">
    <mergeCell ref="AB1:AC1"/>
    <mergeCell ref="I1:K1"/>
  </mergeCells>
  <conditionalFormatting sqref="C3">
    <cfRule type="expression" dxfId="416" priority="215">
      <formula>AND(B3&lt;&gt;"",C3="")</formula>
    </cfRule>
  </conditionalFormatting>
  <conditionalFormatting sqref="C4:C83">
    <cfRule type="expression" dxfId="415" priority="214">
      <formula>AND(B4&lt;&gt;"",C4="")</formula>
    </cfRule>
  </conditionalFormatting>
  <conditionalFormatting sqref="D3">
    <cfRule type="expression" dxfId="414" priority="213">
      <formula>AND(B3&lt;&gt;"",C3&lt;&gt;"",D3="")</formula>
    </cfRule>
  </conditionalFormatting>
  <conditionalFormatting sqref="D4:D17 D33:D83">
    <cfRule type="expression" dxfId="413" priority="212">
      <formula>AND(B4&lt;&gt;"",C4&lt;&gt;"",D4="")</formula>
    </cfRule>
  </conditionalFormatting>
  <conditionalFormatting sqref="E3">
    <cfRule type="expression" dxfId="412" priority="211">
      <formula>AND(B3&lt;&gt;"",C3&lt;&gt;"",E3="")</formula>
    </cfRule>
  </conditionalFormatting>
  <conditionalFormatting sqref="E4:E17 E33:E83">
    <cfRule type="expression" dxfId="411" priority="210">
      <formula>AND(B4&lt;&gt;"",C4&lt;&gt;"",E4="")</formula>
    </cfRule>
  </conditionalFormatting>
  <conditionalFormatting sqref="F3">
    <cfRule type="expression" dxfId="410" priority="209">
      <formula>AND(B3&lt;&gt;"",C3="solid round",F3="")</formula>
    </cfRule>
  </conditionalFormatting>
  <conditionalFormatting sqref="F4:F83">
    <cfRule type="expression" dxfId="409" priority="208">
      <formula>AND(B4&lt;&gt;"",C4="solid round",F4="")</formula>
    </cfRule>
  </conditionalFormatting>
  <conditionalFormatting sqref="G3:H83">
    <cfRule type="expression" dxfId="408" priority="207">
      <formula>AND($B3&lt;&gt;"",$C3="channel",$G3="")</formula>
    </cfRule>
  </conditionalFormatting>
  <conditionalFormatting sqref="L3">
    <cfRule type="expression" dxfId="407" priority="203">
      <formula>AND(B3&lt;&gt;"",OR(C3="channel",C3="arbitrary"),L3="")</formula>
    </cfRule>
  </conditionalFormatting>
  <conditionalFormatting sqref="L4:L83">
    <cfRule type="expression" dxfId="406" priority="202">
      <formula>AND(B4&lt;&gt;"",OR(C4="channel",C4="arbitrary"),L4="")</formula>
    </cfRule>
  </conditionalFormatting>
  <conditionalFormatting sqref="M3:M83">
    <cfRule type="expression" dxfId="405" priority="201">
      <formula>AND(B3&lt;&gt;"",OR(C3="channel",C3="solid round",C3="arbitrary"),M3="")</formula>
    </cfRule>
  </conditionalFormatting>
  <conditionalFormatting sqref="P3">
    <cfRule type="expression" dxfId="404" priority="199">
      <formula>AND(B3&lt;&gt;"",OR(C3="channel",C3="arbitrary"),P3="")</formula>
    </cfRule>
  </conditionalFormatting>
  <conditionalFormatting sqref="P4:P83">
    <cfRule type="expression" dxfId="403" priority="198">
      <formula>AND(B4&lt;&gt;"",OR(C4="channel",C4="arbitrary"),P4="")</formula>
    </cfRule>
  </conditionalFormatting>
  <conditionalFormatting sqref="R3">
    <cfRule type="expression" dxfId="402" priority="197">
      <formula>AND(B3&lt;&gt;"",OR(C3="channel",C3="arbitrary"),R3="")</formula>
    </cfRule>
  </conditionalFormatting>
  <conditionalFormatting sqref="R4:R83">
    <cfRule type="expression" dxfId="401" priority="196">
      <formula>AND(B4&lt;&gt;"",OR(C4="channel",C4="arbitrary"),R4="")</formula>
    </cfRule>
  </conditionalFormatting>
  <conditionalFormatting sqref="T3:T83">
    <cfRule type="expression" dxfId="400" priority="195">
      <formula>AND(B3&lt;&gt;"",C3&lt;&gt;"",T3="")</formula>
    </cfRule>
  </conditionalFormatting>
  <conditionalFormatting sqref="BZ3:BZ83">
    <cfRule type="expression" dxfId="399" priority="192">
      <formula>AND(B3&lt;&gt;"",C3="channel",BZ3="")</formula>
    </cfRule>
  </conditionalFormatting>
  <conditionalFormatting sqref="W3">
    <cfRule type="expression" dxfId="398" priority="191">
      <formula>AND(B3&lt;&gt;"",OR(C3="plate",C3="channel",C3="arbitrary"),W3="")</formula>
    </cfRule>
  </conditionalFormatting>
  <conditionalFormatting sqref="W4:W83">
    <cfRule type="expression" dxfId="397" priority="190">
      <formula>AND(B4&lt;&gt;"",OR(C4="plate",C4="channel",C4="arbitrary"),W4="")</formula>
    </cfRule>
  </conditionalFormatting>
  <conditionalFormatting sqref="Y3">
    <cfRule type="expression" dxfId="396" priority="189">
      <formula>AND(B3&lt;&gt;"",C3="arbitrary",Y3="")</formula>
    </cfRule>
  </conditionalFormatting>
  <conditionalFormatting sqref="Y4:Y83">
    <cfRule type="expression" dxfId="395" priority="188">
      <formula>AND(B4&lt;&gt;"",C4="arbitrary",Y4="")</formula>
    </cfRule>
  </conditionalFormatting>
  <conditionalFormatting sqref="Z3">
    <cfRule type="expression" dxfId="394" priority="187">
      <formula>AND(B3&lt;&gt;"",C3="arbitrary",Z3="")</formula>
    </cfRule>
  </conditionalFormatting>
  <conditionalFormatting sqref="Z4:Z83">
    <cfRule type="expression" dxfId="393" priority="186">
      <formula>AND(B4&lt;&gt;"",C4="arbitrary",Z4="")</formula>
    </cfRule>
  </conditionalFormatting>
  <conditionalFormatting sqref="O3">
    <cfRule type="expression" dxfId="392" priority="185">
      <formula>AND(B3&lt;&gt;"",C3&lt;&gt;"",O3="")</formula>
    </cfRule>
  </conditionalFormatting>
  <conditionalFormatting sqref="O4:O83">
    <cfRule type="expression" dxfId="391" priority="184">
      <formula>AND(B4&lt;&gt;"",C4&lt;&gt;"",O4="")</formula>
    </cfRule>
  </conditionalFormatting>
  <conditionalFormatting sqref="N3">
    <cfRule type="expression" dxfId="390" priority="183">
      <formula>AND(B3&lt;&gt;"",C3&lt;&gt;"",N3="")</formula>
    </cfRule>
  </conditionalFormatting>
  <conditionalFormatting sqref="N4:N83">
    <cfRule type="expression" dxfId="389" priority="182">
      <formula>AND(B4&lt;&gt;"",C4&lt;&gt;"",N4="")</formula>
    </cfRule>
  </conditionalFormatting>
  <conditionalFormatting sqref="U3">
    <cfRule type="expression" dxfId="388" priority="181">
      <formula>AND(B3&lt;&gt;"",C3&lt;&gt;"",U3="")</formula>
    </cfRule>
  </conditionalFormatting>
  <conditionalFormatting sqref="V3">
    <cfRule type="expression" dxfId="387" priority="180">
      <formula>AND(B3&lt;&gt;"",C3&lt;&gt;"",V3="")</formula>
    </cfRule>
  </conditionalFormatting>
  <conditionalFormatting sqref="U4:U83">
    <cfRule type="expression" dxfId="386" priority="179">
      <formula>AND(B4&lt;&gt;"",C4&lt;&gt;"",U4="")</formula>
    </cfRule>
  </conditionalFormatting>
  <conditionalFormatting sqref="V4:V83">
    <cfRule type="expression" dxfId="385" priority="178">
      <formula>AND(B4&lt;&gt;"",C4&lt;&gt;"",V4="")</formula>
    </cfRule>
  </conditionalFormatting>
  <conditionalFormatting sqref="B3:B19 B34 B36 B38 B40 B42:B83">
    <cfRule type="expression" dxfId="384" priority="176">
      <formula>AND(B2&lt;&gt;"",B3="")</formula>
    </cfRule>
  </conditionalFormatting>
  <conditionalFormatting sqref="B22:B24">
    <cfRule type="expression" dxfId="383" priority="353">
      <formula>AND(B17&lt;&gt;"",B22="")</formula>
    </cfRule>
  </conditionalFormatting>
  <conditionalFormatting sqref="B21">
    <cfRule type="expression" dxfId="382" priority="355">
      <formula>AND(B17&lt;&gt;"",B21="")</formula>
    </cfRule>
  </conditionalFormatting>
  <conditionalFormatting sqref="B20">
    <cfRule type="expression" dxfId="381" priority="357">
      <formula>AND(B18&lt;&gt;"",B20="")</formula>
    </cfRule>
  </conditionalFormatting>
  <conditionalFormatting sqref="D18:D22">
    <cfRule type="expression" dxfId="380" priority="174">
      <formula>AND(B18&lt;&gt;"",C18&lt;&gt;"",D18="")</formula>
    </cfRule>
  </conditionalFormatting>
  <conditionalFormatting sqref="E18:E22">
    <cfRule type="expression" dxfId="379" priority="173">
      <formula>AND(B18&lt;&gt;"",C18&lt;&gt;"",E18="")</formula>
    </cfRule>
  </conditionalFormatting>
  <conditionalFormatting sqref="AR3:AS83">
    <cfRule type="expression" dxfId="378" priority="361">
      <formula>AND(AE3&lt;&gt;"",AF3&lt;&gt;"",AR3="")</formula>
    </cfRule>
  </conditionalFormatting>
  <conditionalFormatting sqref="AY3:AY83">
    <cfRule type="expression" dxfId="377" priority="365">
      <formula>AND(AG3&lt;&gt;"",AH3&lt;&gt;"",AY3="")</formula>
    </cfRule>
  </conditionalFormatting>
  <conditionalFormatting sqref="BJ3:BK3 BH4:BK83">
    <cfRule type="expression" dxfId="376" priority="367">
      <formula>AND(P3&lt;&gt;"",Q3&lt;&gt;"",BH3="")</formula>
    </cfRule>
  </conditionalFormatting>
  <conditionalFormatting sqref="BF4:BG83">
    <cfRule type="expression" dxfId="375" priority="369">
      <formula>AND(R4&lt;&gt;"",S4&lt;&gt;"",BF4="")</formula>
    </cfRule>
  </conditionalFormatting>
  <conditionalFormatting sqref="AV3:AV83">
    <cfRule type="expression" dxfId="374" priority="397">
      <formula>AND(S3&lt;&gt;"",T3&lt;&gt;"",AV3="")</formula>
    </cfRule>
  </conditionalFormatting>
  <conditionalFormatting sqref="AU3:AU83">
    <cfRule type="expression" dxfId="373" priority="411">
      <formula>AND(AF3&lt;&gt;"",AG3&lt;&gt;"",AU3="")</formula>
    </cfRule>
  </conditionalFormatting>
  <conditionalFormatting sqref="AK3:AM83">
    <cfRule type="expression" dxfId="372" priority="424">
      <formula>AND(L3&lt;&gt;"",M3&lt;&gt;"",AK3="")</formula>
    </cfRule>
  </conditionalFormatting>
  <conditionalFormatting sqref="AN3:AO83">
    <cfRule type="expression" dxfId="371" priority="437">
      <formula>AND(Q3&lt;&gt;"",R3&lt;&gt;"",AN3="")</formula>
    </cfRule>
  </conditionalFormatting>
  <conditionalFormatting sqref="DE3:DE83">
    <cfRule type="expression" dxfId="370" priority="443">
      <formula>AND(AH3&lt;&gt;"",AI3&lt;&gt;"",DE3="")</formula>
    </cfRule>
  </conditionalFormatting>
  <conditionalFormatting sqref="AT3:AT83">
    <cfRule type="expression" dxfId="369" priority="450">
      <formula>AND(AA3&lt;&gt;"",AE3&lt;&gt;"",AT3="")</formula>
    </cfRule>
  </conditionalFormatting>
  <conditionalFormatting sqref="B27:B29">
    <cfRule type="expression" dxfId="368" priority="452">
      <formula>AND(B18&lt;&gt;"",B27="")</formula>
    </cfRule>
  </conditionalFormatting>
  <conditionalFormatting sqref="B26">
    <cfRule type="expression" dxfId="367" priority="454">
      <formula>AND(B18&lt;&gt;"",B26="")</formula>
    </cfRule>
  </conditionalFormatting>
  <conditionalFormatting sqref="B25">
    <cfRule type="expression" dxfId="366" priority="456">
      <formula>AND(B19&lt;&gt;"",B25="")</formula>
    </cfRule>
  </conditionalFormatting>
  <conditionalFormatting sqref="D23:D27">
    <cfRule type="expression" dxfId="365" priority="168">
      <formula>AND(B23&lt;&gt;"",C23&lt;&gt;"",D23="")</formula>
    </cfRule>
  </conditionalFormatting>
  <conditionalFormatting sqref="E23:E27">
    <cfRule type="expression" dxfId="364" priority="167">
      <formula>AND(B23&lt;&gt;"",C23&lt;&gt;"",E23="")</formula>
    </cfRule>
  </conditionalFormatting>
  <conditionalFormatting sqref="AA3:AB52 AB53:AB83">
    <cfRule type="expression" dxfId="363" priority="468">
      <formula>AND(C3&lt;&gt;"",D3&lt;&gt;"",AA3="")</formula>
    </cfRule>
  </conditionalFormatting>
  <conditionalFormatting sqref="AJ53:AJ83 AP3:AP83">
    <cfRule type="expression" dxfId="362" priority="471">
      <formula>AND(L3&lt;&gt;"",M3&lt;&gt;"",AJ3="")</formula>
    </cfRule>
  </conditionalFormatting>
  <conditionalFormatting sqref="AZ3 AZ4:BB83">
    <cfRule type="expression" dxfId="361" priority="535">
      <formula>AND(P3&lt;&gt;"",Q3&lt;&gt;"",AZ3="")</formula>
    </cfRule>
  </conditionalFormatting>
  <conditionalFormatting sqref="DD3:DD83">
    <cfRule type="expression" dxfId="360" priority="539">
      <formula>AND(AG3&lt;&gt;"",AH3&lt;&gt;"",DD3="")</formula>
    </cfRule>
  </conditionalFormatting>
  <conditionalFormatting sqref="DG3:DG83">
    <cfRule type="expression" dxfId="359" priority="544">
      <formula>AND(AE3&lt;&gt;"",AF3&lt;&gt;"",DG3="")</formula>
    </cfRule>
  </conditionalFormatting>
  <conditionalFormatting sqref="DZ3:EH83">
    <cfRule type="expression" dxfId="358" priority="545">
      <formula>AND(AF3&lt;&gt;"",AG3&lt;&gt;"",DZ3="")</formula>
    </cfRule>
  </conditionalFormatting>
  <conditionalFormatting sqref="DW3:DW83">
    <cfRule type="expression" dxfId="357" priority="547">
      <formula>AND(AG3&lt;&gt;"",AH3&lt;&gt;"",DW3="")</formula>
    </cfRule>
  </conditionalFormatting>
  <conditionalFormatting sqref="DY3:DY83">
    <cfRule type="expression" dxfId="356" priority="549">
      <formula>AND(W3&lt;&gt;"",X3&lt;&gt;"",DY3="")</formula>
    </cfRule>
  </conditionalFormatting>
  <conditionalFormatting sqref="BL3:BL83">
    <cfRule type="expression" dxfId="355" priority="557">
      <formula>AND(L3&lt;&gt;"",M3&lt;&gt;"",BL3="")</formula>
    </cfRule>
  </conditionalFormatting>
  <conditionalFormatting sqref="AQ3:AQ83">
    <cfRule type="expression" dxfId="354" priority="566">
      <formula>AND(T3&lt;&gt;"",AA3&lt;&gt;"",AQ3="")</formula>
    </cfRule>
  </conditionalFormatting>
  <conditionalFormatting sqref="DX3:DX83">
    <cfRule type="expression" dxfId="353" priority="568">
      <formula>AND(T3&lt;&gt;"",AA3&lt;&gt;"",DX3="")</formula>
    </cfRule>
  </conditionalFormatting>
  <conditionalFormatting sqref="DF3:DF83">
    <cfRule type="expression" dxfId="352" priority="569">
      <formula>AND(T3&lt;&gt;"",W3&lt;&gt;"",DF3="")</formula>
    </cfRule>
  </conditionalFormatting>
  <conditionalFormatting sqref="B30">
    <cfRule type="expression" dxfId="351" priority="575">
      <formula>AND(B20&lt;&gt;"",B30="")</formula>
    </cfRule>
  </conditionalFormatting>
  <conditionalFormatting sqref="B32">
    <cfRule type="expression" dxfId="350" priority="165">
      <formula>AND(B23&lt;&gt;"",B32="")</formula>
    </cfRule>
  </conditionalFormatting>
  <conditionalFormatting sqref="B31">
    <cfRule type="expression" dxfId="349" priority="166">
      <formula>AND(B23&lt;&gt;"",B31="")</formula>
    </cfRule>
  </conditionalFormatting>
  <conditionalFormatting sqref="D28:D32">
    <cfRule type="expression" dxfId="348" priority="164">
      <formula>AND(B28&lt;&gt;"",C28&lt;&gt;"",D28="")</formula>
    </cfRule>
  </conditionalFormatting>
  <conditionalFormatting sqref="E28:E32">
    <cfRule type="expression" dxfId="347" priority="163">
      <formula>AND(B28&lt;&gt;"",C28&lt;&gt;"",E28="")</formula>
    </cfRule>
  </conditionalFormatting>
  <conditionalFormatting sqref="AC3:AD83">
    <cfRule type="expression" dxfId="346" priority="587">
      <formula>AND(D3&lt;&gt;"",E3&lt;&gt;"",AC3="")</formula>
    </cfRule>
  </conditionalFormatting>
  <conditionalFormatting sqref="BV3:BY83">
    <cfRule type="expression" dxfId="345" priority="591">
      <formula>AND(X3&lt;&gt;"",Y3&lt;&gt;"",BV3="")</formula>
    </cfRule>
  </conditionalFormatting>
  <conditionalFormatting sqref="BA3:BB3">
    <cfRule type="expression" dxfId="344" priority="592">
      <formula>AND(T3&lt;&gt;"",AA3&lt;&gt;"",BA3="")</formula>
    </cfRule>
  </conditionalFormatting>
  <conditionalFormatting sqref="BE4:BE83">
    <cfRule type="expression" dxfId="343" priority="595">
      <formula>AND(R4&lt;&gt;"",S4&lt;&gt;"",BE4="")</formula>
    </cfRule>
  </conditionalFormatting>
  <conditionalFormatting sqref="BC4:BC83">
    <cfRule type="expression" dxfId="342" priority="600">
      <formula>AND(R4&lt;&gt;"",S4&lt;&gt;"",BC4="")</formula>
    </cfRule>
  </conditionalFormatting>
  <conditionalFormatting sqref="BC3:BD3 BD4:BD83">
    <cfRule type="expression" dxfId="341" priority="602">
      <formula>AND(U3&lt;&gt;"",AB3&lt;&gt;"",BC3="")</formula>
    </cfRule>
  </conditionalFormatting>
  <conditionalFormatting sqref="AA53:AA83">
    <cfRule type="expression" dxfId="340" priority="162">
      <formula>AND(L53&lt;&gt;"",M53&lt;&gt;"",AA53="")</formula>
    </cfRule>
  </conditionalFormatting>
  <conditionalFormatting sqref="AE3:AF52 AF53:AF83">
    <cfRule type="expression" dxfId="339" priority="109">
      <formula>AND(D3&lt;&gt;"",E3&lt;&gt;"",AE3="")</formula>
    </cfRule>
  </conditionalFormatting>
  <conditionalFormatting sqref="AE53:AE83">
    <cfRule type="expression" dxfId="338" priority="31">
      <formula>AND(D53&lt;&gt;"",E53&lt;&gt;"",AE53="")</formula>
    </cfRule>
  </conditionalFormatting>
  <conditionalFormatting sqref="FL3:FL83">
    <cfRule type="expression" dxfId="337" priority="604">
      <formula>AND(AO3&lt;&gt;"",AP3&lt;&gt;"",FL3="")</formula>
    </cfRule>
  </conditionalFormatting>
  <conditionalFormatting sqref="FG3:FK83">
    <cfRule type="expression" dxfId="336" priority="606">
      <formula>AND(AO3&lt;&gt;"",AP3&lt;&gt;"",FG3="")</formula>
    </cfRule>
  </conditionalFormatting>
  <conditionalFormatting sqref="ER3:FB83">
    <cfRule type="expression" dxfId="335" priority="608">
      <formula>AND(AM3&lt;&gt;"",AN3&lt;&gt;"",ER3="")</formula>
    </cfRule>
  </conditionalFormatting>
  <conditionalFormatting sqref="FC3:FF83">
    <cfRule type="expression" dxfId="334" priority="610">
      <formula>AND(AU3&lt;&gt;"",AV3&lt;&gt;"",FC3="")</formula>
    </cfRule>
  </conditionalFormatting>
  <conditionalFormatting sqref="EI3:EJ83">
    <cfRule type="expression" dxfId="333" priority="614">
      <formula>AND(AL3&lt;&gt;"",AM3&lt;&gt;"",EI3="")</formula>
    </cfRule>
  </conditionalFormatting>
  <conditionalFormatting sqref="EK3:EQ83">
    <cfRule type="expression" dxfId="332" priority="615">
      <formula>AND(AH3&lt;&gt;"",AI3&lt;&gt;"",EK3="")</formula>
    </cfRule>
  </conditionalFormatting>
  <conditionalFormatting sqref="AW3:AX83">
    <cfRule type="expression" dxfId="331" priority="623">
      <formula>AND(AA3&lt;&gt;"",AE3&lt;&gt;"",AW3="")</formula>
    </cfRule>
  </conditionalFormatting>
  <conditionalFormatting sqref="BE3:BI3">
    <cfRule type="expression" dxfId="330" priority="624">
      <formula>AND(U3&lt;&gt;"",AB3&lt;&gt;"",BE3="")</formula>
    </cfRule>
  </conditionalFormatting>
  <conditionalFormatting sqref="FM3:GC83">
    <cfRule type="expression" dxfId="329" priority="626">
      <formula>AND(AQ3&lt;&gt;"",AR3&lt;&gt;"",FM3="")</formula>
    </cfRule>
  </conditionalFormatting>
  <conditionalFormatting sqref="B33">
    <cfRule type="expression" dxfId="328" priority="5">
      <formula>AND(B25&lt;&gt;"",B33="")</formula>
    </cfRule>
  </conditionalFormatting>
  <conditionalFormatting sqref="B35">
    <cfRule type="expression" dxfId="327" priority="4">
      <formula>AND(B27&lt;&gt;"",B35="")</formula>
    </cfRule>
  </conditionalFormatting>
  <conditionalFormatting sqref="B37">
    <cfRule type="expression" dxfId="326" priority="3">
      <formula>AND(B29&lt;&gt;"",B37="")</formula>
    </cfRule>
  </conditionalFormatting>
  <conditionalFormatting sqref="B39">
    <cfRule type="expression" dxfId="325" priority="2">
      <formula>AND(B31&lt;&gt;"",B39="")</formula>
    </cfRule>
  </conditionalFormatting>
  <conditionalFormatting sqref="B41">
    <cfRule type="expression" dxfId="324" priority="1">
      <formula>AND(B33&lt;&gt;"",B41="")</formula>
    </cfRule>
  </conditionalFormatting>
  <conditionalFormatting sqref="AG3:AJ52 AG53:AI83">
    <cfRule type="expression" dxfId="323" priority="631">
      <formula>AND(E3&lt;&gt;"",F3&lt;&gt;"",AG3="")</formula>
    </cfRule>
  </conditionalFormatting>
  <conditionalFormatting sqref="BM3:BU83">
    <cfRule type="expression" dxfId="322"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raiCl2KjXMOJGwom4nL2zMG4Ep2CLrgiI7lCmo4Go18CBRkOk364f/32m9jUflyvsiOZF6IEFeR4O6xLsYvnnA==" saltValue="GGFzbLUfU7qqFjYXNa9htg=="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64" t="s">
        <v>81</v>
      </c>
      <c r="B1" s="864"/>
      <c r="C1" s="864"/>
      <c r="D1" s="864"/>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65" t="s">
        <v>80</v>
      </c>
      <c r="C2" s="865"/>
      <c r="D2" s="865"/>
      <c r="E2" s="865"/>
      <c r="F2" s="865"/>
      <c r="G2" s="865"/>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71" t="s">
        <v>74</v>
      </c>
      <c r="K5" s="872"/>
      <c r="L5" s="872"/>
      <c r="M5" s="871" t="s">
        <v>76</v>
      </c>
      <c r="N5" s="872"/>
      <c r="O5" s="875"/>
      <c r="P5" s="872" t="s">
        <v>75</v>
      </c>
      <c r="Q5" s="872"/>
      <c r="R5" s="875"/>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73"/>
      <c r="K6" s="874"/>
      <c r="L6" s="874"/>
      <c r="M6" s="873"/>
      <c r="N6" s="874"/>
      <c r="O6" s="876"/>
      <c r="P6" s="874"/>
      <c r="Q6" s="874"/>
      <c r="R6" s="876"/>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68" t="e">
        <f>K7/K8</f>
        <v>#N/A</v>
      </c>
      <c r="M7" s="573" t="str">
        <f>IF(OR(Rev="G",Rev="H"),Q27,I17)</f>
        <v>Mu</v>
      </c>
      <c r="N7" s="468" t="e">
        <f>ROUND(IF(OR(Rev="G",Rev="H"),R27,K17),3)</f>
        <v>#N/A</v>
      </c>
      <c r="O7" s="911" t="e">
        <f>N7/N8</f>
        <v>#N/A</v>
      </c>
      <c r="P7" s="456" t="s">
        <v>834</v>
      </c>
      <c r="Q7" s="468" t="e">
        <f>IF(OR(Rev="G",Rev="H"),D13,D13/D33)</f>
        <v>#N/A</v>
      </c>
      <c r="R7" s="91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68"/>
      <c r="M8" s="574" t="str">
        <f>IF(OR(Rev="G",Rev="H"),Q28,I18)</f>
        <v>φMn</v>
      </c>
      <c r="N8" s="469" t="e">
        <f>ROUND(IF(OR(Rev="G",Rev="H"),R28,D16),3)</f>
        <v>#N/A</v>
      </c>
      <c r="O8" s="911"/>
      <c r="P8" s="401" t="s">
        <v>836</v>
      </c>
      <c r="Q8" s="453" t="e">
        <f>SUM(AE40,AE60:AE77,AE79:AE96)</f>
        <v>#N/A</v>
      </c>
      <c r="R8" s="91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66" t="e">
        <f>IF(OR(Rev="G",Rev="H"),L7+O7+R7^2,(L7+O7)/ASIF)/IF(OR(AND(Rev="H",F27=TRUE),AND(Rev&lt;&gt;"H",F30=TRUE)),1.05,1)</f>
        <v>#N/A</v>
      </c>
      <c r="K11" s="867"/>
      <c r="L11" s="265"/>
      <c r="N11" s="454" t="s">
        <v>85</v>
      </c>
      <c r="O11" s="901" t="str">
        <f>IFERROR("Reinf. " &amp; INDEX(BQ60:BQ96,MATCH(D28,AS60:AS96,0)) &amp; " " &amp; INDEX(AQ60:AQ96,MATCH(D28,AS60:AS96,0)),"Pole")</f>
        <v>Pole</v>
      </c>
      <c r="P11" s="901"/>
      <c r="Q11" s="901"/>
      <c r="R11" s="901"/>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69" t="s">
        <v>115</v>
      </c>
      <c r="J14" s="869"/>
      <c r="K14" s="869"/>
      <c r="M14" s="903" t="s">
        <v>780</v>
      </c>
      <c r="N14" s="903"/>
      <c r="O14" s="903"/>
      <c r="P14" s="903"/>
      <c r="Q14" s="903"/>
      <c r="R14" s="903"/>
      <c r="S14" s="903"/>
      <c r="T14" s="904"/>
      <c r="U14" s="90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909" t="s">
        <v>781</v>
      </c>
      <c r="U15" s="90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51" t="s">
        <v>164</v>
      </c>
      <c r="C16" s="852"/>
      <c r="D16" s="338" t="str">
        <f>IFERROR(D28*D25,"")</f>
        <v/>
      </c>
      <c r="E16" s="66"/>
      <c r="F16" s="30"/>
      <c r="G16" s="66"/>
      <c r="I16" s="856" t="s">
        <v>111</v>
      </c>
      <c r="J16" s="856"/>
      <c r="K16" s="362" t="e">
        <f>IF(SQRT(D6)*D29/D10&gt;365,"CHECK",SQRT(D6)*D29/D10)</f>
        <v>#N/A</v>
      </c>
      <c r="M16" s="856" t="s">
        <v>824</v>
      </c>
      <c r="N16" s="856"/>
      <c r="O16" s="387" t="e">
        <f>SQRT(D6/29000)*D29/D10</f>
        <v>#N/A</v>
      </c>
      <c r="P16" s="386"/>
      <c r="Q16" s="902" t="s">
        <v>116</v>
      </c>
      <c r="R16" s="902"/>
      <c r="S16" s="386"/>
      <c r="T16" s="909"/>
      <c r="U16" s="90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51" t="s">
        <v>131</v>
      </c>
      <c r="C17" s="852"/>
      <c r="D17" s="338">
        <f>MAX(AW40:AX57,ABS(MIN(AW40:AX57)))</f>
        <v>0</v>
      </c>
      <c r="E17" s="116" t="s">
        <v>805</v>
      </c>
      <c r="F17" s="117" t="e">
        <f>IF(D8=0,SUM(H60:H77,H79:H96)/SUM(F60:F77,F79:F96,D34),SUM(H40:H57,H60:H77,H79:H96)/SUM(F40:F57,F60:F77,F79:F96))</f>
        <v>#N/A</v>
      </c>
      <c r="G17" s="115" t="s">
        <v>339</v>
      </c>
      <c r="I17" s="856" t="s">
        <v>821</v>
      </c>
      <c r="J17" s="870"/>
      <c r="K17" s="363" t="e">
        <f>D12*12*D25/D31</f>
        <v>#N/A</v>
      </c>
      <c r="M17" s="861" t="s">
        <v>825</v>
      </c>
      <c r="N17" s="861"/>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51" t="s">
        <v>132</v>
      </c>
      <c r="C18" s="852"/>
      <c r="D18" s="338" t="str">
        <f>IF('Macro References'!$A$8=TRUE,MAX(AW60:AX77,AW79:AX96,ABS(MIN(AW60:AX77,AW79:AX96))),"n/a")</f>
        <v>n/a</v>
      </c>
      <c r="E18" s="116" t="s">
        <v>338</v>
      </c>
      <c r="F18" s="603" t="e">
        <f>G19+F17</f>
        <v>#N/A</v>
      </c>
      <c r="G18" s="115" t="s">
        <v>340</v>
      </c>
      <c r="I18" s="856" t="s">
        <v>822</v>
      </c>
      <c r="J18" s="870"/>
      <c r="K18" s="364" t="e">
        <f>IF(D8=0,IF(D9/D10&lt;=3300/D6,J24,J30),IF(AND(D8=18,K16&gt;=200),J26,IF(AND(D8=16,K16&gt;=215),J27,IF(AND(D8=12,K16&gt;=240),J28,IF(AND(D8=8,K16&gt;=260),J29,J23)))))</f>
        <v>#N/A</v>
      </c>
      <c r="M18" s="863" t="s">
        <v>827</v>
      </c>
      <c r="N18" s="863"/>
      <c r="O18" s="390" t="e">
        <f>MIN(O19,D6)</f>
        <v>#N/A</v>
      </c>
      <c r="P18" s="386"/>
      <c r="Q18" s="888">
        <v>18</v>
      </c>
      <c r="R18" s="391" t="e">
        <f>$D$6</f>
        <v>#N/A</v>
      </c>
      <c r="S18" s="386"/>
      <c r="T18" s="890">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51" t="s">
        <v>806</v>
      </c>
      <c r="C19" s="852"/>
      <c r="D19" s="338" t="e">
        <f>360/D8</f>
        <v>#N/A</v>
      </c>
      <c r="E19" s="66"/>
      <c r="F19" s="116" t="s">
        <v>341</v>
      </c>
      <c r="G19" s="339">
        <v>0</v>
      </c>
      <c r="I19" s="66"/>
      <c r="J19" s="66"/>
      <c r="K19" s="66"/>
      <c r="M19" s="862" t="s">
        <v>828</v>
      </c>
      <c r="N19" s="862"/>
      <c r="O19" s="393" t="e">
        <f>IF(Calculations!D8=18,IF(O16&lt;0.759,U18,U19),IF(D8=16,IF(O16&lt;0.836,U20,U21),IF(D8=12,IF(O16&lt;0.992,U22,U23),IF(D8=8,IF(O16&lt;1.1,U24,U25)))))</f>
        <v>#N/A</v>
      </c>
      <c r="P19" s="386"/>
      <c r="Q19" s="888"/>
      <c r="R19" s="391" t="e">
        <f>1.404*$D$6*(1-0.245*SQRT($D$6/29000)*$D$29/$D$10)</f>
        <v>#N/A</v>
      </c>
      <c r="S19" s="386"/>
      <c r="T19" s="890"/>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89">
        <v>2</v>
      </c>
      <c r="BH19" s="889"/>
      <c r="BI19" s="889">
        <v>3</v>
      </c>
      <c r="BJ19" s="889"/>
      <c r="BK19" s="34"/>
      <c r="BL19" s="34"/>
      <c r="BM19" s="62"/>
      <c r="BN19" s="62"/>
      <c r="BO19" s="62"/>
      <c r="BP19" s="62"/>
      <c r="BQ19" s="34"/>
      <c r="BR19" s="34"/>
    </row>
    <row r="20" spans="2:73" ht="18" x14ac:dyDescent="0.35">
      <c r="B20" s="851" t="s">
        <v>30</v>
      </c>
      <c r="C20" s="852"/>
      <c r="D20" s="338" t="e">
        <f>D9/2</f>
        <v>#N/A</v>
      </c>
      <c r="E20" s="66"/>
      <c r="F20" s="340"/>
      <c r="G20" s="66"/>
      <c r="I20" s="882" t="s">
        <v>108</v>
      </c>
      <c r="J20" s="845"/>
      <c r="K20" s="66"/>
      <c r="M20" s="861" t="s">
        <v>829</v>
      </c>
      <c r="N20" s="861"/>
      <c r="O20" s="388">
        <f>MIN(AN60:AP77,AN79:AP96,AH60:AL77,AH79:AL96)</f>
        <v>0</v>
      </c>
      <c r="P20" s="386"/>
      <c r="Q20" s="888">
        <v>16</v>
      </c>
      <c r="R20" s="391" t="e">
        <f>$D$6</f>
        <v>#N/A</v>
      </c>
      <c r="S20" s="386"/>
      <c r="T20" s="890">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51" t="s">
        <v>29</v>
      </c>
      <c r="C21" s="852"/>
      <c r="D21" s="338" t="e">
        <f>D20-D10/2</f>
        <v>#N/A</v>
      </c>
      <c r="E21" s="66"/>
      <c r="F21" s="30"/>
      <c r="G21" s="66"/>
      <c r="I21" s="209" t="s">
        <v>106</v>
      </c>
      <c r="J21" s="209" t="s">
        <v>821</v>
      </c>
      <c r="K21" s="66"/>
      <c r="M21" s="856" t="s">
        <v>131</v>
      </c>
      <c r="N21" s="857"/>
      <c r="O21" s="394">
        <f>MAX(AW40:AX57,ABS(MIN(AW40:AX57)))</f>
        <v>0</v>
      </c>
      <c r="P21" s="386"/>
      <c r="Q21" s="888"/>
      <c r="R21" s="391" t="e">
        <f>1.42*$D$6*(1-0.233*SQRT($D$6/29000)*$D$29/$D$10)</f>
        <v>#N/A</v>
      </c>
      <c r="S21" s="386"/>
      <c r="T21" s="890"/>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51" t="s">
        <v>28</v>
      </c>
      <c r="C22" s="852"/>
      <c r="D22" s="338" t="e">
        <f>D20-D10</f>
        <v>#N/A</v>
      </c>
      <c r="E22" s="341" t="s">
        <v>342</v>
      </c>
      <c r="F22" s="342">
        <f>SUM(BB40:BE57,BB60:BE77,BB79:BE96)</f>
        <v>0</v>
      </c>
      <c r="G22" s="66"/>
      <c r="I22" s="819" t="s">
        <v>109</v>
      </c>
      <c r="J22" s="821"/>
      <c r="K22" s="66"/>
      <c r="M22" s="856" t="s">
        <v>132</v>
      </c>
      <c r="N22" s="857"/>
      <c r="O22" s="395" t="str">
        <f>IF('Macro References'!$A$8=TRUE,MAX(AW60:AX77,AW79:AX96,ABS(MIN(AW60:AX77,AW79:AX96))),"n/a")</f>
        <v>n/a</v>
      </c>
      <c r="P22" s="386"/>
      <c r="Q22" s="888">
        <v>12</v>
      </c>
      <c r="R22" s="391" t="e">
        <f>$D$6</f>
        <v>#N/A</v>
      </c>
      <c r="S22" s="386"/>
      <c r="T22" s="890">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51" t="s">
        <v>27</v>
      </c>
      <c r="C23" s="852"/>
      <c r="D23" s="338" t="e">
        <f>2*D21*TAN(RADIANS(D19/2))</f>
        <v>#N/A</v>
      </c>
      <c r="E23" s="66"/>
      <c r="F23" s="30"/>
      <c r="G23" s="66"/>
      <c r="I23" s="365" t="s">
        <v>823</v>
      </c>
      <c r="J23" s="209" t="e">
        <f>0.6*D6</f>
        <v>#N/A</v>
      </c>
      <c r="K23" s="66"/>
      <c r="M23" s="856" t="s">
        <v>133</v>
      </c>
      <c r="N23" s="857"/>
      <c r="O23" s="395">
        <f>IF('Macro References'!$A$8=TRUE,O18*D27/O20,0)</f>
        <v>0</v>
      </c>
      <c r="P23" s="386"/>
      <c r="Q23" s="888"/>
      <c r="R23" s="391" t="e">
        <f>1.45*$D$6*(1-0.22*SQRT($D$6/29000)*$D$29/$D$10)</f>
        <v>#N/A</v>
      </c>
      <c r="S23" s="386"/>
      <c r="T23" s="890"/>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51" t="s">
        <v>26</v>
      </c>
      <c r="C24" s="852"/>
      <c r="D24" s="338" t="e">
        <f>2*D22*TAN(RADIANS(D19/2))</f>
        <v>#N/A</v>
      </c>
      <c r="E24" s="66"/>
      <c r="F24" s="66"/>
      <c r="G24" s="66"/>
      <c r="I24" s="366">
        <v>0</v>
      </c>
      <c r="J24" s="209" t="e">
        <f>0.66*D6</f>
        <v>#N/A</v>
      </c>
      <c r="K24" s="66"/>
      <c r="M24" s="386"/>
      <c r="N24" s="386"/>
      <c r="O24" s="386"/>
      <c r="P24" s="386"/>
      <c r="Q24" s="888">
        <v>8</v>
      </c>
      <c r="R24" s="391" t="e">
        <f>$D$6</f>
        <v>#N/A</v>
      </c>
      <c r="S24" s="386"/>
      <c r="T24" s="890">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51" t="s">
        <v>120</v>
      </c>
      <c r="C25" s="852"/>
      <c r="D25" s="338" t="e">
        <f>MAX(D26:D27)</f>
        <v>#N/A</v>
      </c>
      <c r="E25" s="66"/>
      <c r="F25" s="30"/>
      <c r="G25" s="66"/>
      <c r="I25" s="819" t="s">
        <v>110</v>
      </c>
      <c r="J25" s="821"/>
      <c r="K25" s="66"/>
      <c r="M25" s="885" t="s">
        <v>155</v>
      </c>
      <c r="N25" s="885"/>
      <c r="O25" s="885"/>
      <c r="P25" s="396"/>
      <c r="Q25" s="888"/>
      <c r="R25" s="391" t="e">
        <f>1.42*$D$6*(1-0.194*SQRT($D$6/29000)*$D$29/$D$10)</f>
        <v>#N/A</v>
      </c>
      <c r="S25" s="386"/>
      <c r="T25" s="890"/>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51" t="s">
        <v>117</v>
      </c>
      <c r="C26" s="852"/>
      <c r="D26" s="338" t="e">
        <f>IF(D8=0,D9/2+ABS(D35),MAX(ABS(MAX(O40:R57)),ABS(MIN(O40:R57))))</f>
        <v>#N/A</v>
      </c>
      <c r="E26" s="66"/>
      <c r="F26" s="66" t="s">
        <v>839</v>
      </c>
      <c r="G26" s="66"/>
      <c r="I26" s="367">
        <v>18</v>
      </c>
      <c r="J26" s="368" t="e">
        <f>R19*0.6</f>
        <v>#N/A</v>
      </c>
      <c r="K26" s="66"/>
      <c r="M26" s="856" t="s">
        <v>156</v>
      </c>
      <c r="N26" s="857"/>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51" t="s">
        <v>118</v>
      </c>
      <c r="C27" s="852"/>
      <c r="D27" s="338">
        <f>MAX(ABS(MAX(S60:V77,S79:V96)),ABS(MIN(S60:V77,S79:V96)))</f>
        <v>0</v>
      </c>
      <c r="E27" s="66"/>
      <c r="F27" s="129" t="b">
        <v>1</v>
      </c>
      <c r="G27" s="66"/>
      <c r="I27" s="367">
        <v>16</v>
      </c>
      <c r="J27" s="209" t="e">
        <f>(0.852*D6*(1-0.00137*K16))</f>
        <v>#N/A</v>
      </c>
      <c r="K27" s="66"/>
      <c r="M27" s="856" t="s">
        <v>159</v>
      </c>
      <c r="N27" s="857"/>
      <c r="O27" s="397" t="e">
        <f>29000/D6</f>
        <v>#N/A</v>
      </c>
      <c r="P27" s="386"/>
      <c r="Q27" s="399" t="s">
        <v>830</v>
      </c>
      <c r="R27" s="400" t="e">
        <f>D12</f>
        <v>#N/A</v>
      </c>
      <c r="S27" s="386"/>
      <c r="T27" s="846" t="s">
        <v>1018</v>
      </c>
      <c r="U27" s="891"/>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51" t="s">
        <v>25</v>
      </c>
      <c r="C28" s="852"/>
      <c r="D28" s="338" t="e">
        <f>MIN(AS40,AS60:AS77,AS79:AS96)</f>
        <v>#N/A</v>
      </c>
      <c r="E28" s="30"/>
      <c r="F28" s="30"/>
      <c r="G28" s="30"/>
      <c r="I28" s="367">
        <v>12</v>
      </c>
      <c r="J28" s="209" t="e">
        <f>(0.87*D6*(1-0.00129*K16))</f>
        <v>#N/A</v>
      </c>
      <c r="K28" s="66"/>
      <c r="M28" s="856" t="s">
        <v>157</v>
      </c>
      <c r="N28" s="857"/>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83" t="s">
        <v>24</v>
      </c>
      <c r="C29" s="884"/>
      <c r="D29" s="467" t="e">
        <f>D24-2*(VLOOKUP($D$4,'Geometry 2'!E4:AM14,35,TRUE)/TAN(RADIANS(90-180/D8)))</f>
        <v>#N/A</v>
      </c>
      <c r="E29" s="30"/>
      <c r="F29" s="66" t="s">
        <v>861</v>
      </c>
      <c r="G29" s="30"/>
      <c r="I29" s="367">
        <v>8</v>
      </c>
      <c r="J29" s="209" t="e">
        <f>(0.852*D6*(1-0.00114*K16))</f>
        <v>#N/A</v>
      </c>
      <c r="K29" s="66"/>
      <c r="M29" s="856" t="s">
        <v>158</v>
      </c>
      <c r="N29" s="857"/>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51" t="s">
        <v>39</v>
      </c>
      <c r="C30" s="852"/>
      <c r="D30" s="338" t="e">
        <f>D25</f>
        <v>#N/A</v>
      </c>
      <c r="E30" s="30"/>
      <c r="F30" s="524" t="b">
        <v>0</v>
      </c>
      <c r="G30" s="30"/>
      <c r="I30" s="369">
        <v>0</v>
      </c>
      <c r="J30" s="369" t="e">
        <f>(0.4*D6+662/(D9/D10))</f>
        <v>#N/A</v>
      </c>
      <c r="K30" s="30"/>
      <c r="M30" s="856" t="s">
        <v>625</v>
      </c>
      <c r="N30" s="857"/>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51" t="s">
        <v>807</v>
      </c>
      <c r="C31" s="852"/>
      <c r="D31" s="343" t="e">
        <f>SUM(D32,M60:M77,M79:M96)</f>
        <v>#N/A</v>
      </c>
      <c r="E31" s="66"/>
      <c r="F31" s="66"/>
      <c r="G31" s="66"/>
      <c r="M31" s="854" t="s">
        <v>624</v>
      </c>
      <c r="N31" s="855"/>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51" t="s">
        <v>808</v>
      </c>
      <c r="C32" s="852"/>
      <c r="D32" s="338" t="e">
        <f>IF(D8=0,PI()/4*((D9/2)^4-(D9/2-D10)^4)+D34*D35^2,SUM(M40:M57))</f>
        <v>#N/A</v>
      </c>
      <c r="E32" s="66"/>
      <c r="F32" s="66"/>
      <c r="G32" s="66"/>
      <c r="M32" s="856" t="s">
        <v>161</v>
      </c>
      <c r="N32" s="857"/>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51" t="s">
        <v>809</v>
      </c>
      <c r="C33" s="852"/>
      <c r="D33" s="338" t="e">
        <f>SUM(D34,F60:F77,F79:F96)</f>
        <v>#N/A</v>
      </c>
      <c r="E33" s="66"/>
      <c r="F33" s="66"/>
      <c r="G33" s="66"/>
      <c r="H33" s="278"/>
      <c r="M33" s="856" t="s">
        <v>160</v>
      </c>
      <c r="N33" s="857"/>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51" t="s">
        <v>810</v>
      </c>
      <c r="C34" s="852"/>
      <c r="D34" s="338" t="e">
        <f>IF(D8=0,PI()/4*(D9^2-(D9-2*D10)^2),SUM(F40:F57))</f>
        <v>#N/A</v>
      </c>
      <c r="E34" s="66"/>
      <c r="F34" s="66"/>
      <c r="G34" s="66"/>
      <c r="M34" s="856" t="s">
        <v>626</v>
      </c>
      <c r="N34" s="857"/>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51" t="s">
        <v>811</v>
      </c>
      <c r="C35" s="852"/>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51" t="s">
        <v>202</v>
      </c>
      <c r="C36" s="852"/>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51" t="s">
        <v>812</v>
      </c>
      <c r="C37" s="852"/>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8" t="s">
        <v>87</v>
      </c>
      <c r="H38" s="859"/>
      <c r="I38" s="859"/>
      <c r="J38" s="859"/>
      <c r="K38" s="859"/>
      <c r="L38" s="859"/>
      <c r="M38" s="860"/>
      <c r="N38" s="858" t="s">
        <v>88</v>
      </c>
      <c r="O38" s="859"/>
      <c r="P38" s="859"/>
      <c r="Q38" s="859"/>
      <c r="R38" s="882"/>
      <c r="S38" s="886" t="s">
        <v>86</v>
      </c>
      <c r="T38" s="887"/>
      <c r="U38" s="887"/>
      <c r="V38" s="887"/>
      <c r="W38" s="907" t="s">
        <v>457</v>
      </c>
      <c r="X38" s="908"/>
      <c r="Y38" s="908"/>
      <c r="Z38" s="898" t="s">
        <v>576</v>
      </c>
      <c r="AA38" s="899"/>
      <c r="AB38" s="900"/>
      <c r="AC38" s="880" t="s">
        <v>609</v>
      </c>
      <c r="AD38" s="471" t="s">
        <v>458</v>
      </c>
      <c r="AE38" s="880" t="s">
        <v>200</v>
      </c>
      <c r="AF38" s="896" t="s">
        <v>62</v>
      </c>
      <c r="AG38" s="897"/>
      <c r="AH38" s="881" t="s">
        <v>89</v>
      </c>
      <c r="AI38" s="820"/>
      <c r="AJ38" s="820"/>
      <c r="AK38" s="820"/>
      <c r="AL38" s="820"/>
      <c r="AM38" s="820"/>
      <c r="AN38" s="820"/>
      <c r="AO38" s="820"/>
      <c r="AP38" s="821"/>
      <c r="AQ38" s="912" t="s">
        <v>456</v>
      </c>
      <c r="AR38" s="905" t="s">
        <v>832</v>
      </c>
      <c r="AS38" s="838" t="s">
        <v>119</v>
      </c>
      <c r="AT38" s="880" t="s">
        <v>198</v>
      </c>
      <c r="AU38" s="846" t="s">
        <v>90</v>
      </c>
      <c r="AV38" s="847"/>
      <c r="AW38" s="847"/>
      <c r="AX38" s="847"/>
      <c r="AY38" s="847"/>
      <c r="AZ38" s="847"/>
      <c r="BA38" s="848"/>
      <c r="BB38" s="843" t="s">
        <v>91</v>
      </c>
      <c r="BC38" s="844"/>
      <c r="BD38" s="844"/>
      <c r="BE38" s="844"/>
      <c r="BF38" s="844"/>
      <c r="BG38" s="844"/>
      <c r="BH38" s="844"/>
      <c r="BI38" s="844"/>
      <c r="BJ38" s="844"/>
      <c r="BK38" s="845"/>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95"/>
      <c r="AD39" s="477" t="s">
        <v>199</v>
      </c>
      <c r="AE39" s="895"/>
      <c r="AF39" s="478" t="s">
        <v>451</v>
      </c>
      <c r="AG39" s="479" t="s">
        <v>452</v>
      </c>
      <c r="AH39" s="348" t="s">
        <v>453</v>
      </c>
      <c r="AI39" s="349" t="s">
        <v>454</v>
      </c>
      <c r="AJ39" s="349" t="s">
        <v>455</v>
      </c>
      <c r="AK39" s="349" t="s">
        <v>575</v>
      </c>
      <c r="AL39" s="350" t="s">
        <v>609</v>
      </c>
      <c r="AM39" s="350" t="s">
        <v>376</v>
      </c>
      <c r="AN39" s="351" t="s">
        <v>82</v>
      </c>
      <c r="AO39" s="351" t="s">
        <v>83</v>
      </c>
      <c r="AP39" s="352" t="s">
        <v>84</v>
      </c>
      <c r="AQ39" s="913"/>
      <c r="AR39" s="906"/>
      <c r="AS39" s="839"/>
      <c r="AT39" s="839"/>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40" t="e">
        <f>D34*IF(Rev="G",φ_c*IF(D8=0,O33,O17),IF(Rev="H",φ_c*MIN(IF(D8=0,O33,O17),D6),K18))</f>
        <v>#N/A</v>
      </c>
      <c r="AE40" s="840" t="e">
        <f>IF(Rev="G",φ_v*0.5*IF(D8=0,O33,O17)*D34,IF(Rev="H",φ_v*IF(D8=0,0.5*U30*D34,0.6*D6*D34/2),0.4*D6))</f>
        <v>#N/A</v>
      </c>
      <c r="AF40" s="289"/>
      <c r="AG40" s="290"/>
      <c r="AH40" s="291"/>
      <c r="AI40" s="288"/>
      <c r="AJ40" s="288"/>
      <c r="AK40" s="288"/>
      <c r="AL40" s="288"/>
      <c r="AM40" s="287"/>
      <c r="AN40" s="287"/>
      <c r="AO40" s="287"/>
      <c r="AP40" s="287"/>
      <c r="AQ40" s="287"/>
      <c r="AR40" s="292"/>
      <c r="AS40" s="840" t="e">
        <f>IF(OR(Rev="G",Rev="H"),IF(D8=0,O32,φ_f*O17)/D26,K18/D26)</f>
        <v>#N/A</v>
      </c>
      <c r="AT40" s="877"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41"/>
      <c r="AE41" s="841"/>
      <c r="AF41" s="294"/>
      <c r="AG41" s="295"/>
      <c r="AH41" s="296"/>
      <c r="AI41" s="288"/>
      <c r="AJ41" s="288"/>
      <c r="AK41" s="288"/>
      <c r="AL41" s="288"/>
      <c r="AM41" s="288"/>
      <c r="AN41" s="288"/>
      <c r="AO41" s="288"/>
      <c r="AP41" s="288"/>
      <c r="AQ41" s="288"/>
      <c r="AR41" s="297"/>
      <c r="AS41" s="841"/>
      <c r="AT41" s="878"/>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41"/>
      <c r="AE42" s="841"/>
      <c r="AF42" s="294"/>
      <c r="AG42" s="295"/>
      <c r="AH42" s="296"/>
      <c r="AI42" s="288"/>
      <c r="AJ42" s="288"/>
      <c r="AK42" s="288"/>
      <c r="AL42" s="288"/>
      <c r="AM42" s="288"/>
      <c r="AN42" s="288"/>
      <c r="AO42" s="288"/>
      <c r="AP42" s="288"/>
      <c r="AQ42" s="288"/>
      <c r="AR42" s="297"/>
      <c r="AS42" s="841"/>
      <c r="AT42" s="878"/>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41"/>
      <c r="AE43" s="841"/>
      <c r="AF43" s="294"/>
      <c r="AG43" s="295"/>
      <c r="AH43" s="296"/>
      <c r="AI43" s="288"/>
      <c r="AJ43" s="288"/>
      <c r="AK43" s="288"/>
      <c r="AL43" s="288"/>
      <c r="AM43" s="288"/>
      <c r="AN43" s="288"/>
      <c r="AO43" s="288"/>
      <c r="AP43" s="288"/>
      <c r="AQ43" s="288"/>
      <c r="AR43" s="297"/>
      <c r="AS43" s="841"/>
      <c r="AT43" s="878"/>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41"/>
      <c r="AE44" s="841"/>
      <c r="AF44" s="300"/>
      <c r="AG44" s="301"/>
      <c r="AH44" s="302"/>
      <c r="AI44" s="288"/>
      <c r="AJ44" s="288"/>
      <c r="AK44" s="288"/>
      <c r="AL44" s="288"/>
      <c r="AM44" s="299"/>
      <c r="AN44" s="299"/>
      <c r="AO44" s="299"/>
      <c r="AP44" s="299"/>
      <c r="AQ44" s="299"/>
      <c r="AR44" s="303"/>
      <c r="AS44" s="841"/>
      <c r="AT44" s="878"/>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41"/>
      <c r="AE45" s="841"/>
      <c r="AF45" s="294"/>
      <c r="AG45" s="295"/>
      <c r="AH45" s="296"/>
      <c r="AI45" s="288"/>
      <c r="AJ45" s="288"/>
      <c r="AK45" s="288"/>
      <c r="AL45" s="288"/>
      <c r="AM45" s="288"/>
      <c r="AN45" s="288"/>
      <c r="AO45" s="288"/>
      <c r="AP45" s="288"/>
      <c r="AQ45" s="288"/>
      <c r="AR45" s="297"/>
      <c r="AS45" s="841"/>
      <c r="AT45" s="878"/>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41"/>
      <c r="AE46" s="841"/>
      <c r="AF46" s="294"/>
      <c r="AG46" s="295"/>
      <c r="AH46" s="296"/>
      <c r="AI46" s="288"/>
      <c r="AJ46" s="288"/>
      <c r="AK46" s="288"/>
      <c r="AL46" s="288"/>
      <c r="AM46" s="288"/>
      <c r="AN46" s="288"/>
      <c r="AO46" s="288"/>
      <c r="AP46" s="288"/>
      <c r="AQ46" s="288"/>
      <c r="AR46" s="297"/>
      <c r="AS46" s="841"/>
      <c r="AT46" s="878"/>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41"/>
      <c r="AE47" s="841"/>
      <c r="AF47" s="294"/>
      <c r="AG47" s="295"/>
      <c r="AH47" s="296"/>
      <c r="AI47" s="288"/>
      <c r="AJ47" s="288"/>
      <c r="AK47" s="288"/>
      <c r="AL47" s="288"/>
      <c r="AM47" s="288"/>
      <c r="AN47" s="288"/>
      <c r="AO47" s="288"/>
      <c r="AP47" s="288"/>
      <c r="AQ47" s="288"/>
      <c r="AR47" s="297"/>
      <c r="AS47" s="841"/>
      <c r="AT47" s="878"/>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41"/>
      <c r="AE48" s="841"/>
      <c r="AF48" s="294"/>
      <c r="AG48" s="295"/>
      <c r="AH48" s="296"/>
      <c r="AI48" s="288"/>
      <c r="AJ48" s="288"/>
      <c r="AK48" s="288"/>
      <c r="AL48" s="288"/>
      <c r="AM48" s="288"/>
      <c r="AN48" s="288"/>
      <c r="AO48" s="288"/>
      <c r="AP48" s="288"/>
      <c r="AQ48" s="288"/>
      <c r="AR48" s="297"/>
      <c r="AS48" s="841"/>
      <c r="AT48" s="878"/>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41"/>
      <c r="AE49" s="841"/>
      <c r="AF49" s="294"/>
      <c r="AG49" s="295"/>
      <c r="AH49" s="296"/>
      <c r="AI49" s="288"/>
      <c r="AJ49" s="288"/>
      <c r="AK49" s="288"/>
      <c r="AL49" s="288"/>
      <c r="AM49" s="288"/>
      <c r="AN49" s="288"/>
      <c r="AO49" s="288"/>
      <c r="AP49" s="288"/>
      <c r="AQ49" s="288"/>
      <c r="AR49" s="297"/>
      <c r="AS49" s="841"/>
      <c r="AT49" s="878"/>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41"/>
      <c r="AE50" s="841"/>
      <c r="AF50" s="294"/>
      <c r="AG50" s="295"/>
      <c r="AH50" s="296"/>
      <c r="AI50" s="288"/>
      <c r="AJ50" s="288"/>
      <c r="AK50" s="288"/>
      <c r="AL50" s="288"/>
      <c r="AM50" s="288"/>
      <c r="AN50" s="288"/>
      <c r="AO50" s="288"/>
      <c r="AP50" s="288"/>
      <c r="AQ50" s="288"/>
      <c r="AR50" s="297"/>
      <c r="AS50" s="841"/>
      <c r="AT50" s="878"/>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41"/>
      <c r="AE51" s="841"/>
      <c r="AF51" s="294"/>
      <c r="AG51" s="295"/>
      <c r="AH51" s="296"/>
      <c r="AI51" s="288"/>
      <c r="AJ51" s="288"/>
      <c r="AK51" s="288"/>
      <c r="AL51" s="288"/>
      <c r="AM51" s="288"/>
      <c r="AN51" s="288"/>
      <c r="AO51" s="288"/>
      <c r="AP51" s="288"/>
      <c r="AQ51" s="288"/>
      <c r="AR51" s="297"/>
      <c r="AS51" s="841"/>
      <c r="AT51" s="878"/>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41"/>
      <c r="AE52" s="841"/>
      <c r="AF52" s="294"/>
      <c r="AG52" s="295"/>
      <c r="AH52" s="296"/>
      <c r="AI52" s="288"/>
      <c r="AJ52" s="288"/>
      <c r="AK52" s="288"/>
      <c r="AL52" s="288"/>
      <c r="AM52" s="288"/>
      <c r="AN52" s="288"/>
      <c r="AO52" s="288"/>
      <c r="AP52" s="288"/>
      <c r="AQ52" s="288"/>
      <c r="AR52" s="297"/>
      <c r="AS52" s="841"/>
      <c r="AT52" s="878"/>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41"/>
      <c r="AE53" s="841"/>
      <c r="AF53" s="294"/>
      <c r="AG53" s="295"/>
      <c r="AH53" s="296"/>
      <c r="AI53" s="288"/>
      <c r="AJ53" s="288"/>
      <c r="AK53" s="288"/>
      <c r="AL53" s="288"/>
      <c r="AM53" s="288"/>
      <c r="AN53" s="288"/>
      <c r="AO53" s="288"/>
      <c r="AP53" s="288"/>
      <c r="AQ53" s="288"/>
      <c r="AR53" s="297"/>
      <c r="AS53" s="841"/>
      <c r="AT53" s="878"/>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41"/>
      <c r="AE54" s="841"/>
      <c r="AF54" s="294"/>
      <c r="AG54" s="295"/>
      <c r="AH54" s="296"/>
      <c r="AI54" s="288"/>
      <c r="AJ54" s="288"/>
      <c r="AK54" s="288"/>
      <c r="AL54" s="288"/>
      <c r="AM54" s="288"/>
      <c r="AN54" s="288"/>
      <c r="AO54" s="288"/>
      <c r="AP54" s="288"/>
      <c r="AQ54" s="288"/>
      <c r="AR54" s="297"/>
      <c r="AS54" s="841"/>
      <c r="AT54" s="878"/>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41"/>
      <c r="AE55" s="841"/>
      <c r="AF55" s="294"/>
      <c r="AG55" s="295"/>
      <c r="AH55" s="296"/>
      <c r="AI55" s="288"/>
      <c r="AJ55" s="288"/>
      <c r="AK55" s="288"/>
      <c r="AL55" s="288"/>
      <c r="AM55" s="288"/>
      <c r="AN55" s="288"/>
      <c r="AO55" s="288"/>
      <c r="AP55" s="288"/>
      <c r="AQ55" s="288"/>
      <c r="AR55" s="297"/>
      <c r="AS55" s="841"/>
      <c r="AT55" s="878"/>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41"/>
      <c r="AE56" s="841"/>
      <c r="AF56" s="294"/>
      <c r="AG56" s="295"/>
      <c r="AH56" s="296"/>
      <c r="AI56" s="288"/>
      <c r="AJ56" s="288"/>
      <c r="AK56" s="288"/>
      <c r="AL56" s="288"/>
      <c r="AM56" s="288"/>
      <c r="AN56" s="288"/>
      <c r="AO56" s="288"/>
      <c r="AP56" s="288"/>
      <c r="AQ56" s="288"/>
      <c r="AR56" s="297"/>
      <c r="AS56" s="841"/>
      <c r="AT56" s="878"/>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26" t="s">
        <v>139</v>
      </c>
      <c r="BU56" s="826"/>
      <c r="BV56" s="826"/>
      <c r="BW56" s="826" t="s">
        <v>140</v>
      </c>
      <c r="BX56" s="826"/>
      <c r="CG56" s="30"/>
      <c r="CH56" s="30"/>
      <c r="CJ56" s="892" t="s">
        <v>461</v>
      </c>
      <c r="CK56" s="893"/>
      <c r="CL56" s="894"/>
      <c r="CM56" s="829" t="s">
        <v>553</v>
      </c>
      <c r="CN56" s="830"/>
      <c r="CO56" s="830"/>
      <c r="CP56" s="830"/>
      <c r="CQ56" s="830"/>
      <c r="CR56" s="830"/>
      <c r="CS56" s="830"/>
      <c r="CT56" s="830"/>
      <c r="CU56" s="830"/>
      <c r="CV56" s="830"/>
      <c r="CW56" s="831"/>
      <c r="CX56" s="826" t="s">
        <v>555</v>
      </c>
      <c r="CY56" s="826"/>
      <c r="CZ56" s="826"/>
      <c r="DA56" s="826"/>
      <c r="DB56" s="826"/>
      <c r="DC56" s="826"/>
      <c r="DD56" s="826"/>
      <c r="DE56" s="826"/>
      <c r="DF56" s="826"/>
      <c r="DG56" s="826"/>
      <c r="DH56" s="826"/>
      <c r="DI56" s="819" t="s">
        <v>675</v>
      </c>
      <c r="DJ56" s="820"/>
      <c r="DK56" s="820"/>
      <c r="DL56" s="820"/>
      <c r="DM56" s="821"/>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42"/>
      <c r="AE57" s="842"/>
      <c r="AF57" s="308"/>
      <c r="AG57" s="309"/>
      <c r="AH57" s="310"/>
      <c r="AI57" s="307"/>
      <c r="AJ57" s="307"/>
      <c r="AK57" s="307"/>
      <c r="AL57" s="307"/>
      <c r="AM57" s="307"/>
      <c r="AN57" s="307"/>
      <c r="AO57" s="307"/>
      <c r="AP57" s="307"/>
      <c r="AQ57" s="307"/>
      <c r="AR57" s="311"/>
      <c r="AS57" s="842"/>
      <c r="AT57" s="879"/>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35" t="s">
        <v>323</v>
      </c>
      <c r="BR57" s="835" t="s">
        <v>322</v>
      </c>
      <c r="BS57" s="832"/>
      <c r="BT57" s="835" t="s">
        <v>138</v>
      </c>
      <c r="BU57" s="835" t="s">
        <v>137</v>
      </c>
      <c r="BV57" s="835" t="s">
        <v>154</v>
      </c>
      <c r="BW57" s="835" t="s">
        <v>138</v>
      </c>
      <c r="BX57" s="835" t="s">
        <v>137</v>
      </c>
      <c r="BY57" s="832" t="s">
        <v>54</v>
      </c>
      <c r="BZ57" s="832" t="s">
        <v>55</v>
      </c>
      <c r="CA57" s="832" t="s">
        <v>48</v>
      </c>
      <c r="CB57" s="835" t="s">
        <v>355</v>
      </c>
      <c r="CC57" s="835" t="s">
        <v>356</v>
      </c>
      <c r="CD57" s="832" t="s">
        <v>51</v>
      </c>
      <c r="CE57" s="827" t="s">
        <v>141</v>
      </c>
      <c r="CF57" s="832" t="s">
        <v>53</v>
      </c>
      <c r="CG57" s="832" t="s">
        <v>36</v>
      </c>
      <c r="CH57" s="832" t="s">
        <v>61</v>
      </c>
      <c r="CI57" s="835" t="s">
        <v>336</v>
      </c>
      <c r="CJ57" s="826" t="s">
        <v>460</v>
      </c>
      <c r="CK57" s="826" t="s">
        <v>459</v>
      </c>
      <c r="CL57" s="826" t="s">
        <v>50</v>
      </c>
      <c r="CM57" s="822" t="s">
        <v>541</v>
      </c>
      <c r="CN57" s="822" t="s">
        <v>565</v>
      </c>
      <c r="CO57" s="822" t="s">
        <v>540</v>
      </c>
      <c r="CP57" s="825" t="s">
        <v>554</v>
      </c>
      <c r="CQ57" s="836" t="s">
        <v>562</v>
      </c>
      <c r="CR57" s="836" t="s">
        <v>558</v>
      </c>
      <c r="CS57" s="825" t="s">
        <v>559</v>
      </c>
      <c r="CT57" s="825" t="s">
        <v>560</v>
      </c>
      <c r="CU57" s="825" t="s">
        <v>561</v>
      </c>
      <c r="CV57" s="825" t="s">
        <v>563</v>
      </c>
      <c r="CW57" s="825" t="s">
        <v>564</v>
      </c>
      <c r="CX57" s="822" t="s">
        <v>543</v>
      </c>
      <c r="CY57" s="822" t="s">
        <v>569</v>
      </c>
      <c r="CZ57" s="822" t="s">
        <v>542</v>
      </c>
      <c r="DA57" s="822" t="s">
        <v>554</v>
      </c>
      <c r="DB57" s="825" t="s">
        <v>562</v>
      </c>
      <c r="DC57" s="825" t="s">
        <v>558</v>
      </c>
      <c r="DD57" s="825" t="s">
        <v>559</v>
      </c>
      <c r="DE57" s="825" t="s">
        <v>560</v>
      </c>
      <c r="DF57" s="825" t="s">
        <v>561</v>
      </c>
      <c r="DG57" s="825" t="s">
        <v>563</v>
      </c>
      <c r="DH57" s="825" t="s">
        <v>564</v>
      </c>
      <c r="DI57" s="818" t="s">
        <v>671</v>
      </c>
      <c r="DJ57" s="827" t="s">
        <v>582</v>
      </c>
      <c r="DK57" s="818" t="s">
        <v>673</v>
      </c>
      <c r="DL57" s="818" t="s">
        <v>672</v>
      </c>
      <c r="DM57" s="818"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3"/>
      <c r="BR58" s="849"/>
      <c r="BS58" s="833"/>
      <c r="BT58" s="833"/>
      <c r="BU58" s="833"/>
      <c r="BV58" s="833"/>
      <c r="BW58" s="833"/>
      <c r="BX58" s="833"/>
      <c r="BY58" s="833"/>
      <c r="BZ58" s="833"/>
      <c r="CA58" s="833"/>
      <c r="CB58" s="833"/>
      <c r="CC58" s="833"/>
      <c r="CD58" s="833"/>
      <c r="CE58" s="828"/>
      <c r="CF58" s="833"/>
      <c r="CG58" s="833"/>
      <c r="CH58" s="833"/>
      <c r="CI58" s="833"/>
      <c r="CJ58" s="837"/>
      <c r="CK58" s="837"/>
      <c r="CL58" s="826"/>
      <c r="CM58" s="823"/>
      <c r="CN58" s="823"/>
      <c r="CO58" s="823"/>
      <c r="CP58" s="825"/>
      <c r="CQ58" s="836"/>
      <c r="CR58" s="836"/>
      <c r="CS58" s="825"/>
      <c r="CT58" s="825"/>
      <c r="CU58" s="825"/>
      <c r="CV58" s="825"/>
      <c r="CW58" s="825"/>
      <c r="CX58" s="823"/>
      <c r="CY58" s="823"/>
      <c r="CZ58" s="823"/>
      <c r="DA58" s="823"/>
      <c r="DB58" s="825"/>
      <c r="DC58" s="825"/>
      <c r="DD58" s="825"/>
      <c r="DE58" s="825"/>
      <c r="DF58" s="825"/>
      <c r="DG58" s="825"/>
      <c r="DH58" s="825"/>
      <c r="DI58" s="818"/>
      <c r="DJ58" s="828"/>
      <c r="DK58" s="818"/>
      <c r="DL58" s="818"/>
      <c r="DM58" s="818"/>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34"/>
      <c r="BR59" s="850"/>
      <c r="BS59" s="834"/>
      <c r="BT59" s="834"/>
      <c r="BU59" s="834"/>
      <c r="BV59" s="834"/>
      <c r="BW59" s="834"/>
      <c r="BX59" s="834"/>
      <c r="BY59" s="834"/>
      <c r="BZ59" s="834"/>
      <c r="CA59" s="834"/>
      <c r="CB59" s="834"/>
      <c r="CC59" s="834"/>
      <c r="CD59" s="834"/>
      <c r="CE59" s="828"/>
      <c r="CF59" s="834"/>
      <c r="CG59" s="834"/>
      <c r="CH59" s="834"/>
      <c r="CI59" s="834"/>
      <c r="CJ59" s="837"/>
      <c r="CK59" s="837"/>
      <c r="CL59" s="826"/>
      <c r="CM59" s="824"/>
      <c r="CN59" s="824"/>
      <c r="CO59" s="824"/>
      <c r="CP59" s="825"/>
      <c r="CQ59" s="836"/>
      <c r="CR59" s="836"/>
      <c r="CS59" s="825"/>
      <c r="CT59" s="825"/>
      <c r="CU59" s="825"/>
      <c r="CV59" s="825"/>
      <c r="CW59" s="825"/>
      <c r="CX59" s="824"/>
      <c r="CY59" s="824"/>
      <c r="CZ59" s="824"/>
      <c r="DA59" s="824"/>
      <c r="DB59" s="825"/>
      <c r="DC59" s="825"/>
      <c r="DD59" s="825"/>
      <c r="DE59" s="825"/>
      <c r="DF59" s="825"/>
      <c r="DG59" s="825"/>
      <c r="DH59" s="825"/>
      <c r="DI59" s="818"/>
      <c r="DJ59" s="828"/>
      <c r="DK59" s="818"/>
      <c r="DL59" s="818"/>
      <c r="DM59" s="818"/>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53" t="s">
        <v>229</v>
      </c>
      <c r="K107" s="853"/>
      <c r="L107" s="853"/>
      <c r="M107" s="853"/>
      <c r="N107" s="853"/>
      <c r="O107" s="853"/>
      <c r="P107" s="853"/>
      <c r="Q107" s="853"/>
      <c r="R107" s="853"/>
      <c r="S107" s="853"/>
      <c r="T107" s="853"/>
      <c r="U107" s="853"/>
      <c r="V107" s="853"/>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53"/>
      <c r="K108" s="853"/>
      <c r="L108" s="853"/>
      <c r="M108" s="853"/>
      <c r="N108" s="853"/>
      <c r="O108" s="853"/>
      <c r="P108" s="853"/>
      <c r="Q108" s="853"/>
      <c r="R108" s="853"/>
      <c r="S108" s="853"/>
      <c r="T108" s="853"/>
      <c r="U108" s="853"/>
      <c r="V108" s="853"/>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Zp3Pro+gTy+dXeZy5pGsbtOUx0nNX/6rWUW284y0tr23ReqSUl9Az+98nAO9CC6dOLe8fPFwVrEiPL4dz/IPvQ==" saltValue="jRnvdgDEHkPYMOiqD2LDTA=="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68"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7" priority="226" stopIfTrue="1">
      <formula>ISERROR(D40)</formula>
    </cfRule>
  </conditionalFormatting>
  <conditionalFormatting sqref="BV60:BV78">
    <cfRule type="containsErrors" dxfId="66" priority="222" stopIfTrue="1">
      <formula>ISERROR(BV60)</formula>
    </cfRule>
  </conditionalFormatting>
  <conditionalFormatting sqref="AU79:BA96 BF79:BF96 E79:E96 AO79:AP96 BK79:BK96 BI79:BI96 H79:L96 O79:V96">
    <cfRule type="containsErrors" dxfId="65" priority="221" stopIfTrue="1">
      <formula>ISERROR(E79)</formula>
    </cfRule>
  </conditionalFormatting>
  <conditionalFormatting sqref="F79:F96">
    <cfRule type="containsErrors" dxfId="64" priority="217" stopIfTrue="1">
      <formula>ISERROR(F79)</formula>
    </cfRule>
  </conditionalFormatting>
  <conditionalFormatting sqref="BS79:BS96">
    <cfRule type="containsErrors" dxfId="63" priority="212" stopIfTrue="1">
      <formula>ISERROR(BS79)</formula>
    </cfRule>
  </conditionalFormatting>
  <conditionalFormatting sqref="BT79:BU96">
    <cfRule type="containsErrors" dxfId="62" priority="211" stopIfTrue="1">
      <formula>ISERROR(BT79)</formula>
    </cfRule>
  </conditionalFormatting>
  <conditionalFormatting sqref="BW79:BW96">
    <cfRule type="containsErrors" dxfId="61" priority="210" stopIfTrue="1">
      <formula>ISERROR(BW79)</formula>
    </cfRule>
  </conditionalFormatting>
  <conditionalFormatting sqref="BX79:BX96">
    <cfRule type="containsErrors" dxfId="60" priority="209" stopIfTrue="1">
      <formula>ISERROR(BX79)</formula>
    </cfRule>
  </conditionalFormatting>
  <conditionalFormatting sqref="BY79:CD96">
    <cfRule type="containsErrors" dxfId="59" priority="208" stopIfTrue="1">
      <formula>ISERROR(BY79)</formula>
    </cfRule>
  </conditionalFormatting>
  <conditionalFormatting sqref="CG79:CG96">
    <cfRule type="containsErrors" dxfId="58" priority="207" stopIfTrue="1">
      <formula>ISERROR(CG79)</formula>
    </cfRule>
  </conditionalFormatting>
  <conditionalFormatting sqref="CH79:CH96">
    <cfRule type="containsErrors" dxfId="57" priority="206" stopIfTrue="1">
      <formula>ISERROR(CH79)</formula>
    </cfRule>
  </conditionalFormatting>
  <conditionalFormatting sqref="AN79:AN96">
    <cfRule type="containsErrors" dxfId="56" priority="205" stopIfTrue="1">
      <formula>ISERROR(AN79)</formula>
    </cfRule>
  </conditionalFormatting>
  <conditionalFormatting sqref="CI79:CI96">
    <cfRule type="containsErrors" dxfId="55" priority="204" stopIfTrue="1">
      <formula>ISERROR(CI79)</formula>
    </cfRule>
  </conditionalFormatting>
  <conditionalFormatting sqref="BB79:BB96 BE79:BE96">
    <cfRule type="containsErrors" dxfId="54" priority="189" stopIfTrue="1">
      <formula>ISERROR(BB79)</formula>
    </cfRule>
  </conditionalFormatting>
  <conditionalFormatting sqref="CE79:CF96">
    <cfRule type="containsErrors" dxfId="53" priority="188" stopIfTrue="1">
      <formula>ISERROR(CE79)</formula>
    </cfRule>
  </conditionalFormatting>
  <conditionalFormatting sqref="BJ79:BJ96">
    <cfRule type="containsErrors" dxfId="52" priority="185" stopIfTrue="1">
      <formula>ISERROR(BJ79)</formula>
    </cfRule>
  </conditionalFormatting>
  <conditionalFormatting sqref="M79:M96">
    <cfRule type="containsErrors" dxfId="51" priority="183" stopIfTrue="1">
      <formula>ISERROR(M79)</formula>
    </cfRule>
  </conditionalFormatting>
  <conditionalFormatting sqref="BC58">
    <cfRule type="containsErrors" dxfId="50" priority="160" stopIfTrue="1">
      <formula>ISERROR(BC58)</formula>
    </cfRule>
  </conditionalFormatting>
  <conditionalFormatting sqref="BD58">
    <cfRule type="containsErrors" dxfId="49" priority="159" stopIfTrue="1">
      <formula>ISERROR(BD58)</formula>
    </cfRule>
  </conditionalFormatting>
  <conditionalFormatting sqref="BC97:BC98">
    <cfRule type="containsErrors" dxfId="48" priority="126" stopIfTrue="1">
      <formula>ISERROR(BC97)</formula>
    </cfRule>
  </conditionalFormatting>
  <conditionalFormatting sqref="BD97:BD98">
    <cfRule type="containsErrors" dxfId="47" priority="125" stopIfTrue="1">
      <formula>ISERROR(BD97)</formula>
    </cfRule>
  </conditionalFormatting>
  <conditionalFormatting sqref="BD37">
    <cfRule type="containsErrors" dxfId="46" priority="65" stopIfTrue="1">
      <formula>ISERROR(BD37)</formula>
    </cfRule>
  </conditionalFormatting>
  <conditionalFormatting sqref="BC37">
    <cfRule type="containsErrors" dxfId="45" priority="61" stopIfTrue="1">
      <formula>ISERROR(BC37)</formula>
    </cfRule>
  </conditionalFormatting>
  <conditionalFormatting sqref="BC40:BC57">
    <cfRule type="containsErrors" dxfId="44" priority="60" stopIfTrue="1">
      <formula>ISERROR(BC40)</formula>
    </cfRule>
  </conditionalFormatting>
  <conditionalFormatting sqref="BD40:BD57">
    <cfRule type="containsErrors" dxfId="43" priority="59" stopIfTrue="1">
      <formula>ISERROR(BD40)</formula>
    </cfRule>
  </conditionalFormatting>
  <conditionalFormatting sqref="BD60:BD77">
    <cfRule type="containsErrors" dxfId="42" priority="57" stopIfTrue="1">
      <formula>ISERROR(BD60)</formula>
    </cfRule>
  </conditionalFormatting>
  <conditionalFormatting sqref="BC79:BC96">
    <cfRule type="containsErrors" dxfId="41" priority="56" stopIfTrue="1">
      <formula>ISERROR(BC79)</formula>
    </cfRule>
  </conditionalFormatting>
  <conditionalFormatting sqref="BD79:BD96">
    <cfRule type="containsErrors" dxfId="40" priority="55" stopIfTrue="1">
      <formula>ISERROR(BD79)</formula>
    </cfRule>
  </conditionalFormatting>
  <conditionalFormatting sqref="BC60:BC77">
    <cfRule type="containsErrors" dxfId="39" priority="53" stopIfTrue="1">
      <formula>ISERROR(BC60)</formula>
    </cfRule>
  </conditionalFormatting>
  <conditionalFormatting sqref="AI40:AL57">
    <cfRule type="containsErrors" dxfId="38" priority="49" stopIfTrue="1">
      <formula>ISERROR(AI40)</formula>
    </cfRule>
  </conditionalFormatting>
  <conditionalFormatting sqref="AH60:AK77 AM60:AM77">
    <cfRule type="containsErrors" dxfId="37" priority="48" stopIfTrue="1">
      <formula>ISERROR(AH60)</formula>
    </cfRule>
  </conditionalFormatting>
  <conditionalFormatting sqref="AM79:AM96">
    <cfRule type="containsErrors" dxfId="36" priority="47" stopIfTrue="1">
      <formula>ISERROR(AM79)</formula>
    </cfRule>
  </conditionalFormatting>
  <conditionalFormatting sqref="AH79:AH96">
    <cfRule type="containsErrors" dxfId="35" priority="42" stopIfTrue="1">
      <formula>ISERROR(AH79)</formula>
    </cfRule>
  </conditionalFormatting>
  <conditionalFormatting sqref="AI79:AI96">
    <cfRule type="containsErrors" dxfId="34" priority="41" stopIfTrue="1">
      <formula>ISERROR(AI79)</formula>
    </cfRule>
  </conditionalFormatting>
  <conditionalFormatting sqref="AJ79:AJ96">
    <cfRule type="containsErrors" dxfId="33" priority="36" stopIfTrue="1">
      <formula>ISERROR(AJ79)</formula>
    </cfRule>
  </conditionalFormatting>
  <conditionalFormatting sqref="Z79:AA96">
    <cfRule type="containsErrors" dxfId="32" priority="35" stopIfTrue="1">
      <formula>ISERROR(Z79)</formula>
    </cfRule>
  </conditionalFormatting>
  <conditionalFormatting sqref="AB40:AC56">
    <cfRule type="containsErrors" dxfId="31" priority="30" stopIfTrue="1">
      <formula>ISERROR(AB40)</formula>
    </cfRule>
  </conditionalFormatting>
  <conditionalFormatting sqref="AB57:AC57">
    <cfRule type="containsErrors" dxfId="30" priority="29" stopIfTrue="1">
      <formula>ISERROR(AB57)</formula>
    </cfRule>
  </conditionalFormatting>
  <conditionalFormatting sqref="AB60:AC96">
    <cfRule type="containsErrors" dxfId="29" priority="28" stopIfTrue="1">
      <formula>ISERROR(AB60)</formula>
    </cfRule>
  </conditionalFormatting>
  <conditionalFormatting sqref="AK79:AK96">
    <cfRule type="containsErrors" dxfId="28" priority="27" stopIfTrue="1">
      <formula>ISERROR(AK79)</formula>
    </cfRule>
  </conditionalFormatting>
  <conditionalFormatting sqref="AQ79:AQ96">
    <cfRule type="containsErrors" dxfId="27" priority="25" stopIfTrue="1">
      <formula>ISERROR(AQ79)</formula>
    </cfRule>
  </conditionalFormatting>
  <conditionalFormatting sqref="AL60:AL77">
    <cfRule type="containsErrors" dxfId="26" priority="20" stopIfTrue="1">
      <formula>ISERROR(AL60)</formula>
    </cfRule>
  </conditionalFormatting>
  <conditionalFormatting sqref="AL79:AL96">
    <cfRule type="containsErrors" dxfId="25" priority="19" stopIfTrue="1">
      <formula>ISERROR(AL79)</formula>
    </cfRule>
  </conditionalFormatting>
  <conditionalFormatting sqref="AS79:AS96">
    <cfRule type="containsErrors" dxfId="24" priority="18" stopIfTrue="1">
      <formula>ISERROR(AS79)</formula>
    </cfRule>
  </conditionalFormatting>
  <conditionalFormatting sqref="G79:G96">
    <cfRule type="containsErrors" dxfId="23" priority="12" stopIfTrue="1">
      <formula>ISERROR(G79)</formula>
    </cfRule>
  </conditionalFormatting>
  <conditionalFormatting sqref="N79:N96">
    <cfRule type="containsErrors" dxfId="22" priority="10" stopIfTrue="1">
      <formula>ISERROR(N79)</formula>
    </cfRule>
  </conditionalFormatting>
  <conditionalFormatting sqref="AF79:AF96">
    <cfRule type="containsErrors" dxfId="21" priority="8" stopIfTrue="1">
      <formula>ISERROR(AF79)</formula>
    </cfRule>
  </conditionalFormatting>
  <conditionalFormatting sqref="AG79:AG96">
    <cfRule type="containsErrors" dxfId="20" priority="7" stopIfTrue="1">
      <formula>ISERROR(AG79)</formula>
    </cfRule>
  </conditionalFormatting>
  <conditionalFormatting sqref="W79:W96">
    <cfRule type="containsErrors" dxfId="19" priority="6" stopIfTrue="1">
      <formula>ISERROR(W79)</formula>
    </cfRule>
  </conditionalFormatting>
  <conditionalFormatting sqref="X79:X96">
    <cfRule type="containsErrors" dxfId="18" priority="4" stopIfTrue="1">
      <formula>ISERROR(X79)</formula>
    </cfRule>
  </conditionalFormatting>
  <conditionalFormatting sqref="Y79:Y96">
    <cfRule type="containsErrors" dxfId="17" priority="3" stopIfTrue="1">
      <formula>ISERROR(Y79)</formula>
    </cfRule>
  </conditionalFormatting>
  <conditionalFormatting sqref="AT79:AT96">
    <cfRule type="containsErrors" dxfId="16" priority="2" stopIfTrue="1">
      <formula>ISERROR(AT79)</formula>
    </cfRule>
  </conditionalFormatting>
  <conditionalFormatting sqref="BV79:BV96">
    <cfRule type="containsErrors" dxfId="15"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1" t="s">
        <v>0</v>
      </c>
      <c r="D3" s="751"/>
      <c r="E3" s="751"/>
      <c r="F3" s="751"/>
      <c r="G3" s="751" t="s">
        <v>1</v>
      </c>
      <c r="H3" s="751"/>
      <c r="I3" s="751"/>
      <c r="J3" s="751"/>
      <c r="K3" s="751" t="s">
        <v>11</v>
      </c>
      <c r="L3" s="751"/>
      <c r="M3" s="751"/>
      <c r="N3" s="751"/>
      <c r="O3" s="751" t="s">
        <v>2</v>
      </c>
      <c r="P3" s="751"/>
      <c r="Q3" s="751"/>
      <c r="R3" s="751"/>
      <c r="S3" s="751" t="s">
        <v>3</v>
      </c>
      <c r="T3" s="751"/>
      <c r="U3" s="751"/>
      <c r="V3" s="751"/>
      <c r="W3" s="751" t="s">
        <v>4</v>
      </c>
      <c r="X3" s="751"/>
      <c r="Y3" s="751"/>
      <c r="Z3" s="751"/>
      <c r="AA3" s="751" t="s">
        <v>5</v>
      </c>
      <c r="AB3" s="751"/>
      <c r="AC3" s="751"/>
      <c r="AD3" s="751"/>
      <c r="AE3" s="751" t="s">
        <v>10</v>
      </c>
      <c r="AF3" s="751"/>
      <c r="AG3" s="751"/>
      <c r="AH3" s="751"/>
      <c r="AI3" s="16" t="s">
        <v>64</v>
      </c>
      <c r="AJ3" s="16" t="s">
        <v>67</v>
      </c>
      <c r="AK3" s="916" t="s">
        <v>207</v>
      </c>
      <c r="AL3" s="916"/>
      <c r="AM3" s="491" t="s">
        <v>692</v>
      </c>
      <c r="AN3" s="492" t="s">
        <v>786</v>
      </c>
      <c r="AO3" s="492" t="s">
        <v>785</v>
      </c>
      <c r="AP3" s="492" t="s">
        <v>782</v>
      </c>
      <c r="AQ3" s="492" t="s">
        <v>783</v>
      </c>
      <c r="AR3" s="493" t="s">
        <v>787</v>
      </c>
      <c r="AS3" s="492" t="s">
        <v>788</v>
      </c>
      <c r="AT3" s="492" t="s">
        <v>784</v>
      </c>
    </row>
    <row r="4" spans="1:46" ht="16.5" customHeight="1" x14ac:dyDescent="0.2">
      <c r="B4" s="3"/>
      <c r="C4" s="718" t="str">
        <f>IF(OR(C5=0,C5=""),"",IFERROR(VLOOKUP($B4,Input!$B$8:$AL$17,C$2,FALSE),0))</f>
        <v/>
      </c>
      <c r="D4" s="917"/>
      <c r="E4" s="918" t="str">
        <f>IF(G4="","",C4-G4)</f>
        <v/>
      </c>
      <c r="F4" s="919"/>
      <c r="G4" s="754"/>
      <c r="H4" s="755"/>
      <c r="I4" s="755"/>
      <c r="J4" s="756"/>
      <c r="K4" s="754"/>
      <c r="L4" s="755"/>
      <c r="M4" s="755"/>
      <c r="N4" s="756"/>
      <c r="O4" s="717" t="str">
        <f>IF(C4=0,O5,IFERROR(VLOOKUP($B4,Input!$B$8:$AL$17,O$2,FALSE),""))</f>
        <v/>
      </c>
      <c r="P4" s="717"/>
      <c r="Q4" s="717"/>
      <c r="R4" s="717"/>
      <c r="S4" s="754"/>
      <c r="T4" s="755"/>
      <c r="U4" s="755"/>
      <c r="V4" s="756"/>
      <c r="W4" s="754"/>
      <c r="X4" s="755"/>
      <c r="Y4" s="755"/>
      <c r="Z4" s="756"/>
      <c r="AA4" s="717" t="str">
        <f>IF(C4=0,AA5,IFERROR(VLOOKUP($B4,Input!$B$8:$AL$17,AA$2,FALSE),""))</f>
        <v/>
      </c>
      <c r="AB4" s="717"/>
      <c r="AC4" s="717"/>
      <c r="AD4" s="717"/>
      <c r="AE4" s="717" t="str">
        <f>IF(C4=0,AE5,IFERROR(VLOOKUP($B4,Input!$B$8:$AL$17,AE$2,FALSE),""))</f>
        <v/>
      </c>
      <c r="AF4" s="717"/>
      <c r="AG4" s="717"/>
      <c r="AH4" s="717"/>
      <c r="AI4" s="16"/>
      <c r="AJ4" t="str">
        <f>AA5</f>
        <v/>
      </c>
      <c r="AK4" t="s">
        <v>208</v>
      </c>
      <c r="AL4" t="s">
        <v>209</v>
      </c>
      <c r="AM4" s="494"/>
      <c r="AN4" s="494"/>
      <c r="AO4" s="494"/>
      <c r="AP4" s="494"/>
      <c r="AQ4" s="494"/>
      <c r="AR4" s="494"/>
      <c r="AS4" s="494"/>
      <c r="AT4" s="451"/>
    </row>
    <row r="5" spans="1:46" x14ac:dyDescent="0.2">
      <c r="B5" s="4">
        <v>10</v>
      </c>
      <c r="C5" s="718" t="str">
        <f>IF(OR(C6=0,C6=""),"",IFERROR(VLOOKUP($B5,Input!$B$8:$AL$17,C$2,FALSE),0))</f>
        <v/>
      </c>
      <c r="D5" s="917"/>
      <c r="E5" s="918" t="str">
        <f t="shared" ref="E5:E14" si="0">IF(G5="","",C5-G5)</f>
        <v/>
      </c>
      <c r="F5" s="919"/>
      <c r="G5" s="717" t="str">
        <f>IFERROR(VLOOKUP($B5,Input!$B$8:$AL$17,G$2,FALSE),"")</f>
        <v/>
      </c>
      <c r="H5" s="717"/>
      <c r="I5" s="717"/>
      <c r="J5" s="717"/>
      <c r="K5" s="717" t="str">
        <f>IFERROR(VLOOKUP($B5,Input!$B$8:$AL$17,K$2,FALSE),"")</f>
        <v/>
      </c>
      <c r="L5" s="717"/>
      <c r="M5" s="717"/>
      <c r="N5" s="717"/>
      <c r="O5" s="717" t="str">
        <f>IF(C5=0,O6,IFERROR(VLOOKUP($B5,Input!$B$8:$AL$17,O$2,FALSE),""))</f>
        <v/>
      </c>
      <c r="P5" s="717"/>
      <c r="Q5" s="717"/>
      <c r="R5" s="717"/>
      <c r="S5" s="717" t="str">
        <f>IFERROR(VLOOKUP($B5,Input!$B$8:$AL$17,S$2,FALSE),"")</f>
        <v/>
      </c>
      <c r="T5" s="717"/>
      <c r="U5" s="717"/>
      <c r="V5" s="717"/>
      <c r="W5" s="717" t="str">
        <f>IFERROR(VLOOKUP($B5,Input!$B$8:$AL$17,W$2,FALSE),"")</f>
        <v/>
      </c>
      <c r="X5" s="717"/>
      <c r="Y5" s="717"/>
      <c r="Z5" s="717"/>
      <c r="AA5" s="717" t="str">
        <f>IF(C5=0,AA6,IFERROR(VLOOKUP($B5,Input!$B$8:$AL$17,AA$2,FALSE),""))</f>
        <v/>
      </c>
      <c r="AB5" s="717"/>
      <c r="AC5" s="717"/>
      <c r="AD5" s="717"/>
      <c r="AE5" s="717" t="str">
        <f>IF(C5=0,AE6,IFERROR(VLOOKUP($B5,Input!$B$8:$AL$17,AE$2,FALSE),""))</f>
        <v/>
      </c>
      <c r="AF5" s="717"/>
      <c r="AG5" s="717"/>
      <c r="AH5" s="717"/>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18" t="str">
        <f>IF(OR(C7=0,C7=""),"",IFERROR(VLOOKUP($B6,Input!$B$8:$AL$17,C$2,FALSE),0))</f>
        <v/>
      </c>
      <c r="D6" s="917"/>
      <c r="E6" s="918" t="str">
        <f t="shared" si="0"/>
        <v/>
      </c>
      <c r="F6" s="919"/>
      <c r="G6" s="717" t="str">
        <f>IFERROR(VLOOKUP($B6,Input!$B$8:$AL$17,G$2,FALSE),"")</f>
        <v/>
      </c>
      <c r="H6" s="717"/>
      <c r="I6" s="717"/>
      <c r="J6" s="717"/>
      <c r="K6" s="717" t="str">
        <f>IFERROR(VLOOKUP($B6,Input!$B$8:$AL$17,K$2,FALSE),"")</f>
        <v/>
      </c>
      <c r="L6" s="717"/>
      <c r="M6" s="717"/>
      <c r="N6" s="717"/>
      <c r="O6" s="717" t="str">
        <f>IF(C6=0,O7,IFERROR(VLOOKUP($B6,Input!$B$8:$AL$17,O$2,FALSE),""))</f>
        <v/>
      </c>
      <c r="P6" s="717"/>
      <c r="Q6" s="717"/>
      <c r="R6" s="717"/>
      <c r="S6" s="717" t="str">
        <f>IFERROR(VLOOKUP($B6,Input!$B$8:$AL$17,S$2,FALSE),"")</f>
        <v/>
      </c>
      <c r="T6" s="717"/>
      <c r="U6" s="717"/>
      <c r="V6" s="717"/>
      <c r="W6" s="717" t="str">
        <f>IFERROR(VLOOKUP($B6,Input!$B$8:$AL$17,W$2,FALSE),"")</f>
        <v/>
      </c>
      <c r="X6" s="717"/>
      <c r="Y6" s="717"/>
      <c r="Z6" s="717"/>
      <c r="AA6" s="717" t="str">
        <f>IF(C6=0,AA7,IFERROR(VLOOKUP($B6,Input!$B$8:$AL$17,AA$2,FALSE),""))</f>
        <v/>
      </c>
      <c r="AB6" s="717"/>
      <c r="AC6" s="717"/>
      <c r="AD6" s="717"/>
      <c r="AE6" s="717" t="str">
        <f>IF(C6=0,AE7,IFERROR(VLOOKUP($B6,Input!$B$8:$AL$17,AE$2,FALSE),""))</f>
        <v/>
      </c>
      <c r="AF6" s="717"/>
      <c r="AG6" s="717"/>
      <c r="AH6" s="717"/>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18" t="str">
        <f>IF(OR(C8=0,C8=""),"",IFERROR(VLOOKUP($B7,Input!$B$8:$AL$17,C$2,FALSE),0))</f>
        <v/>
      </c>
      <c r="D7" s="917"/>
      <c r="E7" s="918" t="str">
        <f t="shared" si="0"/>
        <v/>
      </c>
      <c r="F7" s="919"/>
      <c r="G7" s="717" t="str">
        <f>IFERROR(VLOOKUP($B7,Input!$B$8:$AL$17,G$2,FALSE),"")</f>
        <v/>
      </c>
      <c r="H7" s="717"/>
      <c r="I7" s="717"/>
      <c r="J7" s="717"/>
      <c r="K7" s="717" t="str">
        <f>IFERROR(VLOOKUP($B7,Input!$B$8:$AL$17,K$2,FALSE),"")</f>
        <v/>
      </c>
      <c r="L7" s="717"/>
      <c r="M7" s="717"/>
      <c r="N7" s="717"/>
      <c r="O7" s="717" t="str">
        <f>IF(C7=0,O8,IFERROR(VLOOKUP($B7,Input!$B$8:$AL$17,O$2,FALSE),""))</f>
        <v/>
      </c>
      <c r="P7" s="717"/>
      <c r="Q7" s="717"/>
      <c r="R7" s="717"/>
      <c r="S7" s="717" t="str">
        <f>IFERROR(VLOOKUP($B7,Input!$B$8:$AL$17,S$2,FALSE),"")</f>
        <v/>
      </c>
      <c r="T7" s="717"/>
      <c r="U7" s="717"/>
      <c r="V7" s="717"/>
      <c r="W7" s="717" t="str">
        <f>IFERROR(VLOOKUP($B7,Input!$B$8:$AL$17,W$2,FALSE),"")</f>
        <v/>
      </c>
      <c r="X7" s="717"/>
      <c r="Y7" s="717"/>
      <c r="Z7" s="717"/>
      <c r="AA7" s="717" t="str">
        <f>IF(C7=0,AA8,IFERROR(VLOOKUP($B7,Input!$B$8:$AL$17,AA$2,FALSE),""))</f>
        <v/>
      </c>
      <c r="AB7" s="717"/>
      <c r="AC7" s="717"/>
      <c r="AD7" s="717"/>
      <c r="AE7" s="717" t="str">
        <f>IF(C7=0,AE8,IFERROR(VLOOKUP($B7,Input!$B$8:$AL$17,AE$2,FALSE),""))</f>
        <v/>
      </c>
      <c r="AF7" s="717"/>
      <c r="AG7" s="717"/>
      <c r="AH7" s="717"/>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18" t="str">
        <f>IF(OR(C9=0,C9=""),"",IFERROR(VLOOKUP($B8,Input!$B$8:$AL$17,C$2,FALSE),0))</f>
        <v/>
      </c>
      <c r="D8" s="917"/>
      <c r="E8" s="918" t="str">
        <f t="shared" si="0"/>
        <v/>
      </c>
      <c r="F8" s="919"/>
      <c r="G8" s="717" t="str">
        <f>IFERROR(VLOOKUP($B8,Input!$B$8:$AL$17,G$2,FALSE),"")</f>
        <v/>
      </c>
      <c r="H8" s="717"/>
      <c r="I8" s="717"/>
      <c r="J8" s="717"/>
      <c r="K8" s="717" t="str">
        <f>IFERROR(VLOOKUP($B8,Input!$B$8:$AL$17,K$2,FALSE),"")</f>
        <v/>
      </c>
      <c r="L8" s="717"/>
      <c r="M8" s="717"/>
      <c r="N8" s="717"/>
      <c r="O8" s="717" t="str">
        <f>IF(C8=0,O9,IFERROR(VLOOKUP($B8,Input!$B$8:$AL$17,O$2,FALSE),""))</f>
        <v/>
      </c>
      <c r="P8" s="717"/>
      <c r="Q8" s="717"/>
      <c r="R8" s="717"/>
      <c r="S8" s="717" t="str">
        <f>IFERROR(VLOOKUP($B8,Input!$B$8:$AL$17,S$2,FALSE),"")</f>
        <v/>
      </c>
      <c r="T8" s="717"/>
      <c r="U8" s="717"/>
      <c r="V8" s="717"/>
      <c r="W8" s="717" t="str">
        <f>IFERROR(VLOOKUP($B8,Input!$B$8:$AL$17,W$2,FALSE),"")</f>
        <v/>
      </c>
      <c r="X8" s="717"/>
      <c r="Y8" s="717"/>
      <c r="Z8" s="717"/>
      <c r="AA8" s="717" t="str">
        <f>IF(C8=0,AA9,IFERROR(VLOOKUP($B8,Input!$B$8:$AL$17,AA$2,FALSE),""))</f>
        <v/>
      </c>
      <c r="AB8" s="717"/>
      <c r="AC8" s="717"/>
      <c r="AD8" s="717"/>
      <c r="AE8" s="717" t="str">
        <f>IF(C8=0,AE9,IFERROR(VLOOKUP($B8,Input!$B$8:$AL$17,AE$2,FALSE),""))</f>
        <v/>
      </c>
      <c r="AF8" s="717"/>
      <c r="AG8" s="717"/>
      <c r="AH8" s="717"/>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18" t="str">
        <f>IF(OR(C10=0,C10=""),"",IFERROR(VLOOKUP($B9,Input!$B$8:$AL$17,C$2,FALSE),0))</f>
        <v/>
      </c>
      <c r="D9" s="917"/>
      <c r="E9" s="918" t="str">
        <f t="shared" si="0"/>
        <v/>
      </c>
      <c r="F9" s="919"/>
      <c r="G9" s="717" t="str">
        <f>IFERROR(VLOOKUP($B9,Input!$B$8:$AL$17,G$2,FALSE),"")</f>
        <v/>
      </c>
      <c r="H9" s="717"/>
      <c r="I9" s="717"/>
      <c r="J9" s="717"/>
      <c r="K9" s="717" t="str">
        <f>IFERROR(VLOOKUP($B9,Input!$B$8:$AL$17,K$2,FALSE),"")</f>
        <v/>
      </c>
      <c r="L9" s="717"/>
      <c r="M9" s="717"/>
      <c r="N9" s="717"/>
      <c r="O9" s="717" t="str">
        <f>IF(C9=0,O10,IFERROR(VLOOKUP($B9,Input!$B$8:$AL$17,O$2,FALSE),""))</f>
        <v/>
      </c>
      <c r="P9" s="717"/>
      <c r="Q9" s="717"/>
      <c r="R9" s="717"/>
      <c r="S9" s="717" t="str">
        <f>IFERROR(VLOOKUP($B9,Input!$B$8:$AL$17,S$2,FALSE),"")</f>
        <v/>
      </c>
      <c r="T9" s="717"/>
      <c r="U9" s="717"/>
      <c r="V9" s="717"/>
      <c r="W9" s="717" t="str">
        <f>IFERROR(VLOOKUP($B9,Input!$B$8:$AL$17,W$2,FALSE),"")</f>
        <v/>
      </c>
      <c r="X9" s="717"/>
      <c r="Y9" s="717"/>
      <c r="Z9" s="717"/>
      <c r="AA9" s="717" t="str">
        <f>IF(C9=0,AA10,IFERROR(VLOOKUP($B9,Input!$B$8:$AL$17,AA$2,FALSE),""))</f>
        <v/>
      </c>
      <c r="AB9" s="717"/>
      <c r="AC9" s="717"/>
      <c r="AD9" s="717"/>
      <c r="AE9" s="717" t="str">
        <f>IF(C9=0,AE10,IFERROR(VLOOKUP($B9,Input!$B$8:$AL$17,AE$2,FALSE),""))</f>
        <v/>
      </c>
      <c r="AF9" s="717"/>
      <c r="AG9" s="717"/>
      <c r="AH9" s="717"/>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18" t="str">
        <f>IF(OR(C11=0,C11=""),"",IFERROR(VLOOKUP($B10,Input!$B$8:$AL$17,C$2,FALSE),0))</f>
        <v/>
      </c>
      <c r="D10" s="917"/>
      <c r="E10" s="918" t="str">
        <f t="shared" si="0"/>
        <v/>
      </c>
      <c r="F10" s="919"/>
      <c r="G10" s="717" t="str">
        <f>IFERROR(VLOOKUP($B10,Input!$B$8:$AL$17,G$2,FALSE),"")</f>
        <v/>
      </c>
      <c r="H10" s="717"/>
      <c r="I10" s="717"/>
      <c r="J10" s="717"/>
      <c r="K10" s="717" t="str">
        <f>IFERROR(VLOOKUP($B10,Input!$B$8:$AL$17,K$2,FALSE),"")</f>
        <v/>
      </c>
      <c r="L10" s="717"/>
      <c r="M10" s="717"/>
      <c r="N10" s="717"/>
      <c r="O10" s="717" t="str">
        <f>IF(C10=0,O11,IFERROR(VLOOKUP($B10,Input!$B$8:$AL$17,O$2,FALSE),""))</f>
        <v/>
      </c>
      <c r="P10" s="717"/>
      <c r="Q10" s="717"/>
      <c r="R10" s="717"/>
      <c r="S10" s="717" t="str">
        <f>IFERROR(VLOOKUP($B10,Input!$B$8:$AL$17,S$2,FALSE),"")</f>
        <v/>
      </c>
      <c r="T10" s="717"/>
      <c r="U10" s="717"/>
      <c r="V10" s="717"/>
      <c r="W10" s="717" t="str">
        <f>IFERROR(VLOOKUP($B10,Input!$B$8:$AL$17,W$2,FALSE),"")</f>
        <v/>
      </c>
      <c r="X10" s="717"/>
      <c r="Y10" s="717"/>
      <c r="Z10" s="717"/>
      <c r="AA10" s="717" t="str">
        <f>IF(C10=0,AA11,IFERROR(VLOOKUP($B10,Input!$B$8:$AL$17,AA$2,FALSE),""))</f>
        <v/>
      </c>
      <c r="AB10" s="717"/>
      <c r="AC10" s="717"/>
      <c r="AD10" s="717"/>
      <c r="AE10" s="717" t="str">
        <f>IF(C10=0,AE11,IFERROR(VLOOKUP($B10,Input!$B$8:$AL$17,AE$2,FALSE),""))</f>
        <v/>
      </c>
      <c r="AF10" s="717"/>
      <c r="AG10" s="717"/>
      <c r="AH10" s="717"/>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18" t="str">
        <f>IF(OR(C12=0,C12=""),"",IFERROR(VLOOKUP($B11,Input!$B$8:$AL$17,C$2,FALSE),0))</f>
        <v/>
      </c>
      <c r="D11" s="917"/>
      <c r="E11" s="918" t="str">
        <f t="shared" si="0"/>
        <v/>
      </c>
      <c r="F11" s="919"/>
      <c r="G11" s="717" t="str">
        <f>IFERROR(VLOOKUP($B11,Input!$B$8:$AL$17,G$2,FALSE),"")</f>
        <v/>
      </c>
      <c r="H11" s="717"/>
      <c r="I11" s="717"/>
      <c r="J11" s="717"/>
      <c r="K11" s="717" t="str">
        <f>IFERROR(VLOOKUP($B11,Input!$B$8:$AL$17,K$2,FALSE),"")</f>
        <v/>
      </c>
      <c r="L11" s="717"/>
      <c r="M11" s="717"/>
      <c r="N11" s="717"/>
      <c r="O11" s="717" t="str">
        <f>IF(C11=0,O12,IFERROR(VLOOKUP($B11,Input!$B$8:$AL$17,O$2,FALSE),""))</f>
        <v/>
      </c>
      <c r="P11" s="717"/>
      <c r="Q11" s="717"/>
      <c r="R11" s="717"/>
      <c r="S11" s="717" t="str">
        <f>IFERROR(VLOOKUP($B11,Input!$B$8:$AL$17,S$2,FALSE),"")</f>
        <v/>
      </c>
      <c r="T11" s="717"/>
      <c r="U11" s="717"/>
      <c r="V11" s="717"/>
      <c r="W11" s="717" t="str">
        <f>IFERROR(VLOOKUP($B11,Input!$B$8:$AL$17,W$2,FALSE),"")</f>
        <v/>
      </c>
      <c r="X11" s="717"/>
      <c r="Y11" s="717"/>
      <c r="Z11" s="717"/>
      <c r="AA11" s="717" t="str">
        <f>IF(C11=0,AA12,IFERROR(VLOOKUP($B11,Input!$B$8:$AL$17,AA$2,FALSE),""))</f>
        <v/>
      </c>
      <c r="AB11" s="717"/>
      <c r="AC11" s="717"/>
      <c r="AD11" s="717"/>
      <c r="AE11" s="717" t="str">
        <f>IF(C11=0,AE12,IFERROR(VLOOKUP($B11,Input!$B$8:$AL$17,AE$2,FALSE),""))</f>
        <v/>
      </c>
      <c r="AF11" s="717"/>
      <c r="AG11" s="717"/>
      <c r="AH11" s="717"/>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18" t="str">
        <f>IF(OR(C13=0,C13=""),"",IFERROR(VLOOKUP($B12,Input!$B$8:$AL$17,C$2,FALSE),0))</f>
        <v/>
      </c>
      <c r="D12" s="917"/>
      <c r="E12" s="918" t="str">
        <f t="shared" si="0"/>
        <v/>
      </c>
      <c r="F12" s="919"/>
      <c r="G12" s="717" t="str">
        <f>IFERROR(VLOOKUP($B12,Input!$B$8:$AL$17,G$2,FALSE),"")</f>
        <v/>
      </c>
      <c r="H12" s="717"/>
      <c r="I12" s="717"/>
      <c r="J12" s="717"/>
      <c r="K12" s="717" t="str">
        <f>IFERROR(VLOOKUP($B12,Input!$B$8:$AL$17,K$2,FALSE),"")</f>
        <v/>
      </c>
      <c r="L12" s="717"/>
      <c r="M12" s="717"/>
      <c r="N12" s="717"/>
      <c r="O12" s="717" t="str">
        <f>IF(C12=0,O13,IFERROR(VLOOKUP($B12,Input!$B$8:$AL$17,O$2,FALSE),""))</f>
        <v/>
      </c>
      <c r="P12" s="717"/>
      <c r="Q12" s="717"/>
      <c r="R12" s="717"/>
      <c r="S12" s="717" t="str">
        <f>IFERROR(VLOOKUP($B12,Input!$B$8:$AL$17,S$2,FALSE),"")</f>
        <v/>
      </c>
      <c r="T12" s="717"/>
      <c r="U12" s="717"/>
      <c r="V12" s="717"/>
      <c r="W12" s="717" t="str">
        <f>IFERROR(VLOOKUP($B12,Input!$B$8:$AL$17,W$2,FALSE),"")</f>
        <v/>
      </c>
      <c r="X12" s="717"/>
      <c r="Y12" s="717"/>
      <c r="Z12" s="717"/>
      <c r="AA12" s="717" t="str">
        <f>IF(C12=0,AA13,IFERROR(VLOOKUP($B12,Input!$B$8:$AL$17,AA$2,FALSE),""))</f>
        <v/>
      </c>
      <c r="AB12" s="717"/>
      <c r="AC12" s="717"/>
      <c r="AD12" s="717"/>
      <c r="AE12" s="717" t="str">
        <f>IF(C12=0,AE13,IFERROR(VLOOKUP($B12,Input!$B$8:$AL$17,AE$2,FALSE),""))</f>
        <v/>
      </c>
      <c r="AF12" s="717"/>
      <c r="AG12" s="717"/>
      <c r="AH12" s="717"/>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18" t="str">
        <f>IF(OR(C14=0,C14=""),"",IFERROR(VLOOKUP($B13,Input!$B$8:$AL$17,C$2,FALSE),0))</f>
        <v/>
      </c>
      <c r="D13" s="917"/>
      <c r="E13" s="918" t="str">
        <f t="shared" si="0"/>
        <v/>
      </c>
      <c r="F13" s="919"/>
      <c r="G13" s="717" t="str">
        <f>IFERROR(VLOOKUP($B13,Input!$B$8:$AL$17,G$2,FALSE),"")</f>
        <v/>
      </c>
      <c r="H13" s="717"/>
      <c r="I13" s="717"/>
      <c r="J13" s="717"/>
      <c r="K13" s="717" t="str">
        <f>IFERROR(VLOOKUP($B13,Input!$B$8:$AL$17,K$2,FALSE),"")</f>
        <v/>
      </c>
      <c r="L13" s="717"/>
      <c r="M13" s="717"/>
      <c r="N13" s="717"/>
      <c r="O13" s="717" t="str">
        <f>IF(C13=0,O14,IFERROR(VLOOKUP($B13,Input!$B$8:$AL$17,O$2,FALSE),""))</f>
        <v/>
      </c>
      <c r="P13" s="717"/>
      <c r="Q13" s="717"/>
      <c r="R13" s="717"/>
      <c r="S13" s="717" t="str">
        <f>IFERROR(VLOOKUP($B13,Input!$B$8:$AL$17,S$2,FALSE),"")</f>
        <v/>
      </c>
      <c r="T13" s="717"/>
      <c r="U13" s="717"/>
      <c r="V13" s="717"/>
      <c r="W13" s="717" t="str">
        <f>IFERROR(VLOOKUP($B13,Input!$B$8:$AL$17,W$2,FALSE),"")</f>
        <v/>
      </c>
      <c r="X13" s="717"/>
      <c r="Y13" s="717"/>
      <c r="Z13" s="717"/>
      <c r="AA13" s="717" t="str">
        <f>IF(C13=0,AA14,IFERROR(VLOOKUP($B13,Input!$B$8:$AL$17,AA$2,FALSE),""))</f>
        <v/>
      </c>
      <c r="AB13" s="717"/>
      <c r="AC13" s="717"/>
      <c r="AD13" s="717"/>
      <c r="AE13" s="717" t="str">
        <f>IF(C13=0,AE14,IFERROR(VLOOKUP($B13,Input!$B$8:$AL$17,AE$2,FALSE),""))</f>
        <v/>
      </c>
      <c r="AF13" s="717"/>
      <c r="AG13" s="717"/>
      <c r="AH13" s="717"/>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18" t="str">
        <f>IFERROR(VLOOKUP($B14,Input!$B$8:$AL$17,C$2,FALSE),"")</f>
        <v/>
      </c>
      <c r="D14" s="917"/>
      <c r="E14" s="918" t="str">
        <f t="shared" si="0"/>
        <v/>
      </c>
      <c r="F14" s="919"/>
      <c r="G14" s="717" t="str">
        <f>IFERROR(VLOOKUP($B14,Input!$B$8:$AL$17,G$2,FALSE),"")</f>
        <v/>
      </c>
      <c r="H14" s="717"/>
      <c r="I14" s="717"/>
      <c r="J14" s="717"/>
      <c r="K14" s="717" t="str">
        <f>IFERROR(VLOOKUP($B14,Input!$B$8:$AL$17,K$2,FALSE),"")</f>
        <v/>
      </c>
      <c r="L14" s="717"/>
      <c r="M14" s="717"/>
      <c r="N14" s="717"/>
      <c r="O14" s="717" t="str">
        <f>IFERROR(VLOOKUP($B14,Input!$B$8:$AL$17,O$2,FALSE),"")</f>
        <v/>
      </c>
      <c r="P14" s="717"/>
      <c r="Q14" s="717"/>
      <c r="R14" s="717"/>
      <c r="S14" s="717" t="str">
        <f>IFERROR(VLOOKUP($B14,Input!$B$8:$AL$17,S$2,FALSE),"")</f>
        <v/>
      </c>
      <c r="T14" s="717"/>
      <c r="U14" s="717"/>
      <c r="V14" s="717"/>
      <c r="W14" s="717" t="str">
        <f>IFERROR(VLOOKUP($B14,Input!$B$8:$AL$17,W$2,FALSE),"")</f>
        <v/>
      </c>
      <c r="X14" s="717"/>
      <c r="Y14" s="717"/>
      <c r="Z14" s="717"/>
      <c r="AA14" s="717" t="str">
        <f>IFERROR(VLOOKUP($B14,Input!$B$8:$AL$17,AA$2,FALSE),"")</f>
        <v/>
      </c>
      <c r="AB14" s="717"/>
      <c r="AC14" s="717"/>
      <c r="AD14" s="717"/>
      <c r="AE14" s="717" t="str">
        <f>IFERROR(VLOOKUP($B14,Input!$B$8:$AL$17,AE$2,FALSE),"")</f>
        <v/>
      </c>
      <c r="AF14" s="717"/>
      <c r="AG14" s="717"/>
      <c r="AH14" s="717"/>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fWypy3TY6Oa8VY9tK8sW5C+iJDs/uAaTt3MfvR3tEkm+dNa5XtH2QZcMtphEgFr/7bHX+As15bmdI6IgCEpzsQ==" saltValue="Emo6yf96+8vC64XvSiWD0A=="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Y37"/>
  <sheetViews>
    <sheetView showGridLines="0" workbookViewId="0">
      <selection activeCell="O37" sqref="O37"/>
    </sheetView>
  </sheetViews>
  <sheetFormatPr defaultRowHeight="12.75" x14ac:dyDescent="0.2"/>
  <cols>
    <col min="1" max="1" width="29.85546875" style="65" bestFit="1" customWidth="1"/>
    <col min="2" max="2" width="21.85546875" style="65" customWidth="1"/>
    <col min="3" max="22" width="10.5703125" style="65" customWidth="1"/>
    <col min="23" max="23" width="24.5703125" style="65" bestFit="1" customWidth="1"/>
    <col min="24" max="24" width="44.28515625" style="65" bestFit="1" customWidth="1"/>
    <col min="25" max="25" width="48.28515625" style="65" customWidth="1"/>
    <col min="26" max="26" width="48.140625" style="65" customWidth="1"/>
    <col min="27" max="16384" width="9.140625" style="65"/>
  </cols>
  <sheetData>
    <row r="1" spans="1:25" x14ac:dyDescent="0.2">
      <c r="B1" s="536" t="s">
        <v>939</v>
      </c>
      <c r="C1" s="537" t="s">
        <v>877</v>
      </c>
      <c r="D1" s="537"/>
      <c r="E1" s="537"/>
      <c r="F1" s="537"/>
      <c r="G1" s="537"/>
      <c r="H1" s="537"/>
      <c r="I1" s="537"/>
      <c r="J1" s="537"/>
      <c r="K1" s="537"/>
      <c r="L1" s="537"/>
      <c r="U1" s="536" t="s">
        <v>926</v>
      </c>
      <c r="V1" s="65" t="s">
        <v>878</v>
      </c>
    </row>
    <row r="2" spans="1:25" x14ac:dyDescent="0.2">
      <c r="A2" s="543" t="s">
        <v>933</v>
      </c>
      <c r="B2" s="65" t="s">
        <v>879</v>
      </c>
      <c r="C2" s="66" t="s">
        <v>1213</v>
      </c>
      <c r="D2" s="66" t="s">
        <v>3243</v>
      </c>
      <c r="E2" s="66" t="s">
        <v>1025</v>
      </c>
      <c r="F2" s="66" t="s">
        <v>1023</v>
      </c>
      <c r="G2" s="66" t="s">
        <v>1017</v>
      </c>
      <c r="H2" s="66" t="s">
        <v>1014</v>
      </c>
      <c r="I2" s="66" t="s">
        <v>1012</v>
      </c>
      <c r="J2" s="66" t="s">
        <v>990</v>
      </c>
      <c r="K2" s="66" t="s">
        <v>978</v>
      </c>
      <c r="L2" s="66" t="s">
        <v>896</v>
      </c>
      <c r="M2" s="66" t="s">
        <v>876</v>
      </c>
      <c r="N2" s="66" t="s">
        <v>872</v>
      </c>
      <c r="O2" s="66" t="s">
        <v>863</v>
      </c>
      <c r="P2" s="66" t="s">
        <v>860</v>
      </c>
      <c r="Q2" s="66" t="s">
        <v>856</v>
      </c>
      <c r="R2" s="66" t="s">
        <v>854</v>
      </c>
      <c r="S2" s="66" t="s">
        <v>852</v>
      </c>
      <c r="T2" s="66" t="s">
        <v>849</v>
      </c>
      <c r="U2" s="66" t="s">
        <v>847</v>
      </c>
      <c r="W2" s="20" t="s">
        <v>880</v>
      </c>
      <c r="X2" s="20" t="s">
        <v>881</v>
      </c>
      <c r="Y2" s="20" t="s">
        <v>882</v>
      </c>
    </row>
    <row r="3" spans="1:25"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W3" s="539" t="s">
        <v>883</v>
      </c>
      <c r="X3" s="539" t="s">
        <v>884</v>
      </c>
      <c r="Y3" s="20"/>
    </row>
    <row r="4" spans="1:25"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W4" s="539" t="s">
        <v>885</v>
      </c>
      <c r="X4" s="539" t="s">
        <v>886</v>
      </c>
      <c r="Y4" s="20"/>
    </row>
    <row r="5" spans="1:25"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W5" s="20" t="s">
        <v>887</v>
      </c>
      <c r="X5" s="20" t="s">
        <v>260</v>
      </c>
      <c r="Y5" s="20" t="s">
        <v>888</v>
      </c>
    </row>
    <row r="6" spans="1:25"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row>
    <row r="7" spans="1:25"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W7" s="923" t="s">
        <v>889</v>
      </c>
      <c r="X7" s="923"/>
      <c r="Y7" s="923"/>
    </row>
    <row r="8" spans="1:25"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W8" s="923"/>
      <c r="X8" s="923"/>
      <c r="Y8" s="923"/>
    </row>
    <row r="9" spans="1:25"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W9" s="923"/>
      <c r="X9" s="923"/>
      <c r="Y9" s="923"/>
    </row>
    <row r="10" spans="1:25"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W10" s="923"/>
      <c r="X10" s="923"/>
      <c r="Y10" s="923"/>
    </row>
    <row r="11" spans="1:25"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row>
    <row r="12" spans="1:25"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row>
    <row r="13" spans="1:25"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row>
    <row r="14" spans="1:25"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row>
    <row r="15" spans="1:25"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row>
    <row r="16" spans="1:25"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row>
    <row r="17" spans="1:22" x14ac:dyDescent="0.2">
      <c r="A17" s="544" t="s">
        <v>941</v>
      </c>
      <c r="B17" s="540" t="s">
        <v>890</v>
      </c>
      <c r="C17" s="540" t="s">
        <v>1010</v>
      </c>
      <c r="D17" s="540" t="s">
        <v>1010</v>
      </c>
      <c r="E17" s="540" t="s">
        <v>1010</v>
      </c>
      <c r="F17" s="540" t="s">
        <v>1010</v>
      </c>
      <c r="G17" s="540" t="s">
        <v>1010</v>
      </c>
      <c r="H17" s="540" t="s">
        <v>1010</v>
      </c>
      <c r="I17" s="540" t="s">
        <v>1010</v>
      </c>
      <c r="J17" s="540" t="s">
        <v>1010</v>
      </c>
      <c r="K17" s="540" t="s">
        <v>931</v>
      </c>
      <c r="L17" s="540" t="s">
        <v>931</v>
      </c>
      <c r="M17" s="540" t="s">
        <v>931</v>
      </c>
      <c r="N17" s="540" t="s">
        <v>931</v>
      </c>
      <c r="O17" s="540" t="s">
        <v>931</v>
      </c>
      <c r="P17" s="540" t="s">
        <v>931</v>
      </c>
      <c r="Q17" s="540" t="s">
        <v>931</v>
      </c>
      <c r="R17" s="540" t="s">
        <v>931</v>
      </c>
      <c r="S17" s="540" t="s">
        <v>931</v>
      </c>
      <c r="T17" s="540" t="s">
        <v>931</v>
      </c>
      <c r="U17" s="540" t="s">
        <v>931</v>
      </c>
    </row>
    <row r="18" spans="1:22"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66"/>
    </row>
    <row r="19" spans="1:22"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968</v>
      </c>
      <c r="P19" s="540" t="s">
        <v>968</v>
      </c>
      <c r="Q19" s="540" t="s">
        <v>968</v>
      </c>
      <c r="R19" s="540" t="s">
        <v>968</v>
      </c>
      <c r="S19" s="540" t="s">
        <v>968</v>
      </c>
      <c r="T19" s="540" t="s">
        <v>968</v>
      </c>
      <c r="U19" s="540" t="s">
        <v>968</v>
      </c>
      <c r="V19" s="66"/>
    </row>
    <row r="20" spans="1:22"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969</v>
      </c>
      <c r="P20" s="540" t="s">
        <v>969</v>
      </c>
      <c r="Q20" s="540" t="s">
        <v>969</v>
      </c>
      <c r="R20" s="540" t="s">
        <v>969</v>
      </c>
      <c r="S20" s="540" t="s">
        <v>969</v>
      </c>
      <c r="T20" s="540" t="s">
        <v>969</v>
      </c>
      <c r="U20" s="540" t="s">
        <v>969</v>
      </c>
      <c r="V20" s="66"/>
    </row>
    <row r="21" spans="1:22"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66"/>
    </row>
    <row r="22" spans="1:22"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66"/>
    </row>
    <row r="23" spans="1:22"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66"/>
    </row>
    <row r="24" spans="1:22"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38" t="s">
        <v>918</v>
      </c>
      <c r="N24" s="538" t="s">
        <v>918</v>
      </c>
      <c r="O24" s="538" t="s">
        <v>918</v>
      </c>
      <c r="P24" s="538" t="s">
        <v>918</v>
      </c>
      <c r="Q24" s="538" t="s">
        <v>918</v>
      </c>
      <c r="R24" s="538" t="s">
        <v>918</v>
      </c>
      <c r="S24" s="538" t="s">
        <v>918</v>
      </c>
      <c r="T24" s="538" t="s">
        <v>918</v>
      </c>
      <c r="U24" s="538" t="s">
        <v>918</v>
      </c>
    </row>
    <row r="25" spans="1:22"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row>
    <row r="26" spans="1:22"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row>
    <row r="27" spans="1:22"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row>
    <row r="28" spans="1:22"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row>
    <row r="29" spans="1:22" x14ac:dyDescent="0.2">
      <c r="A29" s="545" t="s">
        <v>3257</v>
      </c>
      <c r="B29" s="540" t="s">
        <v>3249</v>
      </c>
      <c r="C29" s="540" t="s">
        <v>3254</v>
      </c>
      <c r="D29" s="540"/>
      <c r="E29" s="540"/>
      <c r="F29" s="540"/>
      <c r="G29" s="540"/>
      <c r="H29" s="540"/>
      <c r="I29" s="540"/>
      <c r="J29" s="540"/>
      <c r="K29" s="540"/>
      <c r="L29" s="540"/>
      <c r="M29" s="538"/>
      <c r="N29" s="538"/>
      <c r="O29" s="538"/>
      <c r="P29" s="538"/>
      <c r="Q29" s="538"/>
      <c r="R29" s="538"/>
      <c r="S29" s="538"/>
      <c r="T29" s="538"/>
      <c r="U29" s="538"/>
    </row>
    <row r="30" spans="1:22" x14ac:dyDescent="0.2">
      <c r="A30" s="545" t="s">
        <v>3255</v>
      </c>
      <c r="B30" s="540" t="s">
        <v>3249</v>
      </c>
      <c r="C30" s="540" t="s">
        <v>3256</v>
      </c>
      <c r="D30" s="540"/>
      <c r="E30" s="540"/>
      <c r="F30" s="540"/>
      <c r="G30" s="540"/>
      <c r="H30" s="540"/>
      <c r="I30" s="540"/>
      <c r="J30" s="540"/>
      <c r="K30" s="540"/>
      <c r="L30" s="540"/>
      <c r="M30" s="538"/>
      <c r="N30" s="538"/>
      <c r="O30" s="538"/>
      <c r="P30" s="538"/>
      <c r="Q30" s="538"/>
      <c r="R30" s="538"/>
      <c r="S30" s="538"/>
      <c r="T30" s="538"/>
      <c r="U30" s="538"/>
    </row>
    <row r="31" spans="1:22"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row>
    <row r="33" spans="11:18" x14ac:dyDescent="0.2">
      <c r="K33" s="538"/>
      <c r="L33" s="538"/>
    </row>
    <row r="37" spans="11:18" x14ac:dyDescent="0.2">
      <c r="R37" s="538"/>
    </row>
  </sheetData>
  <mergeCells count="1">
    <mergeCell ref="W7:Y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5"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4.6.0</v>
      </c>
    </row>
    <row r="3" spans="2:9" x14ac:dyDescent="0.2">
      <c r="B3" s="85" t="s">
        <v>267</v>
      </c>
      <c r="C3" s="86" t="s">
        <v>268</v>
      </c>
      <c r="D3" s="87">
        <v>41386</v>
      </c>
      <c r="E3" s="88" t="s">
        <v>265</v>
      </c>
      <c r="F3" s="88" t="s">
        <v>266</v>
      </c>
    </row>
    <row r="4" spans="2:9" x14ac:dyDescent="0.2">
      <c r="B4" s="931">
        <v>1.1000000000000001</v>
      </c>
      <c r="C4" s="82" t="s">
        <v>270</v>
      </c>
      <c r="D4" s="932">
        <v>41396</v>
      </c>
      <c r="E4" s="924" t="s">
        <v>265</v>
      </c>
      <c r="F4" s="924" t="s">
        <v>266</v>
      </c>
    </row>
    <row r="5" spans="2:9" ht="51" x14ac:dyDescent="0.2">
      <c r="B5" s="925"/>
      <c r="C5" s="83" t="s">
        <v>271</v>
      </c>
      <c r="D5" s="925"/>
      <c r="E5" s="933"/>
      <c r="F5" s="925"/>
    </row>
    <row r="6" spans="2:9" x14ac:dyDescent="0.2">
      <c r="B6" s="926"/>
      <c r="C6" s="82" t="s">
        <v>269</v>
      </c>
      <c r="D6" s="926"/>
      <c r="E6" s="934"/>
      <c r="F6" s="926"/>
    </row>
    <row r="7" spans="2:9" ht="12.75" customHeight="1" x14ac:dyDescent="0.2">
      <c r="B7" s="928">
        <v>1.2</v>
      </c>
      <c r="C7" s="927" t="s">
        <v>294</v>
      </c>
      <c r="D7" s="930">
        <v>41449</v>
      </c>
      <c r="E7" s="928" t="s">
        <v>265</v>
      </c>
      <c r="F7" s="928" t="s">
        <v>266</v>
      </c>
    </row>
    <row r="8" spans="2:9" x14ac:dyDescent="0.2">
      <c r="B8" s="929"/>
      <c r="C8" s="927"/>
      <c r="D8" s="929"/>
      <c r="E8" s="929"/>
      <c r="F8" s="929"/>
    </row>
    <row r="9" spans="2:9" ht="51" x14ac:dyDescent="0.2">
      <c r="B9" s="945">
        <v>2</v>
      </c>
      <c r="C9" s="83" t="s">
        <v>383</v>
      </c>
      <c r="D9" s="948">
        <v>41668</v>
      </c>
      <c r="E9" s="937" t="s">
        <v>265</v>
      </c>
      <c r="F9" s="937" t="s">
        <v>375</v>
      </c>
    </row>
    <row r="10" spans="2:9" ht="63.75" x14ac:dyDescent="0.2">
      <c r="B10" s="946"/>
      <c r="C10" s="83" t="s">
        <v>384</v>
      </c>
      <c r="D10" s="948"/>
      <c r="E10" s="937"/>
      <c r="F10" s="937"/>
    </row>
    <row r="11" spans="2:9" x14ac:dyDescent="0.2">
      <c r="B11" s="946"/>
      <c r="C11" s="83" t="s">
        <v>387</v>
      </c>
      <c r="D11" s="948"/>
      <c r="E11" s="937"/>
      <c r="F11" s="937"/>
    </row>
    <row r="12" spans="2:9" ht="63.75" x14ac:dyDescent="0.2">
      <c r="B12" s="946"/>
      <c r="C12" s="83" t="s">
        <v>386</v>
      </c>
      <c r="D12" s="948"/>
      <c r="E12" s="937"/>
      <c r="F12" s="937"/>
    </row>
    <row r="13" spans="2:9" ht="38.25" x14ac:dyDescent="0.2">
      <c r="B13" s="946"/>
      <c r="C13" s="83" t="s">
        <v>385</v>
      </c>
      <c r="D13" s="948"/>
      <c r="E13" s="937"/>
      <c r="F13" s="937"/>
    </row>
    <row r="14" spans="2:9" ht="25.5" x14ac:dyDescent="0.2">
      <c r="B14" s="947"/>
      <c r="C14" s="83" t="s">
        <v>388</v>
      </c>
      <c r="D14" s="948"/>
      <c r="E14" s="937"/>
      <c r="F14" s="937"/>
    </row>
    <row r="15" spans="2:9" ht="51" x14ac:dyDescent="0.2">
      <c r="B15" s="938">
        <v>2.1</v>
      </c>
      <c r="C15" s="180" t="s">
        <v>389</v>
      </c>
      <c r="D15" s="930">
        <v>41716</v>
      </c>
      <c r="E15" s="944" t="s">
        <v>265</v>
      </c>
      <c r="F15" s="944" t="s">
        <v>375</v>
      </c>
    </row>
    <row r="16" spans="2:9" ht="51" x14ac:dyDescent="0.2">
      <c r="B16" s="938"/>
      <c r="C16" s="180" t="s">
        <v>390</v>
      </c>
      <c r="D16" s="940"/>
      <c r="E16" s="944"/>
      <c r="F16" s="944"/>
    </row>
    <row r="17" spans="2:6" ht="76.5" x14ac:dyDescent="0.2">
      <c r="B17" s="138">
        <v>2.2000000000000002</v>
      </c>
      <c r="C17" s="179" t="s">
        <v>601</v>
      </c>
      <c r="D17" s="137">
        <v>41725</v>
      </c>
      <c r="E17" s="176" t="s">
        <v>265</v>
      </c>
      <c r="F17" s="167" t="s">
        <v>375</v>
      </c>
    </row>
    <row r="18" spans="2:6" ht="211.9" customHeight="1" x14ac:dyDescent="0.2">
      <c r="B18" s="938">
        <v>2.2999999999999998</v>
      </c>
      <c r="C18" s="182" t="s">
        <v>595</v>
      </c>
      <c r="D18" s="930">
        <v>41893</v>
      </c>
      <c r="E18" s="928" t="s">
        <v>265</v>
      </c>
      <c r="F18" s="183"/>
    </row>
    <row r="19" spans="2:6" x14ac:dyDescent="0.2">
      <c r="B19" s="938"/>
      <c r="C19" s="184" t="s">
        <v>596</v>
      </c>
      <c r="D19" s="939"/>
      <c r="E19" s="941"/>
      <c r="F19" s="183"/>
    </row>
    <row r="20" spans="2:6" ht="87.6" customHeight="1" x14ac:dyDescent="0.2">
      <c r="B20" s="938"/>
      <c r="C20" s="182" t="s">
        <v>600</v>
      </c>
      <c r="D20" s="939"/>
      <c r="E20" s="941"/>
      <c r="F20" s="183"/>
    </row>
    <row r="21" spans="2:6" ht="51" x14ac:dyDescent="0.2">
      <c r="B21" s="938"/>
      <c r="C21" s="182" t="s">
        <v>597</v>
      </c>
      <c r="D21" s="939"/>
      <c r="E21" s="941"/>
      <c r="F21" s="183"/>
    </row>
    <row r="22" spans="2:6" ht="38.25" x14ac:dyDescent="0.2">
      <c r="B22" s="938"/>
      <c r="C22" s="182" t="s">
        <v>598</v>
      </c>
      <c r="D22" s="940"/>
      <c r="E22" s="929"/>
      <c r="F22" s="183"/>
    </row>
    <row r="23" spans="2:6" x14ac:dyDescent="0.2">
      <c r="B23" s="935">
        <v>2.4</v>
      </c>
      <c r="C23" s="178" t="s">
        <v>599</v>
      </c>
      <c r="D23" s="932">
        <v>41921</v>
      </c>
      <c r="E23" s="924" t="s">
        <v>265</v>
      </c>
    </row>
    <row r="24" spans="2:6" ht="51" x14ac:dyDescent="0.2">
      <c r="B24" s="935"/>
      <c r="C24" s="181" t="s">
        <v>602</v>
      </c>
      <c r="D24" s="949"/>
      <c r="E24" s="926"/>
    </row>
    <row r="25" spans="2:6" ht="67.7" customHeight="1" x14ac:dyDescent="0.2">
      <c r="B25" s="938">
        <v>2.5</v>
      </c>
      <c r="C25" s="182" t="s">
        <v>618</v>
      </c>
      <c r="D25" s="930">
        <v>42187</v>
      </c>
      <c r="E25" s="928" t="s">
        <v>265</v>
      </c>
    </row>
    <row r="26" spans="2:6" ht="25.5" x14ac:dyDescent="0.2">
      <c r="B26" s="938"/>
      <c r="C26" s="182" t="s">
        <v>617</v>
      </c>
      <c r="D26" s="939"/>
      <c r="E26" s="941"/>
    </row>
    <row r="27" spans="2:6" ht="25.5" x14ac:dyDescent="0.2">
      <c r="B27" s="938"/>
      <c r="C27" s="182" t="s">
        <v>621</v>
      </c>
      <c r="D27" s="939"/>
      <c r="E27" s="941"/>
    </row>
    <row r="28" spans="2:6" x14ac:dyDescent="0.2">
      <c r="B28" s="938"/>
      <c r="C28" s="182" t="s">
        <v>620</v>
      </c>
      <c r="D28" s="939"/>
      <c r="E28" s="941"/>
    </row>
    <row r="29" spans="2:6" x14ac:dyDescent="0.2">
      <c r="B29" s="938"/>
      <c r="C29" s="182" t="s">
        <v>619</v>
      </c>
      <c r="D29" s="940"/>
      <c r="E29" s="929"/>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5" t="s">
        <v>659</v>
      </c>
      <c r="C32" s="208" t="s">
        <v>660</v>
      </c>
      <c r="D32" s="936">
        <v>42979</v>
      </c>
      <c r="E32" s="937" t="s">
        <v>265</v>
      </c>
    </row>
    <row r="33" spans="2:5" ht="25.5" x14ac:dyDescent="0.2">
      <c r="B33" s="935"/>
      <c r="C33" s="208" t="s">
        <v>661</v>
      </c>
      <c r="D33" s="935"/>
      <c r="E33" s="935"/>
    </row>
    <row r="34" spans="2:5" ht="25.5" x14ac:dyDescent="0.2">
      <c r="B34" s="935"/>
      <c r="C34" s="208" t="s">
        <v>662</v>
      </c>
      <c r="D34" s="935"/>
      <c r="E34" s="935"/>
    </row>
    <row r="35" spans="2:5" ht="38.25" x14ac:dyDescent="0.2">
      <c r="B35" s="942" t="s">
        <v>683</v>
      </c>
      <c r="C35" s="182" t="s">
        <v>684</v>
      </c>
      <c r="D35" s="930">
        <v>42999</v>
      </c>
      <c r="E35" s="942" t="s">
        <v>265</v>
      </c>
    </row>
    <row r="36" spans="2:5" ht="38.25" x14ac:dyDescent="0.2">
      <c r="B36" s="943"/>
      <c r="C36" s="182" t="s">
        <v>685</v>
      </c>
      <c r="D36" s="940"/>
      <c r="E36" s="943"/>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78.5" x14ac:dyDescent="0.2">
      <c r="B58" s="568" t="s">
        <v>1213</v>
      </c>
      <c r="C58" s="496" t="s">
        <v>3259</v>
      </c>
      <c r="D58" s="213">
        <v>45027</v>
      </c>
      <c r="E58" s="568" t="s">
        <v>927</v>
      </c>
      <c r="F58" s="567"/>
    </row>
    <row r="59" spans="2:6" s="65" customFormat="1" x14ac:dyDescent="0.2">
      <c r="B59" s="569"/>
      <c r="C59" s="520"/>
      <c r="D59" s="570"/>
      <c r="E59" s="569"/>
      <c r="F59" s="567"/>
    </row>
    <row r="60" spans="2:6" s="65" customFormat="1" x14ac:dyDescent="0.2">
      <c r="B60" s="568"/>
      <c r="C60" s="496"/>
      <c r="D60" s="213"/>
      <c r="E60" s="568"/>
      <c r="F60" s="567"/>
    </row>
    <row r="61" spans="2:6" x14ac:dyDescent="0.2">
      <c r="B61" s="569"/>
      <c r="C61" s="520"/>
      <c r="D61" s="570"/>
      <c r="E61" s="569"/>
    </row>
  </sheetData>
  <sheetProtection algorithmName="SHA-512" hashValue="zYuAgW6L+fnRIRiLIQruN1HJq9iByeQI5Gid3SMyhTzP7cNK5wC+dGqarn79SJRnwSmDO+K5tBduroGkbvBw1Q==" saltValue="JqRGPoTYfuNbUZjRoNo7Vg=="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193</vt:i4>
      </vt:variant>
    </vt:vector>
  </HeadingPairs>
  <TitlesOfParts>
    <vt:vector size="216"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num</vt:lpstr>
      <vt:lpstr>O_1</vt:lpstr>
      <vt:lpstr>O_10</vt:lpstr>
      <vt:lpstr>O_2</vt:lpstr>
      <vt:lpstr>O_3</vt:lpstr>
      <vt:lpstr>O_4</vt:lpstr>
      <vt:lpstr>O_5</vt:lpstr>
      <vt:lpstr>O_6</vt:lpstr>
      <vt:lpstr>O_7</vt:lpstr>
      <vt:lpstr>O_8</vt:lpstr>
      <vt:lpstr>O_9</vt:lpstr>
      <vt:lpstr>'Raw TNX File'!Old_TNX_File</vt:lpstr>
      <vt:lpstr>'Raw TNX File'!Old_TNX_File_1</vt:lpstr>
      <vt:lpstr>'Raw TNX File'!Old_TNX_File_2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2023-04-13T20:31:33Z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4.6.0</vt:lpwstr>
  </property>
</Properties>
</file>